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drawings/drawing6.xml" ContentType="application/vnd.openxmlformats-officedocument.drawing+xml"/>
  <Override PartName="/xl/activeX/activeX4.xml" ContentType="application/vnd.ms-office.activeX+xml"/>
  <Override PartName="/xl/activeX/activeX4.bin" ContentType="application/vnd.ms-office.activeX"/>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drawings/drawing9.xml" ContentType="application/vnd.openxmlformats-officedocument.drawing+xml"/>
  <Override PartName="/xl/ctrlProps/ctrlProp5.xml" ContentType="application/vnd.ms-excel.controlproperties+xml"/>
  <Override PartName="/xl/drawings/drawing10.xml" ContentType="application/vnd.openxmlformats-officedocument.drawing+xml"/>
  <Override PartName="/xl/ctrlProps/ctrlProp6.xml" ContentType="application/vnd.ms-excel.controlproperties+xml"/>
  <Override PartName="/xl/drawings/drawing11.xml" ContentType="application/vnd.openxmlformats-officedocument.drawing+xml"/>
  <Override PartName="/xl/ctrlProps/ctrlProp7.xml" ContentType="application/vnd.ms-excel.controlproperties+xml"/>
  <Override PartName="/xl/drawings/drawing12.xml" ContentType="application/vnd.openxmlformats-officedocument.drawing+xml"/>
  <Override PartName="/xl/ctrlProps/ctrlProp8.xml" ContentType="application/vnd.ms-excel.controlproperties+xml"/>
  <Override PartName="/xl/drawings/drawing13.xml" ContentType="application/vnd.openxmlformats-officedocument.drawing+xml"/>
  <Override PartName="/xl/ctrlProps/ctrlProp9.xml" ContentType="application/vnd.ms-excel.controlproperties+xml"/>
  <Override PartName="/xl/drawings/drawing14.xml" ContentType="application/vnd.openxmlformats-officedocument.drawing+xml"/>
  <Override PartName="/xl/ctrlProps/ctrlProp10.xml" ContentType="application/vnd.ms-excel.controlproperties+xml"/>
  <Override PartName="/xl/drawings/drawing15.xml" ContentType="application/vnd.openxmlformats-officedocument.drawing+xml"/>
  <Override PartName="/xl/ctrlProps/ctrlProp11.xml" ContentType="application/vnd.ms-excel.controlproperties+xml"/>
  <Override PartName="/xl/drawings/drawing16.xml" ContentType="application/vnd.openxmlformats-officedocument.drawing+xml"/>
  <Override PartName="/xl/ctrlProps/ctrlProp12.xml" ContentType="application/vnd.ms-excel.controlproperties+xml"/>
  <Override PartName="/xl/drawings/drawing17.xml" ContentType="application/vnd.openxmlformats-officedocument.drawing+xml"/>
  <Override PartName="/xl/ctrlProps/ctrlProp13.xml" ContentType="application/vnd.ms-excel.controlproperties+xml"/>
  <Override PartName="/xl/drawings/drawing18.xml" ContentType="application/vnd.openxmlformats-officedocument.drawing+xml"/>
  <Override PartName="/xl/ctrlProps/ctrlProp14.xml" ContentType="application/vnd.ms-excel.controlproperties+xml"/>
  <Override PartName="/xl/drawings/drawing19.xml" ContentType="application/vnd.openxmlformats-officedocument.drawing+xml"/>
  <Override PartName="/xl/ctrlProps/ctrlProp15.xml" ContentType="application/vnd.ms-excel.controlproperties+xml"/>
  <Override PartName="/xl/drawings/drawing20.xml" ContentType="application/vnd.openxmlformats-officedocument.drawing+xml"/>
  <Override PartName="/xl/ctrlProps/ctrlProp16.xml" ContentType="application/vnd.ms-excel.controlproperties+xml"/>
  <Override PartName="/xl/drawings/drawing21.xml" ContentType="application/vnd.openxmlformats-officedocument.drawing+xml"/>
  <Override PartName="/xl/ctrlProps/ctrlProp17.xml" ContentType="application/vnd.ms-excel.controlproperties+xml"/>
  <Override PartName="/xl/drawings/drawing22.xml" ContentType="application/vnd.openxmlformats-officedocument.drawing+xml"/>
  <Override PartName="/xl/ctrlProps/ctrlProp18.xml" ContentType="application/vnd.ms-excel.controlproperties+xml"/>
  <Override PartName="/xl/drawings/drawing23.xml" ContentType="application/vnd.openxmlformats-officedocument.drawing+xml"/>
  <Override PartName="/xl/ctrlProps/ctrlProp19.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20.xml" ContentType="application/vnd.ms-excel.controlproperties+xml"/>
  <Override PartName="/xl/drawings/drawing31.xml" ContentType="application/vnd.openxmlformats-officedocument.drawing+xml"/>
  <Override PartName="/xl/ctrlProps/ctrlProp21.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c79302eb984442c6" Type="http://schemas.microsoft.com/office/2007/relationships/ui/extensibility" Target="customUI/customUI14.xml"/><Relationship Id="R3d1f97daa00c44b0" Type="http://schemas.microsoft.com/office/2006/relationships/ui/extensibility" Target="customUI/customUI.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codeName="{2E6947BB-A706-504E-29CB-9DD9B7763434}"/>
  <workbookPr updateLinks="always" codeName="ThisWorkbook"/>
  <mc:AlternateContent xmlns:mc="http://schemas.openxmlformats.org/markup-compatibility/2006">
    <mc:Choice Requires="x15">
      <x15ac:absPath xmlns:x15ac="http://schemas.microsoft.com/office/spreadsheetml/2010/11/ac" url="C:\Users\Admin\Desktop\"/>
    </mc:Choice>
  </mc:AlternateContent>
  <xr:revisionPtr revIDLastSave="0" documentId="13_ncr:1_{5A010CDB-5FF1-409E-805A-9E50AC71390C}" xr6:coauthVersionLast="45" xr6:coauthVersionMax="45" xr10:uidLastSave="{00000000-0000-0000-0000-000000000000}"/>
  <bookViews>
    <workbookView xWindow="-120" yWindow="-120" windowWidth="20730" windowHeight="11160" tabRatio="703" firstSheet="32" activeTab="38" xr2:uid="{00000000-000D-0000-FFFF-FFFF00000000}"/>
  </bookViews>
  <sheets>
    <sheet name="MaCV" sheetId="135" r:id="rId1"/>
    <sheet name="TCNT" sheetId="4" r:id="rId2"/>
    <sheet name="MaBBKT" sheetId="134" r:id="rId3"/>
    <sheet name="MaTN" sheetId="21" r:id="rId4"/>
    <sheet name="KQTN" sheetId="92" r:id="rId5"/>
    <sheet name="tbDinhmuc" sheetId="136" r:id="rId6"/>
    <sheet name="tbGiaCamay" sheetId="94" r:id="rId7"/>
    <sheet name="tbTHmay" sheetId="95" r:id="rId8"/>
    <sheet name="Config" sheetId="81" r:id="rId9"/>
    <sheet name="Tam" sheetId="46" r:id="rId10"/>
    <sheet name="Thongtin" sheetId="1" r:id="rId11"/>
    <sheet name="TPCPBT" sheetId="107" r:id="rId12"/>
    <sheet name="Vatlieu" sheetId="158" r:id="rId13"/>
    <sheet name="TbVatlieu" sheetId="110" r:id="rId14"/>
    <sheet name="TbKTHH_HM" sheetId="111" r:id="rId15"/>
    <sheet name="TbKTHH_Dap" sheetId="112" r:id="rId16"/>
    <sheet name="TbKTHH_Cp" sheetId="113" r:id="rId17"/>
    <sheet name="TbKTHH_Ct" sheetId="114" r:id="rId18"/>
    <sheet name="TbKTHH_BT" sheetId="115" r:id="rId19"/>
    <sheet name="Tb_Thoitiet" sheetId="2" r:id="rId20"/>
    <sheet name="DataWeather" sheetId="89" r:id="rId21"/>
    <sheet name="Nhattrinh" sheetId="19" r:id="rId22"/>
    <sheet name="ListBBCV" sheetId="8" r:id="rId23"/>
    <sheet name="ListBBHT" sheetId="9" r:id="rId24"/>
    <sheet name="ListVlieu" sheetId="117" r:id="rId25"/>
    <sheet name="ListTN" sheetId="140" r:id="rId26"/>
    <sheet name="ListTNVL" sheetId="155" r:id="rId27"/>
    <sheet name="ListTNBT" sheetId="156" r:id="rId28"/>
    <sheet name="ListTNkhac" sheetId="157" r:id="rId29"/>
    <sheet name="LIST_BBKT_HM" sheetId="141" r:id="rId30"/>
    <sheet name="LIST_BBKT_DAP" sheetId="142" r:id="rId31"/>
    <sheet name="LIST_bbkt_bt" sheetId="143" r:id="rId32"/>
    <sheet name="LIST_BBKT_VK" sheetId="144" r:id="rId33"/>
    <sheet name="LIST_BBKT_CT" sheetId="145" r:id="rId34"/>
    <sheet name="lIST_DKDBT" sheetId="146" r:id="rId35"/>
    <sheet name="LIST_PHIEU_BT" sheetId="147" r:id="rId36"/>
    <sheet name="LIST_THAO_VK" sheetId="148" r:id="rId37"/>
    <sheet name="DMnhatky" sheetId="16" r:id="rId38"/>
    <sheet name="NKchitiet" sheetId="17" r:id="rId39"/>
    <sheet name="DanhmucBBCV" sheetId="149" r:id="rId40"/>
    <sheet name="BienbanCVXD" sheetId="13" r:id="rId41"/>
    <sheet name="BienbanHT" sheetId="59" r:id="rId42"/>
    <sheet name="BienbanVatlieu" sheetId="121" r:id="rId43"/>
    <sheet name="BBKT_Homong" sheetId="122" r:id="rId44"/>
    <sheet name="BBKT_Dap" sheetId="123" r:id="rId45"/>
    <sheet name="BBKT_VK" sheetId="97" r:id="rId46"/>
    <sheet name="BBKT_CT" sheetId="98" r:id="rId47"/>
    <sheet name="BBKT_DKDBT" sheetId="124" r:id="rId48"/>
    <sheet name="PHIEU_BT" sheetId="100" r:id="rId49"/>
    <sheet name="THAO_VK" sheetId="99" r:id="rId50"/>
    <sheet name="BBKT_KTHHBT" sheetId="132" r:id="rId51"/>
    <sheet name="BBLMVL" sheetId="152" r:id="rId52"/>
    <sheet name="BBLMBT" sheetId="160" r:id="rId53"/>
    <sheet name="BBLMKhac" sheetId="154" r:id="rId54"/>
    <sheet name="Bia_Hoso" sheetId="69" r:id="rId55"/>
    <sheet name="Bia_nhatky" sheetId="125" r:id="rId56"/>
    <sheet name="Matbang" sheetId="60" r:id="rId57"/>
    <sheet name="PhieuCTVL" sheetId="71" r:id="rId58"/>
    <sheet name="PhongThinghiem" sheetId="62" r:id="rId59"/>
    <sheet name="Nhanluc" sheetId="72" r:id="rId60"/>
    <sheet name="N.thuMoc" sheetId="64" r:id="rId61"/>
    <sheet name="Dieukientruocthicong" sheetId="65" r:id="rId62"/>
    <sheet name="BBXLKT" sheetId="126" r:id="rId63"/>
    <sheet name="Baocaosuco" sheetId="127" r:id="rId64"/>
    <sheet name="Baocaohoanthanh" sheetId="128" r:id="rId65"/>
    <sheet name="BB_bangiao" sheetId="129" r:id="rId66"/>
    <sheet name="GhiNhatky" sheetId="150" r:id="rId67"/>
    <sheet name="InNKTC" sheetId="139" r:id="rId68"/>
    <sheet name="InNKGS" sheetId="138" r:id="rId69"/>
    <sheet name="ListCVXD(ToWord)" sheetId="82" r:id="rId70"/>
    <sheet name="ListHTHM(ToWord)" sheetId="83" r:id="rId71"/>
    <sheet name="Thinghiem" sheetId="151" r:id="rId72"/>
    <sheet name="LenhK.cong" sheetId="70" r:id="rId73"/>
    <sheet name="Infor_Rb" sheetId="130" r:id="rId74"/>
  </sheets>
  <functionGroups builtInGroupCount="19"/>
  <definedNames>
    <definedName name="_xlnm._FilterDatabase" localSheetId="21" hidden="1">Nhattrinh!$A$5:$N$120</definedName>
    <definedName name="_Hlk26690202" localSheetId="58">PhongThinghiem!$E$13</definedName>
    <definedName name="_Hlk27121271" localSheetId="58">PhongThinghiem!$E$15</definedName>
    <definedName name="BBKT_DKDBTVungBBKT">BBKT_DKDBT!$E$5:$L$57</definedName>
    <definedName name="BBKT_HomongVungBBKT">BBKT_Homong!$E$5:$L$291</definedName>
    <definedName name="BBKT_KTHHBTVungBBKT">BBKT_KTHHBT!$E$5:$L$450</definedName>
    <definedName name="BienbanCVXDVungBBNBCV">BienbanCVXD!$E$6:$M$79</definedName>
    <definedName name="BienbanCVXDVungBBNT">BienbanCVXD!$E$121:$M$198</definedName>
    <definedName name="BienbanCVXDVungPYCCV">BienbanCVXD!$E$81:$M$117</definedName>
    <definedName name="BienbanHTVungBBNBCV">BienbanHT!$E$7:$M$80</definedName>
    <definedName name="BienbanHTVungBBNT">BienbanHT!$E$120:$M$196</definedName>
    <definedName name="BienbanHTVungPYCCV">BienbanHT!$E$82:$M$116</definedName>
    <definedName name="BienbanVatlieuVungBBNBCV">BienbanVatlieu!$E$5:$K$70</definedName>
    <definedName name="BienbanVatlieuVungBBNT">BienbanVatlieu!$E$113:$K$262</definedName>
    <definedName name="BienbanVatlieuVungPYCCV">BienbanVatlieu!$E$72:$K$109</definedName>
    <definedName name="CBGS1">Thongtin!$D$19</definedName>
    <definedName name="CBGS2">Thongtin!$D$20</definedName>
    <definedName name="CBGS3">Thongtin!$D$21</definedName>
    <definedName name="CBKT1">Thongtin!$D$28</definedName>
    <definedName name="CBKT2">Thongtin!$D$29</definedName>
    <definedName name="CBKT3">Thongtin!$D$30</definedName>
    <definedName name="CĐT">Thongtin!$C$11</definedName>
    <definedName name="CV_CBGS1">Thongtin!$H$19</definedName>
    <definedName name="CV_CBGS2">Thongtin!$H$20</definedName>
    <definedName name="CV_CBGS3">Thongtin!$H$21</definedName>
    <definedName name="CV_CBKT1">Thongtin!$H$28</definedName>
    <definedName name="CV_CBKT2">Thongtin!$H$29</definedName>
    <definedName name="CV_CBKT3">Thongtin!$H$30</definedName>
    <definedName name="CV_KCS1">Thongtin!$H$25</definedName>
    <definedName name="CV_KCS2">Thongtin!$H$26</definedName>
    <definedName name="CV_NguoiphatphieuYCNT">Thongtin!$H$32</definedName>
    <definedName name="CV_NT1">Thongtin!$H$36</definedName>
    <definedName name="CV_TN2">Thongtin!$H$37</definedName>
    <definedName name="CV_TN3">Thongtin!$H$38</definedName>
    <definedName name="DD_CDT">Thongtin!$C$14</definedName>
    <definedName name="DDCDT">Thongtin!$C$14</definedName>
    <definedName name="DDXD">Thongtin!$C$7</definedName>
    <definedName name="Diachi_PTN">Thongtin!$D$34</definedName>
    <definedName name="Diadanh">Thongtin!$C$10</definedName>
    <definedName name="Donvithinghiem">Thongtin!$C$30</definedName>
    <definedName name="DVGS">Thongtin!$C$18</definedName>
    <definedName name="DVTC">Thongtin!$C$23</definedName>
    <definedName name="DVTK">Thongtin!$C$12</definedName>
    <definedName name="DVTN">Thongtin!$C$33</definedName>
    <definedName name="GiayphepkinhdoanhPTN">Thongtin!$D$35</definedName>
    <definedName name="GT_CBKT1">Thongtin!$C$28</definedName>
    <definedName name="GT_CBKT2">Thongtin!$C$29</definedName>
    <definedName name="GT_CBKT3">Thongtin!$C$30</definedName>
    <definedName name="GT_CDT1">Thongtin!$C$15</definedName>
    <definedName name="GT_CDT2">Thongtin!$C$16</definedName>
    <definedName name="GT_CDT3">Thongtin!$C$17</definedName>
    <definedName name="GT_GS1">Thongtin!$C$19</definedName>
    <definedName name="GT_GS2">Thongtin!$C$20</definedName>
    <definedName name="GT_GS3">Thongtin!$C$21</definedName>
    <definedName name="GT_QLCL1">Thongtin!$C$25</definedName>
    <definedName name="GT_QLCL2">Thongtin!$C$26</definedName>
    <definedName name="GT_TN1">Thongtin!$C$36</definedName>
    <definedName name="GT_TN2">Thongtin!$C$37</definedName>
    <definedName name="GT_TN3">Thongtin!$C$38</definedName>
    <definedName name="HD_Thinghiem">Thongtin!$C$9</definedName>
    <definedName name="Hopdong">Thongtin!$C$8</definedName>
    <definedName name="KCS1_">Thongtin!$D$25</definedName>
    <definedName name="KCS2_">Thongtin!$D$26</definedName>
    <definedName name="Liendanh">Thongtin!$C$22</definedName>
    <definedName name="NDtieude1">Thongtin!$C$4</definedName>
    <definedName name="NDtieude2">Thongtin!$C$5</definedName>
    <definedName name="NDtieude3">Thongtin!$C$6</definedName>
    <definedName name="Ngayhoanthanh">Thongtin!$H$13</definedName>
    <definedName name="Ngaykhoicong">Thongtin!$E$13</definedName>
    <definedName name="Ngaynhanmatbang">Thongtin!$C$13</definedName>
    <definedName name="Nguoi_TN1">Thongtin!$D$36</definedName>
    <definedName name="Nguoi_TN2">Thongtin!$D$37</definedName>
    <definedName name="Nguoi_TN3">Thongtin!$D$38</definedName>
    <definedName name="NguoiphatphieuYCNT">Thongtin!$D$32</definedName>
    <definedName name="PHIEU_BTVungBBKT">PHIEU_BT!$E$5:$O$51</definedName>
    <definedName name="_xlnm.Print_Area" localSheetId="64">Baocaohoanthanh!$E$6:$J$66</definedName>
    <definedName name="_xlnm.Print_Area" localSheetId="63">Baocaosuco!$E$6:$M$40</definedName>
    <definedName name="_xlnm.Print_Area" localSheetId="65">BB_bangiao!$E$6:$M$114</definedName>
    <definedName name="_xlnm.Print_Area" localSheetId="46">BBKT_CT!$E$5:$R$138</definedName>
    <definedName name="_xlnm.Print_Area" localSheetId="44">BBKT_Dap!$E$5:$Q$173</definedName>
    <definedName name="_xlnm.Print_Area" localSheetId="47">BBKT_DKDBT!$E$5:$L$57</definedName>
    <definedName name="_xlnm.Print_Area" localSheetId="43">BBKT_Homong!$E$5:$L$291</definedName>
    <definedName name="_xlnm.Print_Area" localSheetId="50">BBKT_KTHHBT!$E$5:$L$450</definedName>
    <definedName name="_xlnm.Print_Area" localSheetId="45">BBKT_VK!$E$5:$L$223</definedName>
    <definedName name="_xlnm.Print_Area" localSheetId="52">BBLMBT!$E$6:$O$45</definedName>
    <definedName name="_xlnm.Print_Area" localSheetId="53">BBLMKhac!$E$6:$O$41</definedName>
    <definedName name="_xlnm.Print_Area" localSheetId="51">BBLMVL!$E$6:$K$43</definedName>
    <definedName name="_xlnm.Print_Area" localSheetId="62">BBXLKT!$E$6:$O$94</definedName>
    <definedName name="_xlnm.Print_Area" localSheetId="54">Bia_Hoso!$D$4:$O$47</definedName>
    <definedName name="_xlnm.Print_Area" localSheetId="55">Bia_nhatky!$D$4:$O$46,Bia_nhatky!$D$48:$O$84,Bia_nhatky!$D$86:$O$110,Bia_nhatky!$D$112:$O$158</definedName>
    <definedName name="_xlnm.Print_Area" localSheetId="40">BienbanCVXD!$E$6:$M$79,BienbanCVXD!$E$81:$M$117,BienbanCVXD!$E$121:$M$198</definedName>
    <definedName name="_xlnm.Print_Area" localSheetId="41">BienbanHT!$E$7:$M$80,BienbanHT!$E$82:$M$116,BienbanHT!$E$120:$M$196</definedName>
    <definedName name="_xlnm.Print_Area" localSheetId="42">BienbanVatlieu!$E$5:$K$70,BienbanVatlieu!$E$72:$K$109,BienbanVatlieu!$E$113:$K$262</definedName>
    <definedName name="_xlnm.Print_Area" localSheetId="39">DanhmucBBCV!$E$1:$I$128</definedName>
    <definedName name="_xlnm.Print_Area" localSheetId="61">Dieukientruocthicong!$E$5:$P$65</definedName>
    <definedName name="_xlnm.Print_Area" localSheetId="66">GhiNhatky!$A$1:$B$335</definedName>
    <definedName name="_xlnm.Print_Area" localSheetId="68">InNKGS!$A$1:$B$720</definedName>
    <definedName name="_xlnm.Print_Area" localSheetId="67">InNKTC!$A$1:$B$720</definedName>
    <definedName name="_xlnm.Print_Area" localSheetId="72">LenhK.cong!$E$5:$P$27</definedName>
    <definedName name="_xlnm.Print_Area" localSheetId="56">Matbang!$E$5:$P$67</definedName>
    <definedName name="_xlnm.Print_Area" localSheetId="60">N.thuMoc!$E$5:$P$66</definedName>
    <definedName name="_xlnm.Print_Area" localSheetId="59">Nhanluc!$E$5:$P$73</definedName>
    <definedName name="_xlnm.Print_Area" localSheetId="38">NKchitiet!$A$3:$B$156</definedName>
    <definedName name="_xlnm.Print_Area" localSheetId="48">PHIEU_BT!$E$5:$O$51</definedName>
    <definedName name="_xlnm.Print_Area" localSheetId="57">PhieuCTVL!$E$5:$P$45</definedName>
    <definedName name="_xlnm.Print_Area" localSheetId="58">PhongThinghiem!$E$5:$P$82</definedName>
    <definedName name="_xlnm.Print_Area" localSheetId="49">THAO_VK!$E$5:$M$50</definedName>
    <definedName name="_xlnm.Print_Titles" localSheetId="44">BBKT_Dap!$58:$60</definedName>
    <definedName name="_xlnm.Print_Titles" localSheetId="43">BBKT_Homong!$56:$56</definedName>
    <definedName name="_xlnm.Print_Titles" localSheetId="50">BBKT_KTHHBT!$54:$54</definedName>
    <definedName name="_xlnm.Print_Titles" localSheetId="45">BBKT_VK!$56:$56</definedName>
    <definedName name="_xlnm.Print_Titles" localSheetId="39">DanhmucBBCV!$8:$8</definedName>
    <definedName name="_xlnm.Print_Titles" localSheetId="61">Dieukientruocthicong!$39:$39</definedName>
    <definedName name="_xlnm.Print_Titles" localSheetId="66">GhiNhatky!$5:$5</definedName>
    <definedName name="_xlnm.Print_Titles" localSheetId="68">InNKGS!$1:$6</definedName>
    <definedName name="_xlnm.Print_Titles" localSheetId="67">InNKTC!$1:$6</definedName>
    <definedName name="_xlnm.Print_Titles" localSheetId="60">N.thuMoc!$45:$45</definedName>
    <definedName name="_xlnm.Print_Titles" localSheetId="21">Nhattrinh!$8:$8</definedName>
    <definedName name="_xlnm.Print_Titles" localSheetId="38">NKchitiet!$3:$3</definedName>
    <definedName name="_xlnm.Print_Titles" localSheetId="49">THAO_VK!$35:$36</definedName>
    <definedName name="Td_CDT">Thongtin!$A$14</definedName>
    <definedName name="Td_DDCĐT">Thongtin!$A$14</definedName>
    <definedName name="Td_DVGS">Thongtin!$A$18</definedName>
    <definedName name="Td_DVTC">Thongtin!$A$23</definedName>
    <definedName name="THAO_VKVungBBKT">THAO_VK!$E$5:$M$50</definedName>
    <definedName name="Thinghiem1">Thongtin!$D$37</definedName>
    <definedName name="Thinghiem2">Thongtin!$D$38</definedName>
    <definedName name="Tieude1">Thongtin!$A$4</definedName>
    <definedName name="Tieude2">Thongtin!$A$5</definedName>
    <definedName name="Tieude3">Thongtin!$A$6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 i="156" l="1"/>
  <c r="O7" i="156"/>
  <c r="O8" i="156"/>
  <c r="O9" i="156"/>
  <c r="O10" i="156"/>
  <c r="O11" i="156"/>
  <c r="P6" i="117"/>
  <c r="O6" i="9"/>
  <c r="O6" i="8"/>
  <c r="O7" i="8"/>
  <c r="O8" i="8"/>
  <c r="O9" i="8"/>
  <c r="O10" i="8"/>
  <c r="O11" i="8"/>
  <c r="O12" i="8"/>
  <c r="O13" i="8"/>
  <c r="O14" i="8"/>
  <c r="O15" i="8"/>
  <c r="O16" i="8"/>
  <c r="O17" i="8"/>
  <c r="O18" i="8"/>
  <c r="O19" i="8"/>
  <c r="O20" i="8"/>
  <c r="O21" i="8"/>
  <c r="O22" i="8"/>
  <c r="O23" i="8"/>
  <c r="I23" i="99" l="1"/>
  <c r="I20" i="99"/>
  <c r="O112" i="19" l="1"/>
  <c r="O111" i="19"/>
  <c r="P110" i="19"/>
  <c r="O110" i="19"/>
  <c r="N110" i="19"/>
  <c r="B110" i="19"/>
  <c r="B108" i="19" s="1"/>
  <c r="B106" i="19" s="1"/>
  <c r="B104" i="19" s="1"/>
  <c r="Q109" i="19"/>
  <c r="P109" i="19"/>
  <c r="O109" i="19"/>
  <c r="P108" i="19"/>
  <c r="O108" i="19"/>
  <c r="N108" i="19"/>
  <c r="Q107" i="19"/>
  <c r="P107" i="19"/>
  <c r="O107" i="19"/>
  <c r="P106" i="19"/>
  <c r="O106" i="19"/>
  <c r="N106" i="19"/>
  <c r="Q105" i="19"/>
  <c r="P105" i="19"/>
  <c r="O105" i="19"/>
  <c r="D105" i="19"/>
  <c r="D107" i="19" s="1"/>
  <c r="P104" i="19"/>
  <c r="O104" i="19"/>
  <c r="N104" i="19"/>
  <c r="D104" i="19"/>
  <c r="Q103" i="19"/>
  <c r="P103" i="19"/>
  <c r="O103" i="19"/>
  <c r="O102" i="19"/>
  <c r="D102" i="19"/>
  <c r="B101" i="19"/>
  <c r="B100" i="19" s="1"/>
  <c r="B98" i="19" s="1"/>
  <c r="B97" i="19" s="1"/>
  <c r="B96" i="19" s="1"/>
  <c r="D99" i="19"/>
  <c r="P98" i="19"/>
  <c r="O98" i="19"/>
  <c r="N98" i="19"/>
  <c r="L98" i="19"/>
  <c r="D98" i="19"/>
  <c r="Q95" i="19"/>
  <c r="P95" i="19"/>
  <c r="O95" i="19"/>
  <c r="O94" i="19"/>
  <c r="D94" i="19"/>
  <c r="B93" i="19"/>
  <c r="Q92" i="19"/>
  <c r="P92" i="19"/>
  <c r="O92" i="19"/>
  <c r="O91" i="19"/>
  <c r="D91" i="19"/>
  <c r="B90" i="19"/>
  <c r="Q89" i="19"/>
  <c r="P89" i="19"/>
  <c r="O89" i="19"/>
  <c r="O88" i="19"/>
  <c r="D88" i="19"/>
  <c r="D87" i="19"/>
  <c r="P86" i="19"/>
  <c r="O86" i="19"/>
  <c r="N86" i="19"/>
  <c r="L86" i="19"/>
  <c r="D86" i="19"/>
  <c r="B86" i="19"/>
  <c r="Q85" i="19"/>
  <c r="P85" i="19"/>
  <c r="O85" i="19"/>
  <c r="O84" i="19"/>
  <c r="D84" i="19"/>
  <c r="B83" i="19"/>
  <c r="Q82" i="19"/>
  <c r="P82" i="19"/>
  <c r="O82" i="19"/>
  <c r="E82" i="19"/>
  <c r="E83" i="19" s="1"/>
  <c r="E84" i="19" s="1"/>
  <c r="E85" i="19" s="1"/>
  <c r="E86" i="19" s="1"/>
  <c r="E87" i="19" s="1"/>
  <c r="E88" i="19" s="1"/>
  <c r="E89" i="19" s="1"/>
  <c r="E90" i="19" s="1"/>
  <c r="E91" i="19" s="1"/>
  <c r="E92" i="19" s="1"/>
  <c r="E93" i="19" s="1"/>
  <c r="E94" i="19" s="1"/>
  <c r="E95" i="19" s="1"/>
  <c r="E96" i="19" s="1"/>
  <c r="O80" i="19"/>
  <c r="P79" i="19"/>
  <c r="O79" i="19"/>
  <c r="N79" i="19"/>
  <c r="B79" i="19"/>
  <c r="B77" i="19" s="1"/>
  <c r="B75" i="19" s="1"/>
  <c r="B73" i="19" s="1"/>
  <c r="Q78" i="19"/>
  <c r="P78" i="19"/>
  <c r="O78" i="19"/>
  <c r="P77" i="19"/>
  <c r="O77" i="19"/>
  <c r="N77" i="19"/>
  <c r="Q76" i="19"/>
  <c r="P76" i="19"/>
  <c r="O76" i="19"/>
  <c r="P75" i="19"/>
  <c r="O75" i="19"/>
  <c r="N75" i="19"/>
  <c r="Q74" i="19"/>
  <c r="P74" i="19"/>
  <c r="O74" i="19"/>
  <c r="D74" i="19"/>
  <c r="D76" i="19" s="1"/>
  <c r="P73" i="19"/>
  <c r="O73" i="19"/>
  <c r="N73" i="19"/>
  <c r="D73" i="19"/>
  <c r="Q72" i="19"/>
  <c r="P72" i="19"/>
  <c r="O72" i="19"/>
  <c r="O71" i="19"/>
  <c r="D71" i="19"/>
  <c r="B70" i="19"/>
  <c r="B69" i="19" s="1"/>
  <c r="B67" i="19" s="1"/>
  <c r="B66" i="19" s="1"/>
  <c r="B65" i="19" s="1"/>
  <c r="D68" i="19"/>
  <c r="P67" i="19"/>
  <c r="O67" i="19"/>
  <c r="N67" i="19"/>
  <c r="L67" i="19"/>
  <c r="D67" i="19"/>
  <c r="Q64" i="19"/>
  <c r="P64" i="19"/>
  <c r="O64" i="19"/>
  <c r="O63" i="19"/>
  <c r="D63" i="19"/>
  <c r="B62" i="19"/>
  <c r="Q61" i="19"/>
  <c r="P61" i="19"/>
  <c r="O61" i="19"/>
  <c r="O60" i="19"/>
  <c r="D60" i="19"/>
  <c r="B59" i="19"/>
  <c r="Q58" i="19"/>
  <c r="P58" i="19"/>
  <c r="O58" i="19"/>
  <c r="O57" i="19"/>
  <c r="D57" i="19"/>
  <c r="D56" i="19"/>
  <c r="P55" i="19"/>
  <c r="O55" i="19"/>
  <c r="N55" i="19"/>
  <c r="L55" i="19"/>
  <c r="D55" i="19"/>
  <c r="B55" i="19"/>
  <c r="Q54" i="19"/>
  <c r="P54" i="19"/>
  <c r="O54" i="19"/>
  <c r="O53" i="19"/>
  <c r="D53" i="19"/>
  <c r="B52" i="19"/>
  <c r="Q51" i="19"/>
  <c r="P51" i="19"/>
  <c r="O51" i="19"/>
  <c r="E51" i="19"/>
  <c r="E52" i="19" s="1"/>
  <c r="E53" i="19" s="1"/>
  <c r="E54" i="19" s="1"/>
  <c r="E55" i="19" s="1"/>
  <c r="E56" i="19" s="1"/>
  <c r="E57" i="19" s="1"/>
  <c r="E58" i="19" s="1"/>
  <c r="E59" i="19" s="1"/>
  <c r="E60" i="19" s="1"/>
  <c r="E61" i="19" s="1"/>
  <c r="E62" i="19" s="1"/>
  <c r="E63" i="19" s="1"/>
  <c r="E64" i="19" s="1"/>
  <c r="E65" i="19" s="1"/>
  <c r="B48" i="19"/>
  <c r="B46" i="19" s="1"/>
  <c r="B44" i="19" s="1"/>
  <c r="B42" i="19" s="1"/>
  <c r="O49" i="19"/>
  <c r="P48" i="19"/>
  <c r="O48" i="19"/>
  <c r="N48" i="19"/>
  <c r="Q47" i="19"/>
  <c r="P47" i="19"/>
  <c r="O47" i="19"/>
  <c r="P46" i="19"/>
  <c r="O46" i="19"/>
  <c r="N46" i="19"/>
  <c r="Q45" i="19"/>
  <c r="P45" i="19"/>
  <c r="O45" i="19"/>
  <c r="D43" i="19"/>
  <c r="D44" i="19" s="1"/>
  <c r="P44" i="19"/>
  <c r="O44" i="19"/>
  <c r="N44" i="19"/>
  <c r="Q43" i="19"/>
  <c r="P43" i="19"/>
  <c r="O43" i="19"/>
  <c r="D42" i="19"/>
  <c r="P42" i="19"/>
  <c r="O42" i="19"/>
  <c r="N42" i="19"/>
  <c r="Q41" i="19"/>
  <c r="P41" i="19"/>
  <c r="O41" i="19"/>
  <c r="B39" i="19"/>
  <c r="B38" i="19" s="1"/>
  <c r="B36" i="19" s="1"/>
  <c r="B35" i="19" s="1"/>
  <c r="B34" i="19" s="1"/>
  <c r="D40" i="19"/>
  <c r="O40" i="19"/>
  <c r="D37" i="19"/>
  <c r="L36" i="19"/>
  <c r="D36" i="19"/>
  <c r="P36" i="19"/>
  <c r="O36" i="19"/>
  <c r="N36" i="19"/>
  <c r="Q33" i="19"/>
  <c r="P33" i="19"/>
  <c r="O33" i="19"/>
  <c r="B31" i="19"/>
  <c r="D32" i="19"/>
  <c r="O32" i="19"/>
  <c r="Q30" i="19"/>
  <c r="P30" i="19"/>
  <c r="O30" i="19"/>
  <c r="B28" i="19"/>
  <c r="D29" i="19"/>
  <c r="O29" i="19"/>
  <c r="Q27" i="19"/>
  <c r="P27" i="19"/>
  <c r="O27" i="19"/>
  <c r="B21" i="19"/>
  <c r="B24" i="19"/>
  <c r="D26" i="19"/>
  <c r="O26" i="19"/>
  <c r="D25" i="19"/>
  <c r="L24" i="19"/>
  <c r="D24" i="19"/>
  <c r="P24" i="19"/>
  <c r="O24" i="19"/>
  <c r="N24" i="19"/>
  <c r="Q23" i="19"/>
  <c r="P23" i="19"/>
  <c r="O23" i="19"/>
  <c r="D22" i="19"/>
  <c r="O22" i="19"/>
  <c r="E20" i="19"/>
  <c r="E21" i="19" s="1"/>
  <c r="E22" i="19" s="1"/>
  <c r="E23" i="19" s="1"/>
  <c r="E24" i="19" s="1"/>
  <c r="E25" i="19" s="1"/>
  <c r="E26" i="19" s="1"/>
  <c r="E27" i="19" s="1"/>
  <c r="E28" i="19" s="1"/>
  <c r="E29" i="19" s="1"/>
  <c r="E30" i="19" s="1"/>
  <c r="E31" i="19" s="1"/>
  <c r="E32" i="19" s="1"/>
  <c r="E33" i="19" s="1"/>
  <c r="E34" i="19" s="1"/>
  <c r="Q20" i="19"/>
  <c r="P20" i="19"/>
  <c r="O20" i="19"/>
  <c r="D18" i="19"/>
  <c r="O18" i="19"/>
  <c r="Q17" i="19"/>
  <c r="P17" i="19"/>
  <c r="O17" i="19"/>
  <c r="D45" i="19" l="1"/>
  <c r="D46" i="19" s="1"/>
  <c r="E36" i="19"/>
  <c r="E37" i="19" s="1"/>
  <c r="E38" i="19" s="1"/>
  <c r="E39" i="19" s="1"/>
  <c r="E40" i="19" s="1"/>
  <c r="E41" i="19" s="1"/>
  <c r="E42" i="19" s="1"/>
  <c r="E43" i="19" s="1"/>
  <c r="E44" i="19" s="1"/>
  <c r="E45" i="19" s="1"/>
  <c r="E46" i="19" s="1"/>
  <c r="E47" i="19" s="1"/>
  <c r="E48" i="19" s="1"/>
  <c r="E49" i="19" s="1"/>
  <c r="E35" i="19"/>
  <c r="D47" i="19"/>
  <c r="D48" i="19" s="1"/>
  <c r="E98" i="19"/>
  <c r="E99" i="19" s="1"/>
  <c r="E100" i="19" s="1"/>
  <c r="E101" i="19" s="1"/>
  <c r="E102" i="19" s="1"/>
  <c r="E103" i="19" s="1"/>
  <c r="E104" i="19" s="1"/>
  <c r="E105" i="19" s="1"/>
  <c r="E106" i="19" s="1"/>
  <c r="E107" i="19" s="1"/>
  <c r="E108" i="19" s="1"/>
  <c r="E109" i="19" s="1"/>
  <c r="E110" i="19" s="1"/>
  <c r="E111" i="19" s="1"/>
  <c r="E97" i="19"/>
  <c r="D109" i="19"/>
  <c r="D110" i="19" s="1"/>
  <c r="D108" i="19"/>
  <c r="D106" i="19"/>
  <c r="E66" i="19"/>
  <c r="E67" i="19"/>
  <c r="E68" i="19" s="1"/>
  <c r="E69" i="19" s="1"/>
  <c r="E70" i="19" s="1"/>
  <c r="E71" i="19" s="1"/>
  <c r="E72" i="19" s="1"/>
  <c r="E73" i="19" s="1"/>
  <c r="E74" i="19" s="1"/>
  <c r="E75" i="19" s="1"/>
  <c r="E76" i="19" s="1"/>
  <c r="E77" i="19" s="1"/>
  <c r="E78" i="19" s="1"/>
  <c r="E79" i="19" s="1"/>
  <c r="E80" i="19" s="1"/>
  <c r="D78" i="19"/>
  <c r="D79" i="19" s="1"/>
  <c r="D77" i="19"/>
  <c r="D75" i="19"/>
  <c r="U3" i="138"/>
  <c r="U4" i="138"/>
  <c r="U5" i="138"/>
  <c r="U2" i="138"/>
  <c r="U3" i="139"/>
  <c r="U4" i="139"/>
  <c r="U5" i="139"/>
  <c r="U2" i="139"/>
  <c r="U18" i="62" l="1"/>
  <c r="U34" i="125"/>
  <c r="U33" i="125"/>
  <c r="U32" i="125"/>
  <c r="U25" i="125"/>
  <c r="U26" i="125"/>
  <c r="U24" i="125"/>
  <c r="E34" i="125"/>
  <c r="E33" i="125"/>
  <c r="E32" i="125"/>
  <c r="E27" i="125"/>
  <c r="E26" i="125"/>
  <c r="E25" i="125"/>
  <c r="E24" i="125"/>
  <c r="T89" i="125"/>
  <c r="T90" i="125"/>
  <c r="T91" i="125"/>
  <c r="T88" i="125"/>
  <c r="E91" i="125"/>
  <c r="E90" i="125"/>
  <c r="E89" i="125"/>
  <c r="E88" i="125"/>
  <c r="E38" i="69"/>
  <c r="E37" i="69"/>
  <c r="E36" i="69"/>
  <c r="E31" i="69"/>
  <c r="E30" i="69"/>
  <c r="E29" i="69"/>
  <c r="E28" i="69"/>
  <c r="U38" i="69"/>
  <c r="U37" i="69"/>
  <c r="U36" i="69"/>
  <c r="U29" i="69"/>
  <c r="U30" i="69"/>
  <c r="U31" i="69"/>
  <c r="U28" i="69"/>
  <c r="J138" i="59" l="1"/>
  <c r="J137" i="59"/>
  <c r="F140" i="13"/>
  <c r="F139" i="13"/>
  <c r="F16" i="110" l="1"/>
  <c r="H13" i="1"/>
  <c r="E25" i="132" l="1"/>
  <c r="E21" i="99"/>
  <c r="E24" i="100"/>
  <c r="E23" i="124"/>
  <c r="E25" i="98"/>
  <c r="E25" i="97"/>
  <c r="E26" i="123"/>
  <c r="E25" i="122"/>
  <c r="U136" i="59"/>
  <c r="U141" i="59"/>
  <c r="U130" i="121"/>
  <c r="U135" i="121"/>
  <c r="U134" i="121"/>
  <c r="U140" i="59"/>
  <c r="E140" i="59"/>
  <c r="E134" i="121"/>
  <c r="E141" i="59"/>
  <c r="E136" i="59"/>
  <c r="E142" i="13"/>
  <c r="E20" i="154"/>
  <c r="E21" i="160"/>
  <c r="E23" i="152"/>
  <c r="E21" i="132"/>
  <c r="E18" i="99"/>
  <c r="E21" i="100"/>
  <c r="E21" i="124"/>
  <c r="E21" i="98"/>
  <c r="E21" i="97"/>
  <c r="E22" i="123"/>
  <c r="E21" i="122"/>
  <c r="E138" i="13"/>
  <c r="E135" i="121"/>
  <c r="E130" i="121"/>
  <c r="U15" i="60" l="1"/>
  <c r="G29" i="60"/>
  <c r="G28" i="60"/>
  <c r="G32" i="60"/>
  <c r="G31" i="60"/>
  <c r="U33" i="60"/>
  <c r="U30" i="60"/>
  <c r="U27" i="60"/>
  <c r="U22" i="60"/>
  <c r="U19" i="60"/>
  <c r="U10" i="60"/>
  <c r="U11" i="60"/>
  <c r="U12" i="60"/>
  <c r="U13" i="60"/>
  <c r="U43" i="129" l="1"/>
  <c r="E43" i="129"/>
  <c r="E47" i="129"/>
  <c r="E46" i="129"/>
  <c r="E45" i="129"/>
  <c r="U47" i="129"/>
  <c r="U46" i="129"/>
  <c r="U45" i="129"/>
  <c r="U37" i="129"/>
  <c r="U34" i="129"/>
  <c r="U31" i="129"/>
  <c r="U28" i="129"/>
  <c r="U25" i="129"/>
  <c r="U21" i="129"/>
  <c r="U18" i="129"/>
  <c r="U17" i="129"/>
  <c r="U16" i="129"/>
  <c r="U15" i="129"/>
  <c r="U23" i="127"/>
  <c r="U22" i="127"/>
  <c r="U21" i="127"/>
  <c r="U17" i="127"/>
  <c r="U18" i="127"/>
  <c r="U19" i="127"/>
  <c r="U16" i="127"/>
  <c r="U43" i="126"/>
  <c r="U40" i="126"/>
  <c r="U37" i="126"/>
  <c r="U33" i="126"/>
  <c r="U29" i="126"/>
  <c r="U26" i="126"/>
  <c r="U23" i="126"/>
  <c r="U16" i="126"/>
  <c r="U17" i="126"/>
  <c r="U18" i="126"/>
  <c r="U15" i="126"/>
  <c r="K25" i="65"/>
  <c r="K24" i="65"/>
  <c r="K22" i="65"/>
  <c r="K21" i="65"/>
  <c r="F25" i="65"/>
  <c r="F24" i="65"/>
  <c r="F22" i="65"/>
  <c r="F21" i="65"/>
  <c r="U29" i="65"/>
  <c r="U23" i="65"/>
  <c r="U20" i="65"/>
  <c r="U16" i="65"/>
  <c r="U15" i="65"/>
  <c r="U14" i="65"/>
  <c r="U13" i="65"/>
  <c r="E29" i="64"/>
  <c r="U29" i="64"/>
  <c r="U23" i="64"/>
  <c r="U20" i="64"/>
  <c r="U14" i="64"/>
  <c r="U15" i="64"/>
  <c r="U16" i="64"/>
  <c r="U13" i="64"/>
  <c r="F25" i="64"/>
  <c r="F24" i="64"/>
  <c r="F22" i="64"/>
  <c r="F21" i="64"/>
  <c r="F25" i="72"/>
  <c r="F24" i="72"/>
  <c r="F22" i="72"/>
  <c r="F21" i="72"/>
  <c r="U34" i="72"/>
  <c r="E29" i="72"/>
  <c r="U29" i="72"/>
  <c r="U23" i="72"/>
  <c r="U20" i="72"/>
  <c r="U16" i="72"/>
  <c r="U15" i="72"/>
  <c r="U14" i="72"/>
  <c r="U13" i="72"/>
  <c r="U66" i="62"/>
  <c r="U47" i="62"/>
  <c r="U45" i="62"/>
  <c r="E43" i="62"/>
  <c r="U43" i="62"/>
  <c r="U37" i="62"/>
  <c r="U30" i="62"/>
  <c r="U26" i="62"/>
  <c r="U22" i="62"/>
  <c r="U15" i="62"/>
  <c r="U14" i="62"/>
  <c r="U13" i="62"/>
  <c r="U28" i="71"/>
  <c r="U27" i="71"/>
  <c r="U26" i="71"/>
  <c r="U11" i="71"/>
  <c r="U12" i="71"/>
  <c r="U13" i="71"/>
  <c r="U10" i="71"/>
  <c r="U23" i="154" l="1"/>
  <c r="E23" i="154"/>
  <c r="U14" i="154"/>
  <c r="U13" i="154"/>
  <c r="U12" i="154"/>
  <c r="U15" i="154"/>
  <c r="T17" i="154"/>
  <c r="T18" i="154"/>
  <c r="U20" i="154"/>
  <c r="U24" i="154"/>
  <c r="U27" i="154"/>
  <c r="T31" i="154"/>
  <c r="E38" i="160"/>
  <c r="E35" i="160"/>
  <c r="E19" i="160"/>
  <c r="E18" i="160"/>
  <c r="U15" i="160"/>
  <c r="U14" i="160"/>
  <c r="U13" i="160"/>
  <c r="T19" i="160"/>
  <c r="T18" i="160"/>
  <c r="U28" i="160"/>
  <c r="U24" i="160"/>
  <c r="U21" i="160"/>
  <c r="T34" i="152"/>
  <c r="U27" i="152"/>
  <c r="U29" i="152"/>
  <c r="U26" i="152"/>
  <c r="U16" i="152"/>
  <c r="U15" i="152"/>
  <c r="U14" i="152"/>
  <c r="E34" i="152"/>
  <c r="U98" i="59" l="1"/>
  <c r="U97" i="59"/>
  <c r="U96" i="59"/>
  <c r="E106" i="59"/>
  <c r="E96" i="59"/>
  <c r="R1" i="121"/>
  <c r="A1" i="59"/>
  <c r="U82" i="121"/>
  <c r="U83" i="121"/>
  <c r="U81" i="121"/>
  <c r="C14" i="1"/>
  <c r="B1" i="160" l="1"/>
  <c r="B2" i="160"/>
  <c r="B4" i="160"/>
  <c r="B3" i="160"/>
  <c r="I24" i="132"/>
  <c r="I23" i="132"/>
  <c r="F24" i="132"/>
  <c r="F23" i="132"/>
  <c r="I28" i="132"/>
  <c r="I27" i="132"/>
  <c r="F28" i="132"/>
  <c r="F27" i="132"/>
  <c r="I262" i="121"/>
  <c r="J79" i="13"/>
  <c r="H11" i="2"/>
  <c r="H12" i="2" s="1"/>
  <c r="H13" i="2" s="1"/>
  <c r="H14" i="2" s="1"/>
  <c r="H15" i="2" s="1"/>
  <c r="H16" i="2" s="1"/>
  <c r="H17" i="2" s="1"/>
  <c r="H18" i="2" s="1"/>
  <c r="H19" i="2" s="1"/>
  <c r="H20" i="2" s="1"/>
  <c r="H21" i="2" s="1"/>
  <c r="H22" i="2" s="1"/>
  <c r="H23" i="2" s="1"/>
  <c r="H24" i="2" s="1"/>
  <c r="H25" i="2" s="1"/>
  <c r="H26" i="2" s="1"/>
  <c r="H27" i="2" s="1"/>
  <c r="H28" i="2" s="1"/>
  <c r="H29" i="2" s="1"/>
  <c r="H30" i="2" s="1"/>
  <c r="H31" i="2" s="1"/>
  <c r="H32" i="2" s="1"/>
  <c r="H6" i="2"/>
  <c r="H7" i="2" s="1"/>
  <c r="H8" i="2" s="1"/>
  <c r="H9" i="2" s="1"/>
  <c r="E13" i="1" l="1"/>
  <c r="B107" i="113"/>
  <c r="B115" i="113" s="1"/>
  <c r="B123" i="113" s="1"/>
  <c r="B131" i="113" s="1"/>
  <c r="B139" i="113" s="1"/>
  <c r="B67" i="113"/>
  <c r="B75" i="113" s="1"/>
  <c r="B83" i="113" s="1"/>
  <c r="B91" i="113" s="1"/>
  <c r="B27" i="113"/>
  <c r="B35" i="113" s="1"/>
  <c r="B43" i="113" s="1"/>
  <c r="B51" i="113" s="1"/>
  <c r="B19" i="113"/>
  <c r="B47" i="111"/>
  <c r="B50" i="111" s="1"/>
  <c r="B53" i="111" s="1"/>
  <c r="B56" i="111" s="1"/>
  <c r="B59" i="111" s="1"/>
  <c r="B32" i="111"/>
  <c r="B35" i="111" s="1"/>
  <c r="B38" i="111" s="1"/>
  <c r="B41" i="111" s="1"/>
  <c r="B14" i="111"/>
  <c r="B17" i="111" s="1"/>
  <c r="B20" i="111" s="1"/>
  <c r="B23" i="111" s="1"/>
  <c r="B26" i="111" s="1"/>
  <c r="B119" i="115"/>
  <c r="B128" i="115" s="1"/>
  <c r="B137" i="115" s="1"/>
  <c r="B146" i="115" s="1"/>
  <c r="B155" i="115" s="1"/>
  <c r="B74" i="115"/>
  <c r="B83" i="115" s="1"/>
  <c r="B92" i="115" s="1"/>
  <c r="B101" i="115" s="1"/>
  <c r="B20" i="115"/>
  <c r="B29" i="115" s="1"/>
  <c r="B38" i="115" s="1"/>
  <c r="B47" i="115" s="1"/>
  <c r="B56" i="115" s="1"/>
  <c r="K17" i="114"/>
  <c r="F17" i="114"/>
  <c r="B17" i="114"/>
  <c r="K16" i="114"/>
  <c r="G16" i="114"/>
  <c r="H16" i="114" s="1"/>
  <c r="L16" i="114" s="1"/>
  <c r="F16" i="114"/>
  <c r="F15" i="114"/>
  <c r="F14" i="114"/>
  <c r="K15" i="114"/>
  <c r="B15" i="114"/>
  <c r="K14" i="114"/>
  <c r="G14" i="114"/>
  <c r="G15" i="114" s="1"/>
  <c r="K13" i="114"/>
  <c r="K12" i="114"/>
  <c r="K11" i="114"/>
  <c r="G11" i="114"/>
  <c r="I14" i="114" l="1"/>
  <c r="I16" i="114"/>
  <c r="M16" i="114" s="1"/>
  <c r="G17" i="114"/>
  <c r="H14" i="114"/>
  <c r="L14" i="114" s="1"/>
  <c r="M14" i="114"/>
  <c r="H15" i="114"/>
  <c r="L15" i="114" s="1"/>
  <c r="I15" i="114"/>
  <c r="M15" i="114" s="1"/>
  <c r="H17" i="114" l="1"/>
  <c r="L17" i="114" s="1"/>
  <c r="I17" i="114"/>
  <c r="M17" i="114" s="1"/>
  <c r="T1" i="152"/>
  <c r="E13" i="152"/>
  <c r="E11" i="152"/>
  <c r="E21" i="152"/>
  <c r="E20" i="152"/>
  <c r="E30" i="152"/>
  <c r="E27" i="152"/>
  <c r="E26" i="152"/>
  <c r="A2" i="152"/>
  <c r="A1" i="152"/>
  <c r="A7" i="158"/>
  <c r="A8" i="158" s="1"/>
  <c r="A9" i="158" s="1"/>
  <c r="A10" i="158" s="1"/>
  <c r="A11" i="158" s="1"/>
  <c r="A12" i="158" s="1"/>
  <c r="A13" i="158" s="1"/>
  <c r="A14" i="158" s="1"/>
  <c r="A15" i="158" s="1"/>
  <c r="A16" i="158" s="1"/>
  <c r="A17" i="158" s="1"/>
  <c r="A18" i="158" s="1"/>
  <c r="A19" i="158" s="1"/>
  <c r="A20" i="158" s="1"/>
  <c r="A21" i="158" s="1"/>
  <c r="A22" i="158" s="1"/>
  <c r="A23" i="158" s="1"/>
  <c r="A6" i="158"/>
  <c r="A3" i="158"/>
  <c r="A2" i="158"/>
  <c r="H32" i="152"/>
  <c r="H31" i="152"/>
  <c r="H29" i="152"/>
  <c r="H28" i="152"/>
  <c r="H25" i="152"/>
  <c r="H24" i="152"/>
  <c r="I38" i="152"/>
  <c r="H38" i="152"/>
  <c r="E38" i="152"/>
  <c r="E34" i="160"/>
  <c r="E33" i="160"/>
  <c r="F12" i="160"/>
  <c r="E11" i="160"/>
  <c r="L45" i="160"/>
  <c r="I45" i="160"/>
  <c r="F45" i="160"/>
  <c r="K30" i="160"/>
  <c r="F30" i="160"/>
  <c r="K29" i="160"/>
  <c r="F29" i="160"/>
  <c r="E28" i="160"/>
  <c r="K27" i="160"/>
  <c r="F27" i="160"/>
  <c r="K26" i="160"/>
  <c r="F26" i="160"/>
  <c r="E25" i="160"/>
  <c r="E24" i="160"/>
  <c r="K23" i="160"/>
  <c r="F23" i="160"/>
  <c r="K22" i="160"/>
  <c r="F22" i="160"/>
  <c r="E16" i="160"/>
  <c r="E15" i="160"/>
  <c r="E14" i="160"/>
  <c r="E13" i="160"/>
  <c r="E24" i="154"/>
  <c r="L41" i="154"/>
  <c r="I41" i="154"/>
  <c r="F41" i="154"/>
  <c r="E32" i="154"/>
  <c r="E31" i="154"/>
  <c r="K29" i="154"/>
  <c r="K28" i="154"/>
  <c r="F29" i="154"/>
  <c r="F28" i="154"/>
  <c r="E27" i="154"/>
  <c r="K26" i="154"/>
  <c r="K25" i="154"/>
  <c r="F26" i="154"/>
  <c r="F25" i="154"/>
  <c r="K22" i="154"/>
  <c r="K21" i="154"/>
  <c r="F22" i="154"/>
  <c r="F21" i="154"/>
  <c r="E32" i="160"/>
  <c r="A24" i="158" l="1"/>
  <c r="A25" i="158" s="1"/>
  <c r="A26" i="158" s="1"/>
  <c r="A27" i="158" s="1"/>
  <c r="A28" i="158" s="1"/>
  <c r="A29" i="158" s="1"/>
  <c r="A30" i="158" s="1"/>
  <c r="A31" i="158" s="1"/>
  <c r="A32" i="158" s="1"/>
  <c r="A33" i="158" s="1"/>
  <c r="A34" i="158" s="1"/>
  <c r="A35" i="158" s="1"/>
  <c r="A36" i="158" s="1"/>
  <c r="A37" i="158" s="1"/>
  <c r="E18" i="154"/>
  <c r="E17" i="154"/>
  <c r="E15" i="154"/>
  <c r="E14" i="154"/>
  <c r="E13" i="154"/>
  <c r="E12" i="154"/>
  <c r="F11" i="154"/>
  <c r="E10" i="154"/>
  <c r="I43" i="152" l="1"/>
  <c r="H43" i="152"/>
  <c r="E43" i="152"/>
  <c r="F31" i="152"/>
  <c r="F32" i="152"/>
  <c r="F29" i="152"/>
  <c r="F28" i="152"/>
  <c r="F25" i="152"/>
  <c r="F24" i="152"/>
  <c r="E17" i="152"/>
  <c r="E16" i="152"/>
  <c r="E15" i="152"/>
  <c r="E14" i="152"/>
  <c r="P9" i="19" l="1"/>
  <c r="O9" i="19"/>
  <c r="N9" i="19"/>
  <c r="U141" i="13"/>
  <c r="U5" i="149"/>
  <c r="U4" i="149"/>
  <c r="U3" i="149"/>
  <c r="A3" i="154" l="1"/>
  <c r="H55" i="152"/>
  <c r="H52" i="152"/>
  <c r="H51" i="152"/>
  <c r="H50" i="152"/>
  <c r="H49" i="152"/>
  <c r="U23" i="152"/>
  <c r="A1" i="13" l="1"/>
  <c r="C3" i="132" l="1"/>
  <c r="C2" i="132"/>
  <c r="C3" i="98"/>
  <c r="C2" i="98"/>
  <c r="C3" i="97"/>
  <c r="C2" i="97"/>
  <c r="C3" i="123"/>
  <c r="C2" i="123"/>
  <c r="A3" i="122"/>
  <c r="C3" i="122"/>
  <c r="C2" i="122"/>
  <c r="D13" i="151" l="1"/>
  <c r="B13" i="151"/>
  <c r="D12" i="151"/>
  <c r="B12" i="151"/>
  <c r="A11" i="151"/>
  <c r="D10" i="151"/>
  <c r="B10" i="151"/>
  <c r="D9" i="151"/>
  <c r="B9" i="151"/>
  <c r="A8" i="151"/>
  <c r="A6" i="151"/>
  <c r="A5" i="151"/>
  <c r="A4" i="151"/>
  <c r="A3" i="151"/>
  <c r="E87" i="121"/>
  <c r="E95" i="13"/>
  <c r="E19" i="132" l="1"/>
  <c r="E18" i="132"/>
  <c r="A2" i="132"/>
  <c r="E43" i="132" s="1"/>
  <c r="A1" i="132"/>
  <c r="E16" i="99"/>
  <c r="E15" i="99"/>
  <c r="E19" i="100"/>
  <c r="E18" i="100"/>
  <c r="X5" i="100"/>
  <c r="Y4" i="100"/>
  <c r="X4" i="100"/>
  <c r="Z3" i="100"/>
  <c r="Y3" i="100"/>
  <c r="X3" i="100"/>
  <c r="Y2" i="100"/>
  <c r="W1" i="100"/>
  <c r="A1" i="100"/>
  <c r="E19" i="124"/>
  <c r="E18" i="124"/>
  <c r="E19" i="98"/>
  <c r="E18" i="98"/>
  <c r="A2" i="98"/>
  <c r="E19" i="97"/>
  <c r="E18" i="97"/>
  <c r="A2" i="97"/>
  <c r="A1" i="97"/>
  <c r="E19" i="123"/>
  <c r="E18" i="123"/>
  <c r="A2" i="123"/>
  <c r="A1" i="123"/>
  <c r="E19" i="122"/>
  <c r="E18" i="122"/>
  <c r="A2" i="122"/>
  <c r="A1" i="122"/>
  <c r="G8" i="123"/>
  <c r="E8" i="100"/>
  <c r="F28" i="124"/>
  <c r="F31" i="97"/>
  <c r="E8" i="132"/>
  <c r="F30" i="122"/>
  <c r="E7" i="99"/>
  <c r="E30" i="100"/>
  <c r="F31" i="98"/>
  <c r="F30" i="97"/>
  <c r="F31" i="132"/>
  <c r="F32" i="123"/>
  <c r="F26" i="99"/>
  <c r="F27" i="124"/>
  <c r="F30" i="98"/>
  <c r="E8" i="97"/>
  <c r="E8" i="122"/>
  <c r="F33" i="123"/>
  <c r="F25" i="99"/>
  <c r="E8" i="124"/>
  <c r="E8" i="98"/>
  <c r="F30" i="132"/>
  <c r="F31" i="122"/>
  <c r="E131" i="98" l="1"/>
  <c r="E132" i="98"/>
  <c r="F54" i="98"/>
  <c r="E54" i="98"/>
  <c r="E45" i="97"/>
  <c r="F45" i="97"/>
  <c r="F47" i="123"/>
  <c r="E47" i="123"/>
  <c r="E44" i="122"/>
  <c r="F44" i="122"/>
  <c r="F2" i="138"/>
  <c r="F1" i="138"/>
  <c r="F2" i="139"/>
  <c r="F1" i="139"/>
  <c r="E1" i="139" s="1"/>
  <c r="A3" i="150" l="1"/>
  <c r="A2" i="150"/>
  <c r="E6" i="149"/>
  <c r="U6" i="149" s="1"/>
  <c r="E5" i="149"/>
  <c r="E4" i="149"/>
  <c r="E3" i="149"/>
  <c r="A4" i="148"/>
  <c r="A3" i="148"/>
  <c r="A4" i="147"/>
  <c r="A3" i="147"/>
  <c r="A4" i="146"/>
  <c r="A3" i="146"/>
  <c r="A4" i="145"/>
  <c r="A3" i="145"/>
  <c r="A4" i="144"/>
  <c r="A3" i="144"/>
  <c r="A4" i="143"/>
  <c r="A3" i="143"/>
  <c r="A4" i="142"/>
  <c r="A3" i="142"/>
  <c r="A4" i="141"/>
  <c r="A3" i="141"/>
  <c r="E37" i="129"/>
  <c r="E31" i="129"/>
  <c r="E28" i="129"/>
  <c r="E21" i="129"/>
  <c r="E18" i="129"/>
  <c r="E17" i="129"/>
  <c r="E16" i="129"/>
  <c r="E15" i="129"/>
  <c r="B2" i="127"/>
  <c r="I9" i="127" s="1"/>
  <c r="D1" i="127"/>
  <c r="E23" i="127"/>
  <c r="E22" i="127"/>
  <c r="E21" i="127"/>
  <c r="E19" i="127"/>
  <c r="E18" i="127"/>
  <c r="E17" i="127"/>
  <c r="E16" i="127"/>
  <c r="E6" i="127"/>
  <c r="K93" i="126"/>
  <c r="K78" i="126"/>
  <c r="K76" i="126"/>
  <c r="K72" i="126"/>
  <c r="K70" i="126"/>
  <c r="K66" i="126"/>
  <c r="K64" i="126"/>
  <c r="E86" i="126"/>
  <c r="E80" i="126"/>
  <c r="E74" i="126"/>
  <c r="E62" i="126"/>
  <c r="E43" i="126"/>
  <c r="J39" i="126"/>
  <c r="K90" i="126" s="1"/>
  <c r="J38" i="126"/>
  <c r="K88" i="126" s="1"/>
  <c r="E39" i="126"/>
  <c r="E38" i="126"/>
  <c r="E37" i="126"/>
  <c r="J35" i="126"/>
  <c r="K84" i="126" s="1"/>
  <c r="J34" i="126"/>
  <c r="K82" i="126" s="1"/>
  <c r="E35" i="126"/>
  <c r="E34" i="126"/>
  <c r="E33" i="126"/>
  <c r="E29" i="126"/>
  <c r="E23" i="126"/>
  <c r="E18" i="126"/>
  <c r="E17" i="126"/>
  <c r="E16" i="126"/>
  <c r="E15" i="126"/>
  <c r="B2" i="126"/>
  <c r="H9" i="126" s="1"/>
  <c r="U56" i="128"/>
  <c r="U16" i="128"/>
  <c r="E20" i="128"/>
  <c r="E19" i="128"/>
  <c r="E18" i="128"/>
  <c r="E22" i="128"/>
  <c r="U57" i="128"/>
  <c r="U32" i="128"/>
  <c r="U31" i="128"/>
  <c r="U30" i="128"/>
  <c r="U20" i="128"/>
  <c r="U19" i="128"/>
  <c r="U18" i="128"/>
  <c r="U13" i="128"/>
  <c r="D1" i="128"/>
  <c r="F14" i="128"/>
  <c r="G59" i="128"/>
  <c r="E57" i="128"/>
  <c r="E56" i="128"/>
  <c r="E55" i="128"/>
  <c r="E53" i="128"/>
  <c r="E51" i="128"/>
  <c r="E24" i="128"/>
  <c r="E36" i="128"/>
  <c r="E33" i="128"/>
  <c r="E32" i="128"/>
  <c r="E31" i="128"/>
  <c r="E30" i="128"/>
  <c r="E29" i="128"/>
  <c r="E21" i="128"/>
  <c r="E16" i="128"/>
  <c r="E20" i="126" l="1"/>
  <c r="O17" i="139"/>
  <c r="O18" i="139"/>
  <c r="O19" i="139"/>
  <c r="O20" i="139"/>
  <c r="O21" i="139"/>
  <c r="O22" i="139"/>
  <c r="O23" i="139"/>
  <c r="O24" i="139"/>
  <c r="O25" i="139"/>
  <c r="O26" i="139"/>
  <c r="O27" i="139"/>
  <c r="O28" i="139"/>
  <c r="O29" i="139"/>
  <c r="O30" i="139"/>
  <c r="O31" i="139"/>
  <c r="O32" i="139"/>
  <c r="O33" i="139"/>
  <c r="O34" i="139"/>
  <c r="O35" i="139"/>
  <c r="O36" i="139"/>
  <c r="O37" i="139"/>
  <c r="O38" i="139"/>
  <c r="O39" i="139"/>
  <c r="O40" i="139"/>
  <c r="O41" i="139"/>
  <c r="O42" i="139"/>
  <c r="O43" i="139"/>
  <c r="O44" i="139"/>
  <c r="O45" i="139"/>
  <c r="O46" i="139"/>
  <c r="O47" i="139"/>
  <c r="O48" i="139"/>
  <c r="O49" i="139"/>
  <c r="O50" i="139"/>
  <c r="O51" i="139"/>
  <c r="O52" i="139"/>
  <c r="O53" i="139"/>
  <c r="O54" i="139"/>
  <c r="O55" i="139"/>
  <c r="O56" i="139"/>
  <c r="O57" i="139"/>
  <c r="O58" i="139"/>
  <c r="O59" i="139"/>
  <c r="O60" i="139"/>
  <c r="O61" i="139"/>
  <c r="O62" i="139"/>
  <c r="O63" i="139"/>
  <c r="O64" i="139"/>
  <c r="O65" i="139"/>
  <c r="O66" i="139"/>
  <c r="O67" i="139"/>
  <c r="O68" i="139"/>
  <c r="O69" i="139"/>
  <c r="O70" i="139"/>
  <c r="O71" i="139"/>
  <c r="O72" i="139"/>
  <c r="O73" i="139"/>
  <c r="O74" i="139"/>
  <c r="O75" i="139"/>
  <c r="O76" i="139"/>
  <c r="O77" i="139"/>
  <c r="O78" i="139"/>
  <c r="O79" i="139"/>
  <c r="O80" i="139"/>
  <c r="O81" i="139"/>
  <c r="O82" i="139"/>
  <c r="O83" i="139"/>
  <c r="O84" i="139"/>
  <c r="O85" i="139"/>
  <c r="O86" i="139"/>
  <c r="O87" i="139"/>
  <c r="O88" i="139"/>
  <c r="O89" i="139"/>
  <c r="O90" i="139"/>
  <c r="O91" i="139"/>
  <c r="O92" i="139"/>
  <c r="O93" i="139"/>
  <c r="O94" i="139"/>
  <c r="O95" i="139"/>
  <c r="O96" i="139"/>
  <c r="O97" i="139"/>
  <c r="O98" i="139"/>
  <c r="O99" i="139"/>
  <c r="O100" i="139"/>
  <c r="O101" i="139"/>
  <c r="O102" i="139"/>
  <c r="O103" i="139"/>
  <c r="O104" i="139"/>
  <c r="O105" i="139"/>
  <c r="O106" i="139"/>
  <c r="O107" i="139"/>
  <c r="O108" i="139"/>
  <c r="O109" i="139"/>
  <c r="O110" i="139"/>
  <c r="O111" i="139"/>
  <c r="O112" i="139"/>
  <c r="O113" i="139"/>
  <c r="O114" i="139"/>
  <c r="O115" i="139"/>
  <c r="O116" i="139"/>
  <c r="O117" i="139"/>
  <c r="O118" i="139"/>
  <c r="O119" i="139"/>
  <c r="O120" i="139"/>
  <c r="O121" i="139"/>
  <c r="O122" i="139"/>
  <c r="O123" i="139"/>
  <c r="O124" i="139"/>
  <c r="O125" i="139"/>
  <c r="O126" i="139"/>
  <c r="O127" i="139"/>
  <c r="O128" i="139"/>
  <c r="O129" i="139"/>
  <c r="O130" i="139"/>
  <c r="O131" i="139"/>
  <c r="O132" i="139"/>
  <c r="O133" i="139"/>
  <c r="O134" i="139"/>
  <c r="O135" i="139"/>
  <c r="O136" i="139"/>
  <c r="O137" i="139"/>
  <c r="O138" i="139"/>
  <c r="O139" i="139"/>
  <c r="O140" i="139"/>
  <c r="O141" i="139"/>
  <c r="O142" i="139"/>
  <c r="O143" i="139"/>
  <c r="O144" i="139"/>
  <c r="O145" i="139"/>
  <c r="O146" i="139"/>
  <c r="O147" i="139"/>
  <c r="O148" i="139"/>
  <c r="O149" i="139"/>
  <c r="O150" i="139"/>
  <c r="O151" i="139"/>
  <c r="O152" i="139"/>
  <c r="O153" i="139"/>
  <c r="O154" i="139"/>
  <c r="O155" i="139"/>
  <c r="O156" i="139"/>
  <c r="O157" i="139"/>
  <c r="O158" i="139"/>
  <c r="O159" i="139"/>
  <c r="O160" i="139"/>
  <c r="O161" i="139"/>
  <c r="O162" i="139"/>
  <c r="O163" i="139"/>
  <c r="O164" i="139"/>
  <c r="O165" i="139"/>
  <c r="O166" i="139"/>
  <c r="O167" i="139"/>
  <c r="O168" i="139"/>
  <c r="O169" i="139"/>
  <c r="O170" i="139"/>
  <c r="O171" i="139"/>
  <c r="O172" i="139"/>
  <c r="O173" i="139"/>
  <c r="O174" i="139"/>
  <c r="O175" i="139"/>
  <c r="O176" i="139"/>
  <c r="O177" i="139"/>
  <c r="O178" i="139"/>
  <c r="O179" i="139"/>
  <c r="O180" i="139"/>
  <c r="O181" i="139"/>
  <c r="O182" i="139"/>
  <c r="O183" i="139"/>
  <c r="O184" i="139"/>
  <c r="O185" i="139"/>
  <c r="O186" i="139"/>
  <c r="O187" i="139"/>
  <c r="O188" i="139"/>
  <c r="O189" i="139"/>
  <c r="O190" i="139"/>
  <c r="O191" i="139"/>
  <c r="O192" i="139"/>
  <c r="O193" i="139"/>
  <c r="O194" i="139"/>
  <c r="O195" i="139"/>
  <c r="O196" i="139"/>
  <c r="O197" i="139"/>
  <c r="O198" i="139"/>
  <c r="O199" i="139"/>
  <c r="O200" i="139"/>
  <c r="O201" i="139"/>
  <c r="O202" i="139"/>
  <c r="O203" i="139"/>
  <c r="O204" i="139"/>
  <c r="O205" i="139"/>
  <c r="O206" i="139"/>
  <c r="O207" i="139"/>
  <c r="O208" i="139"/>
  <c r="O209" i="139"/>
  <c r="O210" i="139"/>
  <c r="O211" i="139"/>
  <c r="O212" i="139"/>
  <c r="O213" i="139"/>
  <c r="O214" i="139"/>
  <c r="O215" i="139"/>
  <c r="O216" i="139"/>
  <c r="O217" i="139"/>
  <c r="O218" i="139"/>
  <c r="O219" i="139"/>
  <c r="O220" i="139"/>
  <c r="O221" i="139"/>
  <c r="O222" i="139"/>
  <c r="O223" i="139"/>
  <c r="O224" i="139"/>
  <c r="O225" i="139"/>
  <c r="O226" i="139"/>
  <c r="O227" i="139"/>
  <c r="O228" i="139"/>
  <c r="O229" i="139"/>
  <c r="O230" i="139"/>
  <c r="O231" i="139"/>
  <c r="O232" i="139"/>
  <c r="O233" i="139"/>
  <c r="O234" i="139"/>
  <c r="O235" i="139"/>
  <c r="O236" i="139"/>
  <c r="O237" i="139"/>
  <c r="O238" i="139"/>
  <c r="O239" i="139"/>
  <c r="O240" i="139"/>
  <c r="O241" i="139"/>
  <c r="O242" i="139"/>
  <c r="O243" i="139"/>
  <c r="O244" i="139"/>
  <c r="O245" i="139"/>
  <c r="O246" i="139"/>
  <c r="O247" i="139"/>
  <c r="O248" i="139"/>
  <c r="O249" i="139"/>
  <c r="O250" i="139"/>
  <c r="O251" i="139"/>
  <c r="O252" i="139"/>
  <c r="O253" i="139"/>
  <c r="O254" i="139"/>
  <c r="O255" i="139"/>
  <c r="O256" i="139"/>
  <c r="O257" i="139"/>
  <c r="O258" i="139"/>
  <c r="O259" i="139"/>
  <c r="O260" i="139"/>
  <c r="O261" i="139"/>
  <c r="O262" i="139"/>
  <c r="O263" i="139"/>
  <c r="O264" i="139"/>
  <c r="O265" i="139"/>
  <c r="O266" i="139"/>
  <c r="O267" i="139"/>
  <c r="O268" i="139"/>
  <c r="O269" i="139"/>
  <c r="O270" i="139"/>
  <c r="O271" i="139"/>
  <c r="O272" i="139"/>
  <c r="O273" i="139"/>
  <c r="O274" i="139"/>
  <c r="O275" i="139"/>
  <c r="O276" i="139"/>
  <c r="O277" i="139"/>
  <c r="O278" i="139"/>
  <c r="O279" i="139"/>
  <c r="O280" i="139"/>
  <c r="O281" i="139"/>
  <c r="O282" i="139"/>
  <c r="O283" i="139"/>
  <c r="O284" i="139"/>
  <c r="O285" i="139"/>
  <c r="O286" i="139"/>
  <c r="O287" i="139"/>
  <c r="O288" i="139"/>
  <c r="O289" i="139"/>
  <c r="O290" i="139"/>
  <c r="O291" i="139"/>
  <c r="O292" i="139"/>
  <c r="O293" i="139"/>
  <c r="O294" i="139"/>
  <c r="O295" i="139"/>
  <c r="O296" i="139"/>
  <c r="O297" i="139"/>
  <c r="O298" i="139"/>
  <c r="O299" i="139"/>
  <c r="O300" i="139"/>
  <c r="O301" i="139"/>
  <c r="O302" i="139"/>
  <c r="O303" i="139"/>
  <c r="O304" i="139"/>
  <c r="O305" i="139"/>
  <c r="O306" i="139"/>
  <c r="O307" i="139"/>
  <c r="O308" i="139"/>
  <c r="O309" i="139"/>
  <c r="O310" i="139"/>
  <c r="O311" i="139"/>
  <c r="O312" i="139"/>
  <c r="O313" i="139"/>
  <c r="O314" i="139"/>
  <c r="O315" i="139"/>
  <c r="O316" i="139"/>
  <c r="O317" i="139"/>
  <c r="O318" i="139"/>
  <c r="O319" i="139"/>
  <c r="O320" i="139"/>
  <c r="O321" i="139"/>
  <c r="O322" i="139"/>
  <c r="O323" i="139"/>
  <c r="O324" i="139"/>
  <c r="O325" i="139"/>
  <c r="O326" i="139"/>
  <c r="O327" i="139"/>
  <c r="O328" i="139"/>
  <c r="O329" i="139"/>
  <c r="O330" i="139"/>
  <c r="O331" i="139"/>
  <c r="O332" i="139"/>
  <c r="O333" i="139"/>
  <c r="O334" i="139"/>
  <c r="O335" i="139"/>
  <c r="O336" i="139"/>
  <c r="O337" i="139"/>
  <c r="O338" i="139"/>
  <c r="O339" i="139"/>
  <c r="O340" i="139"/>
  <c r="O341" i="139"/>
  <c r="O342" i="139"/>
  <c r="O343" i="139"/>
  <c r="O344" i="139"/>
  <c r="O345" i="139"/>
  <c r="O346" i="139"/>
  <c r="O347" i="139"/>
  <c r="O348" i="139"/>
  <c r="O349" i="139"/>
  <c r="O350" i="139"/>
  <c r="O351" i="139"/>
  <c r="O352" i="139"/>
  <c r="O353" i="139"/>
  <c r="O354" i="139"/>
  <c r="O355" i="139"/>
  <c r="O356" i="139"/>
  <c r="O357" i="139"/>
  <c r="O358" i="139"/>
  <c r="O359" i="139"/>
  <c r="O360" i="139"/>
  <c r="O361" i="139"/>
  <c r="O362" i="139"/>
  <c r="O363" i="139"/>
  <c r="O364" i="139"/>
  <c r="O365" i="139"/>
  <c r="O366" i="139"/>
  <c r="O367" i="139"/>
  <c r="O368" i="139"/>
  <c r="O369" i="139"/>
  <c r="O370" i="139"/>
  <c r="O371" i="139"/>
  <c r="O372" i="139"/>
  <c r="O373" i="139"/>
  <c r="O374" i="139"/>
  <c r="O375" i="139"/>
  <c r="O376" i="139"/>
  <c r="O377" i="139"/>
  <c r="O378" i="139"/>
  <c r="O379" i="139"/>
  <c r="O380" i="139"/>
  <c r="O381" i="139"/>
  <c r="O382" i="139"/>
  <c r="O383" i="139"/>
  <c r="O384" i="139"/>
  <c r="O385" i="139"/>
  <c r="O386" i="139"/>
  <c r="O387" i="139"/>
  <c r="O388" i="139"/>
  <c r="O389" i="139"/>
  <c r="O390" i="139"/>
  <c r="O391" i="139"/>
  <c r="O392" i="139"/>
  <c r="O393" i="139"/>
  <c r="O394" i="139"/>
  <c r="O395" i="139"/>
  <c r="O396" i="139"/>
  <c r="O397" i="139"/>
  <c r="O398" i="139"/>
  <c r="O399" i="139"/>
  <c r="O400" i="139"/>
  <c r="O401" i="139"/>
  <c r="O402" i="139"/>
  <c r="O403" i="139"/>
  <c r="O404" i="139"/>
  <c r="O405" i="139"/>
  <c r="O406" i="139"/>
  <c r="O407" i="139"/>
  <c r="O408" i="139"/>
  <c r="O409" i="139"/>
  <c r="O410" i="139"/>
  <c r="O411" i="139"/>
  <c r="O412" i="139"/>
  <c r="O413" i="139"/>
  <c r="O414" i="139"/>
  <c r="O415" i="139"/>
  <c r="O416" i="139"/>
  <c r="O417" i="139"/>
  <c r="O418" i="139"/>
  <c r="O419" i="139"/>
  <c r="O420" i="139"/>
  <c r="O421" i="139"/>
  <c r="O422" i="139"/>
  <c r="O423" i="139"/>
  <c r="O424" i="139"/>
  <c r="O425" i="139"/>
  <c r="O426" i="139"/>
  <c r="O427" i="139"/>
  <c r="O428" i="139"/>
  <c r="O429" i="139"/>
  <c r="O430" i="139"/>
  <c r="O431" i="139"/>
  <c r="O432" i="139"/>
  <c r="O433" i="139"/>
  <c r="O434" i="139"/>
  <c r="O435" i="139"/>
  <c r="O436" i="139"/>
  <c r="O437" i="139"/>
  <c r="O438" i="139"/>
  <c r="O439" i="139"/>
  <c r="O440" i="139"/>
  <c r="O441" i="139"/>
  <c r="O442" i="139"/>
  <c r="O443" i="139"/>
  <c r="O444" i="139"/>
  <c r="O445" i="139"/>
  <c r="O446" i="139"/>
  <c r="O447" i="139"/>
  <c r="O448" i="139"/>
  <c r="O449" i="139"/>
  <c r="O450" i="139"/>
  <c r="O451" i="139"/>
  <c r="O452" i="139"/>
  <c r="O453" i="139"/>
  <c r="O454" i="139"/>
  <c r="O455" i="139"/>
  <c r="O456" i="139"/>
  <c r="O457" i="139"/>
  <c r="O458" i="139"/>
  <c r="O459" i="139"/>
  <c r="O460" i="139"/>
  <c r="O461" i="139"/>
  <c r="O462" i="139"/>
  <c r="O463" i="139"/>
  <c r="O464" i="139"/>
  <c r="O465" i="139"/>
  <c r="O466" i="139"/>
  <c r="O467" i="139"/>
  <c r="O468" i="139"/>
  <c r="O469" i="139"/>
  <c r="O470" i="139"/>
  <c r="O471" i="139"/>
  <c r="O472" i="139"/>
  <c r="O473" i="139"/>
  <c r="O474" i="139"/>
  <c r="O475" i="139"/>
  <c r="O476" i="139"/>
  <c r="O477" i="139"/>
  <c r="O478" i="139"/>
  <c r="O479" i="139"/>
  <c r="O480" i="139"/>
  <c r="O481" i="139"/>
  <c r="O482" i="139"/>
  <c r="O483" i="139"/>
  <c r="O484" i="139"/>
  <c r="O485" i="139"/>
  <c r="O486" i="139"/>
  <c r="O487" i="139"/>
  <c r="O488" i="139"/>
  <c r="O489" i="139"/>
  <c r="O490" i="139"/>
  <c r="O491" i="139"/>
  <c r="O492" i="139"/>
  <c r="O493" i="139"/>
  <c r="O494" i="139"/>
  <c r="O495" i="139"/>
  <c r="O496" i="139"/>
  <c r="O497" i="139"/>
  <c r="O498" i="139"/>
  <c r="O499" i="139"/>
  <c r="O500" i="139"/>
  <c r="O501" i="139"/>
  <c r="O502" i="139"/>
  <c r="O503" i="139"/>
  <c r="O504" i="139"/>
  <c r="O505" i="139"/>
  <c r="O506" i="139"/>
  <c r="O507" i="139"/>
  <c r="O508" i="139"/>
  <c r="O509" i="139"/>
  <c r="O510" i="139"/>
  <c r="O511" i="139"/>
  <c r="O512" i="139"/>
  <c r="O513" i="139"/>
  <c r="O514" i="139"/>
  <c r="O515" i="139"/>
  <c r="O516" i="139"/>
  <c r="O517" i="139"/>
  <c r="O518" i="139"/>
  <c r="O519" i="139"/>
  <c r="O520" i="139"/>
  <c r="O521" i="139"/>
  <c r="O522" i="139"/>
  <c r="O523" i="139"/>
  <c r="O524" i="139"/>
  <c r="O525" i="139"/>
  <c r="O526" i="139"/>
  <c r="O527" i="139"/>
  <c r="O528" i="139"/>
  <c r="O529" i="139"/>
  <c r="O530" i="139"/>
  <c r="O531" i="139"/>
  <c r="O532" i="139"/>
  <c r="O533" i="139"/>
  <c r="O534" i="139"/>
  <c r="O535" i="139"/>
  <c r="O536" i="139"/>
  <c r="O537" i="139"/>
  <c r="O538" i="139"/>
  <c r="O539" i="139"/>
  <c r="O540" i="139"/>
  <c r="O541" i="139"/>
  <c r="O542" i="139"/>
  <c r="O543" i="139"/>
  <c r="O544" i="139"/>
  <c r="O545" i="139"/>
  <c r="O546" i="139"/>
  <c r="O547" i="139"/>
  <c r="O548" i="139"/>
  <c r="O549" i="139"/>
  <c r="O550" i="139"/>
  <c r="O551" i="139"/>
  <c r="O552" i="139"/>
  <c r="O553" i="139"/>
  <c r="O554" i="139"/>
  <c r="O555" i="139"/>
  <c r="O556" i="139"/>
  <c r="O557" i="139"/>
  <c r="O558" i="139"/>
  <c r="O559" i="139"/>
  <c r="O560" i="139"/>
  <c r="O561" i="139"/>
  <c r="O562" i="139"/>
  <c r="O563" i="139"/>
  <c r="O564" i="139"/>
  <c r="O565" i="139"/>
  <c r="O566" i="139"/>
  <c r="O567" i="139"/>
  <c r="O568" i="139"/>
  <c r="O569" i="139"/>
  <c r="O570" i="139"/>
  <c r="O571" i="139"/>
  <c r="O572" i="139"/>
  <c r="O573" i="139"/>
  <c r="O574" i="139"/>
  <c r="O575" i="139"/>
  <c r="O576" i="139"/>
  <c r="O577" i="139"/>
  <c r="O578" i="139"/>
  <c r="O579" i="139"/>
  <c r="O580" i="139"/>
  <c r="O581" i="139"/>
  <c r="O582" i="139"/>
  <c r="O583" i="139"/>
  <c r="O584" i="139"/>
  <c r="O585" i="139"/>
  <c r="O586" i="139"/>
  <c r="O587" i="139"/>
  <c r="O588" i="139"/>
  <c r="O589" i="139"/>
  <c r="O590" i="139"/>
  <c r="O591" i="139"/>
  <c r="O592" i="139"/>
  <c r="O593" i="139"/>
  <c r="O594" i="139"/>
  <c r="O595" i="139"/>
  <c r="O596" i="139"/>
  <c r="O597" i="139"/>
  <c r="O598" i="139"/>
  <c r="O599" i="139"/>
  <c r="O600" i="139"/>
  <c r="O601" i="139"/>
  <c r="O602" i="139"/>
  <c r="O603" i="139"/>
  <c r="O604" i="139"/>
  <c r="O605" i="139"/>
  <c r="O606" i="139"/>
  <c r="O607" i="139"/>
  <c r="O608" i="139"/>
  <c r="O609" i="139"/>
  <c r="O610" i="139"/>
  <c r="O611" i="139"/>
  <c r="O612" i="139"/>
  <c r="O613" i="139"/>
  <c r="O614" i="139"/>
  <c r="O615" i="139"/>
  <c r="O616" i="139"/>
  <c r="O617" i="139"/>
  <c r="O618" i="139"/>
  <c r="O619" i="139"/>
  <c r="O620" i="139"/>
  <c r="O621" i="139"/>
  <c r="O622" i="139"/>
  <c r="O623" i="139"/>
  <c r="O624" i="139"/>
  <c r="O625" i="139"/>
  <c r="O626" i="139"/>
  <c r="O627" i="139"/>
  <c r="O628" i="139"/>
  <c r="O629" i="139"/>
  <c r="O630" i="139"/>
  <c r="O631" i="139"/>
  <c r="O632" i="139"/>
  <c r="O633" i="139"/>
  <c r="O634" i="139"/>
  <c r="O635" i="139"/>
  <c r="O636" i="139"/>
  <c r="O637" i="139"/>
  <c r="O638" i="139"/>
  <c r="O639" i="139"/>
  <c r="O640" i="139"/>
  <c r="O641" i="139"/>
  <c r="O642" i="139"/>
  <c r="O643" i="139"/>
  <c r="O644" i="139"/>
  <c r="O645" i="139"/>
  <c r="O646" i="139"/>
  <c r="O647" i="139"/>
  <c r="O648" i="139"/>
  <c r="O649" i="139"/>
  <c r="O650" i="139"/>
  <c r="O651" i="139"/>
  <c r="O652" i="139"/>
  <c r="O653" i="139"/>
  <c r="O654" i="139"/>
  <c r="O655" i="139"/>
  <c r="O656" i="139"/>
  <c r="O657" i="139"/>
  <c r="O658" i="139"/>
  <c r="O659" i="139"/>
  <c r="O660" i="139"/>
  <c r="O661" i="139"/>
  <c r="O662" i="139"/>
  <c r="O663" i="139"/>
  <c r="O664" i="139"/>
  <c r="O665" i="139"/>
  <c r="O666" i="139"/>
  <c r="O667" i="139"/>
  <c r="O668" i="139"/>
  <c r="O669" i="139"/>
  <c r="O670" i="139"/>
  <c r="O671" i="139"/>
  <c r="O672" i="139"/>
  <c r="O673" i="139"/>
  <c r="O674" i="139"/>
  <c r="O675" i="139"/>
  <c r="O676" i="139"/>
  <c r="O677" i="139"/>
  <c r="O678" i="139"/>
  <c r="O679" i="139"/>
  <c r="O680" i="139"/>
  <c r="O681" i="139"/>
  <c r="O682" i="139"/>
  <c r="O683" i="139"/>
  <c r="O684" i="139"/>
  <c r="O685" i="139"/>
  <c r="O686" i="139"/>
  <c r="O687" i="139"/>
  <c r="O688" i="139"/>
  <c r="O689" i="139"/>
  <c r="O690" i="139"/>
  <c r="O691" i="139"/>
  <c r="O692" i="139"/>
  <c r="O693" i="139"/>
  <c r="O694" i="139"/>
  <c r="O695" i="139"/>
  <c r="O696" i="139"/>
  <c r="O697" i="139"/>
  <c r="O698" i="139"/>
  <c r="O699" i="139"/>
  <c r="O700" i="139"/>
  <c r="O701" i="139"/>
  <c r="O702" i="139"/>
  <c r="O703" i="139"/>
  <c r="O704" i="139"/>
  <c r="O705" i="139"/>
  <c r="O16" i="139"/>
  <c r="O14" i="139"/>
  <c r="N1" i="139"/>
  <c r="M1" i="139"/>
  <c r="B720" i="139"/>
  <c r="A720" i="139"/>
  <c r="C705" i="139"/>
  <c r="C704" i="139"/>
  <c r="C703" i="139"/>
  <c r="C702" i="139"/>
  <c r="C701" i="139"/>
  <c r="C700" i="139"/>
  <c r="C699" i="139"/>
  <c r="C698" i="139"/>
  <c r="C697" i="139"/>
  <c r="C696" i="139"/>
  <c r="C695" i="139"/>
  <c r="C694" i="139"/>
  <c r="C693" i="139"/>
  <c r="C692" i="139"/>
  <c r="C691" i="139"/>
  <c r="C690" i="139"/>
  <c r="C689" i="139"/>
  <c r="C688" i="139"/>
  <c r="C687" i="139"/>
  <c r="C686" i="139"/>
  <c r="C685" i="139"/>
  <c r="C684" i="139"/>
  <c r="C683" i="139"/>
  <c r="C682" i="139"/>
  <c r="C681" i="139"/>
  <c r="C680" i="139"/>
  <c r="C679" i="139"/>
  <c r="C678" i="139"/>
  <c r="C677" i="139"/>
  <c r="C676" i="139"/>
  <c r="C675" i="139"/>
  <c r="C674" i="139"/>
  <c r="C673" i="139"/>
  <c r="C672" i="139"/>
  <c r="C671" i="139"/>
  <c r="C670" i="139"/>
  <c r="C669" i="139"/>
  <c r="C668" i="139"/>
  <c r="C667" i="139"/>
  <c r="C666" i="139"/>
  <c r="C665" i="139"/>
  <c r="C664" i="139"/>
  <c r="C663" i="139"/>
  <c r="C662" i="139"/>
  <c r="C661" i="139"/>
  <c r="C660" i="139"/>
  <c r="C659" i="139"/>
  <c r="C658" i="139"/>
  <c r="C657" i="139"/>
  <c r="C656" i="139"/>
  <c r="C655" i="139"/>
  <c r="C654" i="139"/>
  <c r="C653" i="139"/>
  <c r="C652" i="139"/>
  <c r="C651" i="139"/>
  <c r="C650" i="139"/>
  <c r="C649" i="139"/>
  <c r="C648" i="139"/>
  <c r="C647" i="139"/>
  <c r="C646" i="139"/>
  <c r="C645" i="139"/>
  <c r="C644" i="139"/>
  <c r="C643" i="139"/>
  <c r="C642" i="139"/>
  <c r="C641" i="139"/>
  <c r="C640" i="139"/>
  <c r="C639" i="139"/>
  <c r="C638" i="139"/>
  <c r="C637" i="139"/>
  <c r="C636" i="139"/>
  <c r="C635" i="139"/>
  <c r="C634" i="139"/>
  <c r="C633" i="139"/>
  <c r="C632" i="139"/>
  <c r="C631" i="139"/>
  <c r="C630" i="139"/>
  <c r="C629" i="139"/>
  <c r="C628" i="139"/>
  <c r="C627" i="139"/>
  <c r="C626" i="139"/>
  <c r="C625" i="139"/>
  <c r="C624" i="139"/>
  <c r="C623" i="139"/>
  <c r="C622" i="139"/>
  <c r="C621" i="139"/>
  <c r="C620" i="139"/>
  <c r="C619" i="139"/>
  <c r="C618" i="139"/>
  <c r="C617" i="139"/>
  <c r="C616" i="139"/>
  <c r="C615" i="139"/>
  <c r="C614" i="139"/>
  <c r="C613" i="139"/>
  <c r="C612" i="139"/>
  <c r="C611" i="139"/>
  <c r="C610" i="139"/>
  <c r="C609" i="139"/>
  <c r="C608" i="139"/>
  <c r="C607" i="139"/>
  <c r="C606" i="139"/>
  <c r="C605" i="139"/>
  <c r="C604" i="139"/>
  <c r="C603" i="139"/>
  <c r="C602" i="139"/>
  <c r="C601" i="139"/>
  <c r="C600" i="139"/>
  <c r="C599" i="139"/>
  <c r="C598" i="139"/>
  <c r="C597" i="139"/>
  <c r="C596" i="139"/>
  <c r="C595" i="139"/>
  <c r="C594" i="139"/>
  <c r="C593" i="139"/>
  <c r="C592" i="139"/>
  <c r="C591" i="139"/>
  <c r="C590" i="139"/>
  <c r="C589" i="139"/>
  <c r="C588" i="139"/>
  <c r="C587" i="139"/>
  <c r="C586" i="139"/>
  <c r="C585" i="139"/>
  <c r="C584" i="139"/>
  <c r="C583" i="139"/>
  <c r="C582" i="139"/>
  <c r="C581" i="139"/>
  <c r="C580" i="139"/>
  <c r="C579" i="139"/>
  <c r="C578" i="139"/>
  <c r="C577" i="139"/>
  <c r="C576" i="139"/>
  <c r="C575" i="139"/>
  <c r="C574" i="139"/>
  <c r="C573" i="139"/>
  <c r="C572" i="139"/>
  <c r="C571" i="139"/>
  <c r="C570" i="139"/>
  <c r="C569" i="139"/>
  <c r="C568" i="139"/>
  <c r="C567" i="139"/>
  <c r="C566" i="139"/>
  <c r="C565" i="139"/>
  <c r="C564" i="139"/>
  <c r="C563" i="139"/>
  <c r="C562" i="139"/>
  <c r="C561" i="139"/>
  <c r="C560" i="139"/>
  <c r="C559" i="139"/>
  <c r="C558" i="139"/>
  <c r="C557" i="139"/>
  <c r="C556" i="139"/>
  <c r="C555" i="139"/>
  <c r="C554" i="139"/>
  <c r="C553" i="139"/>
  <c r="C552" i="139"/>
  <c r="C551" i="139"/>
  <c r="C550" i="139"/>
  <c r="C549" i="139"/>
  <c r="C548" i="139"/>
  <c r="C547" i="139"/>
  <c r="C546" i="139"/>
  <c r="C545" i="139"/>
  <c r="C544" i="139"/>
  <c r="C543" i="139"/>
  <c r="C542" i="139"/>
  <c r="C541" i="139"/>
  <c r="C540" i="139"/>
  <c r="C539" i="139"/>
  <c r="C538" i="139"/>
  <c r="C537" i="139"/>
  <c r="C536" i="139"/>
  <c r="C535" i="139"/>
  <c r="C534" i="139"/>
  <c r="C533" i="139"/>
  <c r="C532" i="139"/>
  <c r="C531" i="139"/>
  <c r="C530" i="139"/>
  <c r="C529" i="139"/>
  <c r="C528" i="139"/>
  <c r="C527" i="139"/>
  <c r="C526" i="139"/>
  <c r="C525" i="139"/>
  <c r="C524" i="139"/>
  <c r="C523" i="139"/>
  <c r="C522" i="139"/>
  <c r="C521" i="139"/>
  <c r="C520" i="139"/>
  <c r="C519" i="139"/>
  <c r="C518" i="139"/>
  <c r="C517" i="139"/>
  <c r="C516" i="139"/>
  <c r="C515" i="139"/>
  <c r="C514" i="139"/>
  <c r="C513" i="139"/>
  <c r="C512" i="139"/>
  <c r="C511" i="139"/>
  <c r="C510" i="139"/>
  <c r="C509" i="139"/>
  <c r="C508" i="139"/>
  <c r="C507" i="139"/>
  <c r="C506" i="139"/>
  <c r="C505" i="139"/>
  <c r="C504" i="139"/>
  <c r="C503" i="139"/>
  <c r="C502" i="139"/>
  <c r="C501" i="139"/>
  <c r="C500" i="139"/>
  <c r="C499" i="139"/>
  <c r="C498" i="139"/>
  <c r="C497" i="139"/>
  <c r="C496" i="139"/>
  <c r="C495" i="139"/>
  <c r="C494" i="139"/>
  <c r="C493" i="139"/>
  <c r="C492" i="139"/>
  <c r="C491" i="139"/>
  <c r="C490" i="139"/>
  <c r="C489" i="139"/>
  <c r="C488" i="139"/>
  <c r="C487" i="139"/>
  <c r="C486" i="139"/>
  <c r="C485" i="139"/>
  <c r="C484" i="139"/>
  <c r="C483" i="139"/>
  <c r="C482" i="139"/>
  <c r="C481" i="139"/>
  <c r="C480" i="139"/>
  <c r="C479" i="139"/>
  <c r="C478" i="139"/>
  <c r="C477" i="139"/>
  <c r="C476" i="139"/>
  <c r="C475" i="139"/>
  <c r="C474" i="139"/>
  <c r="C473" i="139"/>
  <c r="C472" i="139"/>
  <c r="C471" i="139"/>
  <c r="C470" i="139"/>
  <c r="C469" i="139"/>
  <c r="C468" i="139"/>
  <c r="C467" i="139"/>
  <c r="C466" i="139"/>
  <c r="C465" i="139"/>
  <c r="C464" i="139"/>
  <c r="C463" i="139"/>
  <c r="C462" i="139"/>
  <c r="C461" i="139"/>
  <c r="C460" i="139"/>
  <c r="C459" i="139"/>
  <c r="C458" i="139"/>
  <c r="C457" i="139"/>
  <c r="C456" i="139"/>
  <c r="C455" i="139"/>
  <c r="C454" i="139"/>
  <c r="C453" i="139"/>
  <c r="C452" i="139"/>
  <c r="C451" i="139"/>
  <c r="C450" i="139"/>
  <c r="C449" i="139"/>
  <c r="C448" i="139"/>
  <c r="C447" i="139"/>
  <c r="C446" i="139"/>
  <c r="C445" i="139"/>
  <c r="C444" i="139"/>
  <c r="C443" i="139"/>
  <c r="C442" i="139"/>
  <c r="C441" i="139"/>
  <c r="C440" i="139"/>
  <c r="C439" i="139"/>
  <c r="C438" i="139"/>
  <c r="C437" i="139"/>
  <c r="C436" i="139"/>
  <c r="C435" i="139"/>
  <c r="C434" i="139"/>
  <c r="C433" i="139"/>
  <c r="C432" i="139"/>
  <c r="C431" i="139"/>
  <c r="C430" i="139"/>
  <c r="C429" i="139"/>
  <c r="C428" i="139"/>
  <c r="C427" i="139"/>
  <c r="C426" i="139"/>
  <c r="C425" i="139"/>
  <c r="C424" i="139"/>
  <c r="C423" i="139"/>
  <c r="C422" i="139"/>
  <c r="C421" i="139"/>
  <c r="C420" i="139"/>
  <c r="C419" i="139"/>
  <c r="C418" i="139"/>
  <c r="C417" i="139"/>
  <c r="C416" i="139"/>
  <c r="C415" i="139"/>
  <c r="C414" i="139"/>
  <c r="C413" i="139"/>
  <c r="C412" i="139"/>
  <c r="C411" i="139"/>
  <c r="C410" i="139"/>
  <c r="C409" i="139"/>
  <c r="C408" i="139"/>
  <c r="C407" i="139"/>
  <c r="C406" i="139"/>
  <c r="C405" i="139"/>
  <c r="C404" i="139"/>
  <c r="C403" i="139"/>
  <c r="C402" i="139"/>
  <c r="C401" i="139"/>
  <c r="C400" i="139"/>
  <c r="C399" i="139"/>
  <c r="C398" i="139"/>
  <c r="C397" i="139"/>
  <c r="C396" i="139"/>
  <c r="C395" i="139"/>
  <c r="C394" i="139"/>
  <c r="C393" i="139"/>
  <c r="C392" i="139"/>
  <c r="C391" i="139"/>
  <c r="C390" i="139"/>
  <c r="C389" i="139"/>
  <c r="C388" i="139"/>
  <c r="C387" i="139"/>
  <c r="C386" i="139"/>
  <c r="C385" i="139"/>
  <c r="C384" i="139"/>
  <c r="C383" i="139"/>
  <c r="C382" i="139"/>
  <c r="C381" i="139"/>
  <c r="C380" i="139"/>
  <c r="C379" i="139"/>
  <c r="C378" i="139"/>
  <c r="C377" i="139"/>
  <c r="C376" i="139"/>
  <c r="C375" i="139"/>
  <c r="C374" i="139"/>
  <c r="C373" i="139"/>
  <c r="C372" i="139"/>
  <c r="C371" i="139"/>
  <c r="C370" i="139"/>
  <c r="C369" i="139"/>
  <c r="C368" i="139"/>
  <c r="C367" i="139"/>
  <c r="C366" i="139"/>
  <c r="C365" i="139"/>
  <c r="C364" i="139"/>
  <c r="C363" i="139"/>
  <c r="C362" i="139"/>
  <c r="C361" i="139"/>
  <c r="C360" i="139"/>
  <c r="C359" i="139"/>
  <c r="C358" i="139"/>
  <c r="C357" i="139"/>
  <c r="C356" i="139"/>
  <c r="C355" i="139"/>
  <c r="C354" i="139"/>
  <c r="C353" i="139"/>
  <c r="C352" i="139"/>
  <c r="C351" i="139"/>
  <c r="C350" i="139"/>
  <c r="C349" i="139"/>
  <c r="C348" i="139"/>
  <c r="C347" i="139"/>
  <c r="C346" i="139"/>
  <c r="C345" i="139"/>
  <c r="C344" i="139"/>
  <c r="C343" i="139"/>
  <c r="C342" i="139"/>
  <c r="C341" i="139"/>
  <c r="C340" i="139"/>
  <c r="C339" i="139"/>
  <c r="C338" i="139"/>
  <c r="C337" i="139"/>
  <c r="C336" i="139"/>
  <c r="C335" i="139"/>
  <c r="C334" i="139"/>
  <c r="C333" i="139"/>
  <c r="C332" i="139"/>
  <c r="C331" i="139"/>
  <c r="C330" i="139"/>
  <c r="C329" i="139"/>
  <c r="C328" i="139"/>
  <c r="C327" i="139"/>
  <c r="C326" i="139"/>
  <c r="C325" i="139"/>
  <c r="C324" i="139"/>
  <c r="C323" i="139"/>
  <c r="C322" i="139"/>
  <c r="C321" i="139"/>
  <c r="C320" i="139"/>
  <c r="C319" i="139"/>
  <c r="C318" i="139"/>
  <c r="C317" i="139"/>
  <c r="C316" i="139"/>
  <c r="C315" i="139"/>
  <c r="C314" i="139"/>
  <c r="C313" i="139"/>
  <c r="C312" i="139"/>
  <c r="C311" i="139"/>
  <c r="C310" i="139"/>
  <c r="C309" i="139"/>
  <c r="C308" i="139"/>
  <c r="C307" i="139"/>
  <c r="C306" i="139"/>
  <c r="C305" i="139"/>
  <c r="C304" i="139"/>
  <c r="C303" i="139"/>
  <c r="C302" i="139"/>
  <c r="C301" i="139"/>
  <c r="C300" i="139"/>
  <c r="C299" i="139"/>
  <c r="C298" i="139"/>
  <c r="C297" i="139"/>
  <c r="C296" i="139"/>
  <c r="C295" i="139"/>
  <c r="C294" i="139"/>
  <c r="C293" i="139"/>
  <c r="C292" i="139"/>
  <c r="C291" i="139"/>
  <c r="C290" i="139"/>
  <c r="C289" i="139"/>
  <c r="C288" i="139"/>
  <c r="C287" i="139"/>
  <c r="C286" i="139"/>
  <c r="C285" i="139"/>
  <c r="C284" i="139"/>
  <c r="C283" i="139"/>
  <c r="C282" i="139"/>
  <c r="C281" i="139"/>
  <c r="C280" i="139"/>
  <c r="C279" i="139"/>
  <c r="C278" i="139"/>
  <c r="C277" i="139"/>
  <c r="C276" i="139"/>
  <c r="C275" i="139"/>
  <c r="C274" i="139"/>
  <c r="C273" i="139"/>
  <c r="C272" i="139"/>
  <c r="C271" i="139"/>
  <c r="C270" i="139"/>
  <c r="C269" i="139"/>
  <c r="C268" i="139"/>
  <c r="C267" i="139"/>
  <c r="C266" i="139"/>
  <c r="C265" i="139"/>
  <c r="C264" i="139"/>
  <c r="C263" i="139"/>
  <c r="C262" i="139"/>
  <c r="C261" i="139"/>
  <c r="C260" i="139"/>
  <c r="C259" i="139"/>
  <c r="C258" i="139"/>
  <c r="C257" i="139"/>
  <c r="C256" i="139"/>
  <c r="C255" i="139"/>
  <c r="C254" i="139"/>
  <c r="C253" i="139"/>
  <c r="C252" i="139"/>
  <c r="C251" i="139"/>
  <c r="C250" i="139"/>
  <c r="C249" i="139"/>
  <c r="C248" i="139"/>
  <c r="C247" i="139"/>
  <c r="C246" i="139"/>
  <c r="C245" i="139"/>
  <c r="C244" i="139"/>
  <c r="C243" i="139"/>
  <c r="C242" i="139"/>
  <c r="C241" i="139"/>
  <c r="C240" i="139"/>
  <c r="C239" i="139"/>
  <c r="C238" i="139"/>
  <c r="C237" i="139"/>
  <c r="C236" i="139"/>
  <c r="C235" i="139"/>
  <c r="C234" i="139"/>
  <c r="C233" i="139"/>
  <c r="C232" i="139"/>
  <c r="C231" i="139"/>
  <c r="C230" i="139"/>
  <c r="C229" i="139"/>
  <c r="C228" i="139"/>
  <c r="C227" i="139"/>
  <c r="C226" i="139"/>
  <c r="C225" i="139"/>
  <c r="C224" i="139"/>
  <c r="C223" i="139"/>
  <c r="C222" i="139"/>
  <c r="C221" i="139"/>
  <c r="C220" i="139"/>
  <c r="C219" i="139"/>
  <c r="C218" i="139"/>
  <c r="C217" i="139"/>
  <c r="C216" i="139"/>
  <c r="C215" i="139"/>
  <c r="C214" i="139"/>
  <c r="C213" i="139"/>
  <c r="C212" i="139"/>
  <c r="C211" i="139"/>
  <c r="C210" i="139"/>
  <c r="C209" i="139"/>
  <c r="C208" i="139"/>
  <c r="C207" i="139"/>
  <c r="C206" i="139"/>
  <c r="C205" i="139"/>
  <c r="C204" i="139"/>
  <c r="C203" i="139"/>
  <c r="C202" i="139"/>
  <c r="C201" i="139"/>
  <c r="C200" i="139"/>
  <c r="C199" i="139"/>
  <c r="C198" i="139"/>
  <c r="C197" i="139"/>
  <c r="C196" i="139"/>
  <c r="C195" i="139"/>
  <c r="C194" i="139"/>
  <c r="C193" i="139"/>
  <c r="C192" i="139"/>
  <c r="C191" i="139"/>
  <c r="C190" i="139"/>
  <c r="C189" i="139"/>
  <c r="C188" i="139"/>
  <c r="C187" i="139"/>
  <c r="C186" i="139"/>
  <c r="C185" i="139"/>
  <c r="C184" i="139"/>
  <c r="C183" i="139"/>
  <c r="C182" i="139"/>
  <c r="C181" i="139"/>
  <c r="C180" i="139"/>
  <c r="C179" i="139"/>
  <c r="C178" i="139"/>
  <c r="C177" i="139"/>
  <c r="C176" i="139"/>
  <c r="C175" i="139"/>
  <c r="C174" i="139"/>
  <c r="C173" i="139"/>
  <c r="C172" i="139"/>
  <c r="C171" i="139"/>
  <c r="C170" i="139"/>
  <c r="C169" i="139"/>
  <c r="C168" i="139"/>
  <c r="C167" i="139"/>
  <c r="C166" i="139"/>
  <c r="C165" i="139"/>
  <c r="C164" i="139"/>
  <c r="C163" i="139"/>
  <c r="C162" i="139"/>
  <c r="C161" i="139"/>
  <c r="C160" i="139"/>
  <c r="C159" i="139"/>
  <c r="C158" i="139"/>
  <c r="C157" i="139"/>
  <c r="C156" i="139"/>
  <c r="C155" i="139"/>
  <c r="C154" i="139"/>
  <c r="C153" i="139"/>
  <c r="C152" i="139"/>
  <c r="C151" i="139"/>
  <c r="C150" i="139"/>
  <c r="C149" i="139"/>
  <c r="C148" i="139"/>
  <c r="C147" i="139"/>
  <c r="C146" i="139"/>
  <c r="C145" i="139"/>
  <c r="C144" i="139"/>
  <c r="C143" i="139"/>
  <c r="C142" i="139"/>
  <c r="C141" i="139"/>
  <c r="C140" i="139"/>
  <c r="C139" i="139"/>
  <c r="C138" i="139"/>
  <c r="C137" i="139"/>
  <c r="C136" i="139"/>
  <c r="C135" i="139"/>
  <c r="C134" i="139"/>
  <c r="C133" i="139"/>
  <c r="C132" i="139"/>
  <c r="C131" i="139"/>
  <c r="C130" i="139"/>
  <c r="C129" i="139"/>
  <c r="C128" i="139"/>
  <c r="C127" i="139"/>
  <c r="C126" i="139"/>
  <c r="C125" i="139"/>
  <c r="C124" i="139"/>
  <c r="C123" i="139"/>
  <c r="C122" i="139"/>
  <c r="C121" i="139"/>
  <c r="C120" i="139"/>
  <c r="C119" i="139"/>
  <c r="C118" i="139"/>
  <c r="C117" i="139"/>
  <c r="C116" i="139"/>
  <c r="C115" i="139"/>
  <c r="C114" i="139"/>
  <c r="C113" i="139"/>
  <c r="C112" i="139"/>
  <c r="C111" i="139"/>
  <c r="C110" i="139"/>
  <c r="C109" i="139"/>
  <c r="C108" i="139"/>
  <c r="C107" i="139"/>
  <c r="C106" i="139"/>
  <c r="C105" i="139"/>
  <c r="C104" i="139"/>
  <c r="C103" i="139"/>
  <c r="C102" i="139"/>
  <c r="C101" i="139"/>
  <c r="C100" i="139"/>
  <c r="C99" i="139"/>
  <c r="C98" i="139"/>
  <c r="C97" i="139"/>
  <c r="C96" i="139"/>
  <c r="C95" i="139"/>
  <c r="C94" i="139"/>
  <c r="C93" i="139"/>
  <c r="C92" i="139"/>
  <c r="C91" i="139"/>
  <c r="C90" i="139"/>
  <c r="C89" i="139"/>
  <c r="C88" i="139"/>
  <c r="C87" i="139"/>
  <c r="C86" i="139"/>
  <c r="C85" i="139"/>
  <c r="C84" i="139"/>
  <c r="C83" i="139"/>
  <c r="C82" i="139"/>
  <c r="C81" i="139"/>
  <c r="C80" i="139"/>
  <c r="C79" i="139"/>
  <c r="C78" i="139"/>
  <c r="C77" i="139"/>
  <c r="C76" i="139"/>
  <c r="C75" i="139"/>
  <c r="C74" i="139"/>
  <c r="C73" i="139"/>
  <c r="C72" i="139"/>
  <c r="C71" i="139"/>
  <c r="C70" i="139"/>
  <c r="C69" i="139"/>
  <c r="C68" i="139"/>
  <c r="C67" i="139"/>
  <c r="C66" i="139"/>
  <c r="C65" i="139"/>
  <c r="C64" i="139"/>
  <c r="C63" i="139"/>
  <c r="C62" i="139"/>
  <c r="C61" i="139"/>
  <c r="C60" i="139"/>
  <c r="C59" i="139"/>
  <c r="C58" i="139"/>
  <c r="C57" i="139"/>
  <c r="C56" i="139"/>
  <c r="C55" i="139"/>
  <c r="C54" i="139"/>
  <c r="C53" i="139"/>
  <c r="C52" i="139"/>
  <c r="C51" i="139"/>
  <c r="C50" i="139"/>
  <c r="C49" i="139"/>
  <c r="C48" i="139"/>
  <c r="C47" i="139"/>
  <c r="C46" i="139"/>
  <c r="C45" i="139"/>
  <c r="C44" i="139"/>
  <c r="C43" i="139"/>
  <c r="C42" i="139"/>
  <c r="C41" i="139"/>
  <c r="C40" i="139"/>
  <c r="C39" i="139"/>
  <c r="C38" i="139"/>
  <c r="C37" i="139"/>
  <c r="C36" i="139"/>
  <c r="C35" i="139"/>
  <c r="C34" i="139"/>
  <c r="C33" i="139"/>
  <c r="C32" i="139"/>
  <c r="C31" i="139"/>
  <c r="C30" i="139"/>
  <c r="C29" i="139"/>
  <c r="C28" i="139"/>
  <c r="C27" i="139"/>
  <c r="C26" i="139"/>
  <c r="C25" i="139"/>
  <c r="C24" i="139"/>
  <c r="C23" i="139"/>
  <c r="C22" i="139"/>
  <c r="C21" i="139"/>
  <c r="C20" i="139"/>
  <c r="C19" i="139"/>
  <c r="C18" i="139"/>
  <c r="C17" i="139"/>
  <c r="C16" i="139"/>
  <c r="A11" i="139"/>
  <c r="A5" i="139"/>
  <c r="C4" i="139"/>
  <c r="A4" i="139"/>
  <c r="C3" i="139"/>
  <c r="A3" i="139"/>
  <c r="C2" i="139"/>
  <c r="A2" i="139"/>
  <c r="L1" i="139"/>
  <c r="K1" i="139"/>
  <c r="J1" i="139"/>
  <c r="I1" i="139"/>
  <c r="H1" i="139"/>
  <c r="G1" i="139"/>
  <c r="O711" i="138"/>
  <c r="O705" i="138"/>
  <c r="O704" i="138"/>
  <c r="O703" i="138"/>
  <c r="O702" i="138"/>
  <c r="O701" i="138"/>
  <c r="O700" i="138"/>
  <c r="O699" i="138"/>
  <c r="O698" i="138"/>
  <c r="O697" i="138"/>
  <c r="O696" i="138"/>
  <c r="O695" i="138"/>
  <c r="O694" i="138"/>
  <c r="O693" i="138"/>
  <c r="O692" i="138"/>
  <c r="O691" i="138"/>
  <c r="O690" i="138"/>
  <c r="O689" i="138"/>
  <c r="O688" i="138"/>
  <c r="O687" i="138"/>
  <c r="O686" i="138"/>
  <c r="O685" i="138"/>
  <c r="O684" i="138"/>
  <c r="O683" i="138"/>
  <c r="O682" i="138"/>
  <c r="O681" i="138"/>
  <c r="O680" i="138"/>
  <c r="O679" i="138"/>
  <c r="O678" i="138"/>
  <c r="O677" i="138"/>
  <c r="O676" i="138"/>
  <c r="O675" i="138"/>
  <c r="O674" i="138"/>
  <c r="O673" i="138"/>
  <c r="O672" i="138"/>
  <c r="O671" i="138"/>
  <c r="O670" i="138"/>
  <c r="O669" i="138"/>
  <c r="O668" i="138"/>
  <c r="O667" i="138"/>
  <c r="O666" i="138"/>
  <c r="O665" i="138"/>
  <c r="O664" i="138"/>
  <c r="O663" i="138"/>
  <c r="O662" i="138"/>
  <c r="O661" i="138"/>
  <c r="O660" i="138"/>
  <c r="O659" i="138"/>
  <c r="O658" i="138"/>
  <c r="O657" i="138"/>
  <c r="O656" i="138"/>
  <c r="O655" i="138"/>
  <c r="O654" i="138"/>
  <c r="O653" i="138"/>
  <c r="O652" i="138"/>
  <c r="O651" i="138"/>
  <c r="O650" i="138"/>
  <c r="O649" i="138"/>
  <c r="O648" i="138"/>
  <c r="O647" i="138"/>
  <c r="O646" i="138"/>
  <c r="O645" i="138"/>
  <c r="O644" i="138"/>
  <c r="O643" i="138"/>
  <c r="O642" i="138"/>
  <c r="O641" i="138"/>
  <c r="O640" i="138"/>
  <c r="O639" i="138"/>
  <c r="O638" i="138"/>
  <c r="O637" i="138"/>
  <c r="O636" i="138"/>
  <c r="O635" i="138"/>
  <c r="O634" i="138"/>
  <c r="O633" i="138"/>
  <c r="O632" i="138"/>
  <c r="O631" i="138"/>
  <c r="O630" i="138"/>
  <c r="O629" i="138"/>
  <c r="O628" i="138"/>
  <c r="O627" i="138"/>
  <c r="O626" i="138"/>
  <c r="O625" i="138"/>
  <c r="O624" i="138"/>
  <c r="O623" i="138"/>
  <c r="O622" i="138"/>
  <c r="O621" i="138"/>
  <c r="O620" i="138"/>
  <c r="O619" i="138"/>
  <c r="O618" i="138"/>
  <c r="O617" i="138"/>
  <c r="O616" i="138"/>
  <c r="O615" i="138"/>
  <c r="O614" i="138"/>
  <c r="O613" i="138"/>
  <c r="O612" i="138"/>
  <c r="O611" i="138"/>
  <c r="O610" i="138"/>
  <c r="O609" i="138"/>
  <c r="O608" i="138"/>
  <c r="O607" i="138"/>
  <c r="O606" i="138"/>
  <c r="O605" i="138"/>
  <c r="O604" i="138"/>
  <c r="O603" i="138"/>
  <c r="O602" i="138"/>
  <c r="O601" i="138"/>
  <c r="O600" i="138"/>
  <c r="O599" i="138"/>
  <c r="O598" i="138"/>
  <c r="O597" i="138"/>
  <c r="O596" i="138"/>
  <c r="O595" i="138"/>
  <c r="O594" i="138"/>
  <c r="O593" i="138"/>
  <c r="O592" i="138"/>
  <c r="O591" i="138"/>
  <c r="O590" i="138"/>
  <c r="O589" i="138"/>
  <c r="O588" i="138"/>
  <c r="O587" i="138"/>
  <c r="O586" i="138"/>
  <c r="O585" i="138"/>
  <c r="O584" i="138"/>
  <c r="O583" i="138"/>
  <c r="O582" i="138"/>
  <c r="O581" i="138"/>
  <c r="O580" i="138"/>
  <c r="O579" i="138"/>
  <c r="O578" i="138"/>
  <c r="O577" i="138"/>
  <c r="O576" i="138"/>
  <c r="O575" i="138"/>
  <c r="O574" i="138"/>
  <c r="O573" i="138"/>
  <c r="O572" i="138"/>
  <c r="O571" i="138"/>
  <c r="O570" i="138"/>
  <c r="O569" i="138"/>
  <c r="O568" i="138"/>
  <c r="O567" i="138"/>
  <c r="O566" i="138"/>
  <c r="O565" i="138"/>
  <c r="O564" i="138"/>
  <c r="O563" i="138"/>
  <c r="O562" i="138"/>
  <c r="O561" i="138"/>
  <c r="O560" i="138"/>
  <c r="O559" i="138"/>
  <c r="O558" i="138"/>
  <c r="O557" i="138"/>
  <c r="O556" i="138"/>
  <c r="O555" i="138"/>
  <c r="O554" i="138"/>
  <c r="O553" i="138"/>
  <c r="O552" i="138"/>
  <c r="O551" i="138"/>
  <c r="O550" i="138"/>
  <c r="O549" i="138"/>
  <c r="O548" i="138"/>
  <c r="O547" i="138"/>
  <c r="O546" i="138"/>
  <c r="O545" i="138"/>
  <c r="O544" i="138"/>
  <c r="O543" i="138"/>
  <c r="O542" i="138"/>
  <c r="O541" i="138"/>
  <c r="O540" i="138"/>
  <c r="O539" i="138"/>
  <c r="O538" i="138"/>
  <c r="O537" i="138"/>
  <c r="O536" i="138"/>
  <c r="O535" i="138"/>
  <c r="O534" i="138"/>
  <c r="O533" i="138"/>
  <c r="O532" i="138"/>
  <c r="O531" i="138"/>
  <c r="O530" i="138"/>
  <c r="O529" i="138"/>
  <c r="O528" i="138"/>
  <c r="O527" i="138"/>
  <c r="O526" i="138"/>
  <c r="O525" i="138"/>
  <c r="O524" i="138"/>
  <c r="O523" i="138"/>
  <c r="O522" i="138"/>
  <c r="O521" i="138"/>
  <c r="O520" i="138"/>
  <c r="O519" i="138"/>
  <c r="O518" i="138"/>
  <c r="O517" i="138"/>
  <c r="O516" i="138"/>
  <c r="O515" i="138"/>
  <c r="O514" i="138"/>
  <c r="O513" i="138"/>
  <c r="O512" i="138"/>
  <c r="O511" i="138"/>
  <c r="O510" i="138"/>
  <c r="O509" i="138"/>
  <c r="O508" i="138"/>
  <c r="O507" i="138"/>
  <c r="O506" i="138"/>
  <c r="O505" i="138"/>
  <c r="O504" i="138"/>
  <c r="O503" i="138"/>
  <c r="O502" i="138"/>
  <c r="O501" i="138"/>
  <c r="O500" i="138"/>
  <c r="O499" i="138"/>
  <c r="O498" i="138"/>
  <c r="O497" i="138"/>
  <c r="O496" i="138"/>
  <c r="O495" i="138"/>
  <c r="O494" i="138"/>
  <c r="O493" i="138"/>
  <c r="O492" i="138"/>
  <c r="O491" i="138"/>
  <c r="O490" i="138"/>
  <c r="O489" i="138"/>
  <c r="O488" i="138"/>
  <c r="O487" i="138"/>
  <c r="O486" i="138"/>
  <c r="O485" i="138"/>
  <c r="O484" i="138"/>
  <c r="O483" i="138"/>
  <c r="O482" i="138"/>
  <c r="O481" i="138"/>
  <c r="O480" i="138"/>
  <c r="O479" i="138"/>
  <c r="O478" i="138"/>
  <c r="O477" i="138"/>
  <c r="O476" i="138"/>
  <c r="O475" i="138"/>
  <c r="O474" i="138"/>
  <c r="O473" i="138"/>
  <c r="O472" i="138"/>
  <c r="O471" i="138"/>
  <c r="O470" i="138"/>
  <c r="O469" i="138"/>
  <c r="O468" i="138"/>
  <c r="O467" i="138"/>
  <c r="O466" i="138"/>
  <c r="O465" i="138"/>
  <c r="O464" i="138"/>
  <c r="O463" i="138"/>
  <c r="O462" i="138"/>
  <c r="O461" i="138"/>
  <c r="O460" i="138"/>
  <c r="O459" i="138"/>
  <c r="O458" i="138"/>
  <c r="O457" i="138"/>
  <c r="O456" i="138"/>
  <c r="O455" i="138"/>
  <c r="O454" i="138"/>
  <c r="O453" i="138"/>
  <c r="O452" i="138"/>
  <c r="O451" i="138"/>
  <c r="O450" i="138"/>
  <c r="O449" i="138"/>
  <c r="O448" i="138"/>
  <c r="O447" i="138"/>
  <c r="O446" i="138"/>
  <c r="O445" i="138"/>
  <c r="O444" i="138"/>
  <c r="O443" i="138"/>
  <c r="O442" i="138"/>
  <c r="O441" i="138"/>
  <c r="O440" i="138"/>
  <c r="O439" i="138"/>
  <c r="O438" i="138"/>
  <c r="O437" i="138"/>
  <c r="O436" i="138"/>
  <c r="O435" i="138"/>
  <c r="O434" i="138"/>
  <c r="O433" i="138"/>
  <c r="O432" i="138"/>
  <c r="O431" i="138"/>
  <c r="O430" i="138"/>
  <c r="O429" i="138"/>
  <c r="O428" i="138"/>
  <c r="O427" i="138"/>
  <c r="O426" i="138"/>
  <c r="O425" i="138"/>
  <c r="O424" i="138"/>
  <c r="O423" i="138"/>
  <c r="O422" i="138"/>
  <c r="O421" i="138"/>
  <c r="O420" i="138"/>
  <c r="O419" i="138"/>
  <c r="O418" i="138"/>
  <c r="O417" i="138"/>
  <c r="O416" i="138"/>
  <c r="O415" i="138"/>
  <c r="O414" i="138"/>
  <c r="O413" i="138"/>
  <c r="O412" i="138"/>
  <c r="O411" i="138"/>
  <c r="O410" i="138"/>
  <c r="O409" i="138"/>
  <c r="O408" i="138"/>
  <c r="O407" i="138"/>
  <c r="O406" i="138"/>
  <c r="O405" i="138"/>
  <c r="O404" i="138"/>
  <c r="O403" i="138"/>
  <c r="O402" i="138"/>
  <c r="O401" i="138"/>
  <c r="O400" i="138"/>
  <c r="O399" i="138"/>
  <c r="O398" i="138"/>
  <c r="O397" i="138"/>
  <c r="O396" i="138"/>
  <c r="O395" i="138"/>
  <c r="O394" i="138"/>
  <c r="O393" i="138"/>
  <c r="O392" i="138"/>
  <c r="O391" i="138"/>
  <c r="O390" i="138"/>
  <c r="O389" i="138"/>
  <c r="O388" i="138"/>
  <c r="O387" i="138"/>
  <c r="O386" i="138"/>
  <c r="O385" i="138"/>
  <c r="O384" i="138"/>
  <c r="O383" i="138"/>
  <c r="O382" i="138"/>
  <c r="O381" i="138"/>
  <c r="O380" i="138"/>
  <c r="O379" i="138"/>
  <c r="O378" i="138"/>
  <c r="O377" i="138"/>
  <c r="O376" i="138"/>
  <c r="O375" i="138"/>
  <c r="O374" i="138"/>
  <c r="O373" i="138"/>
  <c r="O372" i="138"/>
  <c r="O371" i="138"/>
  <c r="O370" i="138"/>
  <c r="O369" i="138"/>
  <c r="O368" i="138"/>
  <c r="O367" i="138"/>
  <c r="O366" i="138"/>
  <c r="O365" i="138"/>
  <c r="O364" i="138"/>
  <c r="O363" i="138"/>
  <c r="O362" i="138"/>
  <c r="O361" i="138"/>
  <c r="O360" i="138"/>
  <c r="O359" i="138"/>
  <c r="O358" i="138"/>
  <c r="O357" i="138"/>
  <c r="O356" i="138"/>
  <c r="O355" i="138"/>
  <c r="O354" i="138"/>
  <c r="O353" i="138"/>
  <c r="O352" i="138"/>
  <c r="O351" i="138"/>
  <c r="O350" i="138"/>
  <c r="O349" i="138"/>
  <c r="O348" i="138"/>
  <c r="O347" i="138"/>
  <c r="O346" i="138"/>
  <c r="O345" i="138"/>
  <c r="O344" i="138"/>
  <c r="O343" i="138"/>
  <c r="O342" i="138"/>
  <c r="O341" i="138"/>
  <c r="O340" i="138"/>
  <c r="O339" i="138"/>
  <c r="O338" i="138"/>
  <c r="O337" i="138"/>
  <c r="O336" i="138"/>
  <c r="O335" i="138"/>
  <c r="O334" i="138"/>
  <c r="O333" i="138"/>
  <c r="O332" i="138"/>
  <c r="O331" i="138"/>
  <c r="O330" i="138"/>
  <c r="O329" i="138"/>
  <c r="O328" i="138"/>
  <c r="O327" i="138"/>
  <c r="O326" i="138"/>
  <c r="O325" i="138"/>
  <c r="O324" i="138"/>
  <c r="O323" i="138"/>
  <c r="O322" i="138"/>
  <c r="O321" i="138"/>
  <c r="O320" i="138"/>
  <c r="O319" i="138"/>
  <c r="O318" i="138"/>
  <c r="O317" i="138"/>
  <c r="O316" i="138"/>
  <c r="O315" i="138"/>
  <c r="O314" i="138"/>
  <c r="O313" i="138"/>
  <c r="O312" i="138"/>
  <c r="O311" i="138"/>
  <c r="O310" i="138"/>
  <c r="O309" i="138"/>
  <c r="O308" i="138"/>
  <c r="O307" i="138"/>
  <c r="O306" i="138"/>
  <c r="O305" i="138"/>
  <c r="O304" i="138"/>
  <c r="O303" i="138"/>
  <c r="O302" i="138"/>
  <c r="O301" i="138"/>
  <c r="O300" i="138"/>
  <c r="O299" i="138"/>
  <c r="O298" i="138"/>
  <c r="O297" i="138"/>
  <c r="O296" i="138"/>
  <c r="O295" i="138"/>
  <c r="O294" i="138"/>
  <c r="O293" i="138"/>
  <c r="O292" i="138"/>
  <c r="O291" i="138"/>
  <c r="O290" i="138"/>
  <c r="O289" i="138"/>
  <c r="O288" i="138"/>
  <c r="O287" i="138"/>
  <c r="O286" i="138"/>
  <c r="O285" i="138"/>
  <c r="O284" i="138"/>
  <c r="O283" i="138"/>
  <c r="O282" i="138"/>
  <c r="O281" i="138"/>
  <c r="O280" i="138"/>
  <c r="O279" i="138"/>
  <c r="O278" i="138"/>
  <c r="O277" i="138"/>
  <c r="O276" i="138"/>
  <c r="O275" i="138"/>
  <c r="O274" i="138"/>
  <c r="O273" i="138"/>
  <c r="O272" i="138"/>
  <c r="O271" i="138"/>
  <c r="O270" i="138"/>
  <c r="O269" i="138"/>
  <c r="O268" i="138"/>
  <c r="O267" i="138"/>
  <c r="O266" i="138"/>
  <c r="O265" i="138"/>
  <c r="O264" i="138"/>
  <c r="O263" i="138"/>
  <c r="O262" i="138"/>
  <c r="O261" i="138"/>
  <c r="O260" i="138"/>
  <c r="O259" i="138"/>
  <c r="O258" i="138"/>
  <c r="O257" i="138"/>
  <c r="O256" i="138"/>
  <c r="O255" i="138"/>
  <c r="O254" i="138"/>
  <c r="O253" i="138"/>
  <c r="O252" i="138"/>
  <c r="O251" i="138"/>
  <c r="O250" i="138"/>
  <c r="O249" i="138"/>
  <c r="O248" i="138"/>
  <c r="O247" i="138"/>
  <c r="O246" i="138"/>
  <c r="O245" i="138"/>
  <c r="O244" i="138"/>
  <c r="O243" i="138"/>
  <c r="O242" i="138"/>
  <c r="O241" i="138"/>
  <c r="O240" i="138"/>
  <c r="O239" i="138"/>
  <c r="O238" i="138"/>
  <c r="O237" i="138"/>
  <c r="O236" i="138"/>
  <c r="O235" i="138"/>
  <c r="O234" i="138"/>
  <c r="O233" i="138"/>
  <c r="O232" i="138"/>
  <c r="O231" i="138"/>
  <c r="O230" i="138"/>
  <c r="O229" i="138"/>
  <c r="O228" i="138"/>
  <c r="O227" i="138"/>
  <c r="O226" i="138"/>
  <c r="O225" i="138"/>
  <c r="O224" i="138"/>
  <c r="O223" i="138"/>
  <c r="O222" i="138"/>
  <c r="O221" i="138"/>
  <c r="O220" i="138"/>
  <c r="O219" i="138"/>
  <c r="O218" i="138"/>
  <c r="O217" i="138"/>
  <c r="O216" i="138"/>
  <c r="O215" i="138"/>
  <c r="O214" i="138"/>
  <c r="O213" i="138"/>
  <c r="O212" i="138"/>
  <c r="O211" i="138"/>
  <c r="O210" i="138"/>
  <c r="O209" i="138"/>
  <c r="O208" i="138"/>
  <c r="O207" i="138"/>
  <c r="O206" i="138"/>
  <c r="O205" i="138"/>
  <c r="O204" i="138"/>
  <c r="O203" i="138"/>
  <c r="O202" i="138"/>
  <c r="O201" i="138"/>
  <c r="O200" i="138"/>
  <c r="O199" i="138"/>
  <c r="O198" i="138"/>
  <c r="O197" i="138"/>
  <c r="O196" i="138"/>
  <c r="O195" i="138"/>
  <c r="O194" i="138"/>
  <c r="O193" i="138"/>
  <c r="O192" i="138"/>
  <c r="O191" i="138"/>
  <c r="O190" i="138"/>
  <c r="O189" i="138"/>
  <c r="O188" i="138"/>
  <c r="O187" i="138"/>
  <c r="O186" i="138"/>
  <c r="O185" i="138"/>
  <c r="O184" i="138"/>
  <c r="O183" i="138"/>
  <c r="O182" i="138"/>
  <c r="O181" i="138"/>
  <c r="O180" i="138"/>
  <c r="O179" i="138"/>
  <c r="O178" i="138"/>
  <c r="O177" i="138"/>
  <c r="O176" i="138"/>
  <c r="O175" i="138"/>
  <c r="O174" i="138"/>
  <c r="O173" i="138"/>
  <c r="O172" i="138"/>
  <c r="O171" i="138"/>
  <c r="O170" i="138"/>
  <c r="O169" i="138"/>
  <c r="O168" i="138"/>
  <c r="O167" i="138"/>
  <c r="O166" i="138"/>
  <c r="O165" i="138"/>
  <c r="O164" i="138"/>
  <c r="O163" i="138"/>
  <c r="O162" i="138"/>
  <c r="O161" i="138"/>
  <c r="O160" i="138"/>
  <c r="O159" i="138"/>
  <c r="O158" i="138"/>
  <c r="O157" i="138"/>
  <c r="O156" i="138"/>
  <c r="O155" i="138"/>
  <c r="O154" i="138"/>
  <c r="O153" i="138"/>
  <c r="O152" i="138"/>
  <c r="O151" i="138"/>
  <c r="O150" i="138"/>
  <c r="O149" i="138"/>
  <c r="O148" i="138"/>
  <c r="O147" i="138"/>
  <c r="O146" i="138"/>
  <c r="O145" i="138"/>
  <c r="O144" i="138"/>
  <c r="O143" i="138"/>
  <c r="O142" i="138"/>
  <c r="O141" i="138"/>
  <c r="O140" i="138"/>
  <c r="O139" i="138"/>
  <c r="O138" i="138"/>
  <c r="O137" i="138"/>
  <c r="O136" i="138"/>
  <c r="O135" i="138"/>
  <c r="O134" i="138"/>
  <c r="O133" i="138"/>
  <c r="O132" i="138"/>
  <c r="O131" i="138"/>
  <c r="O130" i="138"/>
  <c r="O129" i="138"/>
  <c r="O128" i="138"/>
  <c r="O127" i="138"/>
  <c r="O126" i="138"/>
  <c r="O125" i="138"/>
  <c r="O124" i="138"/>
  <c r="O123" i="138"/>
  <c r="O122" i="138"/>
  <c r="O121" i="138"/>
  <c r="O120" i="138"/>
  <c r="O119" i="138"/>
  <c r="O118" i="138"/>
  <c r="O117" i="138"/>
  <c r="O116" i="138"/>
  <c r="O115" i="138"/>
  <c r="O114" i="138"/>
  <c r="O113" i="138"/>
  <c r="O112" i="138"/>
  <c r="O111" i="138"/>
  <c r="O110" i="138"/>
  <c r="O109" i="138"/>
  <c r="O108" i="138"/>
  <c r="O107" i="138"/>
  <c r="O106" i="138"/>
  <c r="O105" i="138"/>
  <c r="O104" i="138"/>
  <c r="O103" i="138"/>
  <c r="O102" i="138"/>
  <c r="O101" i="138"/>
  <c r="O100" i="138"/>
  <c r="O99" i="138"/>
  <c r="O98" i="138"/>
  <c r="O97" i="138"/>
  <c r="O96" i="138"/>
  <c r="O95" i="138"/>
  <c r="O94" i="138"/>
  <c r="O93" i="138"/>
  <c r="O92" i="138"/>
  <c r="O91" i="138"/>
  <c r="O90" i="138"/>
  <c r="O89" i="138"/>
  <c r="O88" i="138"/>
  <c r="O87" i="138"/>
  <c r="O86" i="138"/>
  <c r="O85" i="138"/>
  <c r="O84" i="138"/>
  <c r="O83" i="138"/>
  <c r="O82" i="138"/>
  <c r="O81" i="138"/>
  <c r="O80" i="138"/>
  <c r="O79" i="138"/>
  <c r="O78" i="138"/>
  <c r="O77" i="138"/>
  <c r="O76" i="138"/>
  <c r="O75" i="138"/>
  <c r="O74" i="138"/>
  <c r="O73" i="138"/>
  <c r="O72" i="138"/>
  <c r="O71" i="138"/>
  <c r="O70" i="138"/>
  <c r="O69" i="138"/>
  <c r="O68" i="138"/>
  <c r="O67" i="138"/>
  <c r="O66" i="138"/>
  <c r="O65" i="138"/>
  <c r="O64" i="138"/>
  <c r="O63" i="138"/>
  <c r="O62" i="138"/>
  <c r="O61" i="138"/>
  <c r="O60" i="138"/>
  <c r="O59" i="138"/>
  <c r="O58" i="138"/>
  <c r="O57" i="138"/>
  <c r="O56" i="138"/>
  <c r="O55" i="138"/>
  <c r="O54" i="138"/>
  <c r="O53" i="138"/>
  <c r="O52" i="138"/>
  <c r="O51" i="138"/>
  <c r="O50" i="138"/>
  <c r="O49" i="138"/>
  <c r="O48" i="138"/>
  <c r="O47" i="138"/>
  <c r="O46" i="138"/>
  <c r="O45" i="138"/>
  <c r="O44" i="138"/>
  <c r="O43" i="138"/>
  <c r="O42" i="138"/>
  <c r="O41" i="138"/>
  <c r="O40" i="138"/>
  <c r="O39" i="138"/>
  <c r="O38" i="138"/>
  <c r="O37" i="138"/>
  <c r="O36" i="138"/>
  <c r="O35" i="138"/>
  <c r="O34" i="138"/>
  <c r="O33" i="138"/>
  <c r="O32" i="138"/>
  <c r="O31" i="138"/>
  <c r="O30" i="138"/>
  <c r="O29" i="138"/>
  <c r="O28" i="138"/>
  <c r="O27" i="138"/>
  <c r="O26" i="138"/>
  <c r="O25" i="138"/>
  <c r="O24" i="138"/>
  <c r="O23" i="138"/>
  <c r="O22" i="138"/>
  <c r="O21" i="138"/>
  <c r="O20" i="138"/>
  <c r="O19" i="138"/>
  <c r="O18" i="138"/>
  <c r="O17" i="138"/>
  <c r="O16" i="138"/>
  <c r="O14" i="138"/>
  <c r="N1" i="138"/>
  <c r="M1" i="138"/>
  <c r="B720" i="138"/>
  <c r="C705" i="138"/>
  <c r="C704" i="138"/>
  <c r="C703" i="138"/>
  <c r="C702" i="138"/>
  <c r="C701" i="138"/>
  <c r="C700" i="138"/>
  <c r="C699" i="138"/>
  <c r="C698" i="138"/>
  <c r="C697" i="138"/>
  <c r="C696" i="138"/>
  <c r="C695" i="138"/>
  <c r="C694" i="138"/>
  <c r="C693" i="138"/>
  <c r="C692" i="138"/>
  <c r="C691" i="138"/>
  <c r="C690" i="138"/>
  <c r="C689" i="138"/>
  <c r="C688" i="138"/>
  <c r="C687" i="138"/>
  <c r="C686" i="138"/>
  <c r="C685" i="138"/>
  <c r="C684" i="138"/>
  <c r="C683" i="138"/>
  <c r="C682" i="138"/>
  <c r="C681" i="138"/>
  <c r="C680" i="138"/>
  <c r="C679" i="138"/>
  <c r="C678" i="138"/>
  <c r="C677" i="138"/>
  <c r="C676" i="138"/>
  <c r="C675" i="138"/>
  <c r="C674" i="138"/>
  <c r="C673" i="138"/>
  <c r="C672" i="138"/>
  <c r="C671" i="138"/>
  <c r="C670" i="138"/>
  <c r="C669" i="138"/>
  <c r="C668" i="138"/>
  <c r="C667" i="138"/>
  <c r="C666" i="138"/>
  <c r="C665" i="138"/>
  <c r="C664" i="138"/>
  <c r="C663" i="138"/>
  <c r="C662" i="138"/>
  <c r="C661" i="138"/>
  <c r="C660" i="138"/>
  <c r="C659" i="138"/>
  <c r="C658" i="138"/>
  <c r="C657" i="138"/>
  <c r="C656" i="138"/>
  <c r="C655" i="138"/>
  <c r="C654" i="138"/>
  <c r="C653" i="138"/>
  <c r="C652" i="138"/>
  <c r="C651" i="138"/>
  <c r="C650" i="138"/>
  <c r="C649" i="138"/>
  <c r="C648" i="138"/>
  <c r="C647" i="138"/>
  <c r="C646" i="138"/>
  <c r="C645" i="138"/>
  <c r="C644" i="138"/>
  <c r="C643" i="138"/>
  <c r="C642" i="138"/>
  <c r="C641" i="138"/>
  <c r="C640" i="138"/>
  <c r="C639" i="138"/>
  <c r="C638" i="138"/>
  <c r="C637" i="138"/>
  <c r="C636" i="138"/>
  <c r="C635" i="138"/>
  <c r="C634" i="138"/>
  <c r="C633" i="138"/>
  <c r="C632" i="138"/>
  <c r="C631" i="138"/>
  <c r="C630" i="138"/>
  <c r="C629" i="138"/>
  <c r="C628" i="138"/>
  <c r="C627" i="138"/>
  <c r="C626" i="138"/>
  <c r="C625" i="138"/>
  <c r="C624" i="138"/>
  <c r="C623" i="138"/>
  <c r="C622" i="138"/>
  <c r="C621" i="138"/>
  <c r="C620" i="138"/>
  <c r="C619" i="138"/>
  <c r="C618" i="138"/>
  <c r="C617" i="138"/>
  <c r="C616" i="138"/>
  <c r="C615" i="138"/>
  <c r="C614" i="138"/>
  <c r="C613" i="138"/>
  <c r="C612" i="138"/>
  <c r="C611" i="138"/>
  <c r="C610" i="138"/>
  <c r="C609" i="138"/>
  <c r="C608" i="138"/>
  <c r="C607" i="138"/>
  <c r="C606" i="138"/>
  <c r="C605" i="138"/>
  <c r="C604" i="138"/>
  <c r="C603" i="138"/>
  <c r="C602" i="138"/>
  <c r="C601" i="138"/>
  <c r="C600" i="138"/>
  <c r="C599" i="138"/>
  <c r="C598" i="138"/>
  <c r="C597" i="138"/>
  <c r="C596" i="138"/>
  <c r="C595" i="138"/>
  <c r="C594" i="138"/>
  <c r="C593" i="138"/>
  <c r="C592" i="138"/>
  <c r="C591" i="138"/>
  <c r="C590" i="138"/>
  <c r="C589" i="138"/>
  <c r="C588" i="138"/>
  <c r="C587" i="138"/>
  <c r="C586" i="138"/>
  <c r="C585" i="138"/>
  <c r="C584" i="138"/>
  <c r="C583" i="138"/>
  <c r="C582" i="138"/>
  <c r="C581" i="138"/>
  <c r="C580" i="138"/>
  <c r="C579" i="138"/>
  <c r="C578" i="138"/>
  <c r="C577" i="138"/>
  <c r="C576" i="138"/>
  <c r="C575" i="138"/>
  <c r="C574" i="138"/>
  <c r="C573" i="138"/>
  <c r="C572" i="138"/>
  <c r="C571" i="138"/>
  <c r="C570" i="138"/>
  <c r="C569" i="138"/>
  <c r="C568" i="138"/>
  <c r="C567" i="138"/>
  <c r="C566" i="138"/>
  <c r="C565" i="138"/>
  <c r="C564" i="138"/>
  <c r="C563" i="138"/>
  <c r="C562" i="138"/>
  <c r="C561" i="138"/>
  <c r="C560" i="138"/>
  <c r="C559" i="138"/>
  <c r="C558" i="138"/>
  <c r="C557" i="138"/>
  <c r="C556" i="138"/>
  <c r="C555" i="138"/>
  <c r="C554" i="138"/>
  <c r="C553" i="138"/>
  <c r="C552" i="138"/>
  <c r="C551" i="138"/>
  <c r="C550" i="138"/>
  <c r="C549" i="138"/>
  <c r="C548" i="138"/>
  <c r="C547" i="138"/>
  <c r="C546" i="138"/>
  <c r="C545" i="138"/>
  <c r="C544" i="138"/>
  <c r="C543" i="138"/>
  <c r="C542" i="138"/>
  <c r="C541" i="138"/>
  <c r="C540" i="138"/>
  <c r="C539" i="138"/>
  <c r="C538" i="138"/>
  <c r="C537" i="138"/>
  <c r="C536" i="138"/>
  <c r="C535" i="138"/>
  <c r="C534" i="138"/>
  <c r="C533" i="138"/>
  <c r="C532" i="138"/>
  <c r="C531" i="138"/>
  <c r="C530" i="138"/>
  <c r="C529" i="138"/>
  <c r="C528" i="138"/>
  <c r="C527" i="138"/>
  <c r="C526" i="138"/>
  <c r="C525" i="138"/>
  <c r="C524" i="138"/>
  <c r="C523" i="138"/>
  <c r="C522" i="138"/>
  <c r="C521" i="138"/>
  <c r="C520" i="138"/>
  <c r="C519" i="138"/>
  <c r="C518" i="138"/>
  <c r="C517" i="138"/>
  <c r="C516" i="138"/>
  <c r="C515" i="138"/>
  <c r="C514" i="138"/>
  <c r="C513" i="138"/>
  <c r="C512" i="138"/>
  <c r="C511" i="138"/>
  <c r="C510" i="138"/>
  <c r="C509" i="138"/>
  <c r="C508" i="138"/>
  <c r="C507" i="138"/>
  <c r="C506" i="138"/>
  <c r="C505" i="138"/>
  <c r="C504" i="138"/>
  <c r="C503" i="138"/>
  <c r="C502" i="138"/>
  <c r="C501" i="138"/>
  <c r="C500" i="138"/>
  <c r="C499" i="138"/>
  <c r="C498" i="138"/>
  <c r="C497" i="138"/>
  <c r="C496" i="138"/>
  <c r="C495" i="138"/>
  <c r="C494" i="138"/>
  <c r="C493" i="138"/>
  <c r="C492" i="138"/>
  <c r="C491" i="138"/>
  <c r="C490" i="138"/>
  <c r="C489" i="138"/>
  <c r="C488" i="138"/>
  <c r="C487" i="138"/>
  <c r="C486" i="138"/>
  <c r="C485" i="138"/>
  <c r="C484" i="138"/>
  <c r="C483" i="138"/>
  <c r="C482" i="138"/>
  <c r="C481" i="138"/>
  <c r="C480" i="138"/>
  <c r="C479" i="138"/>
  <c r="C478" i="138"/>
  <c r="C477" i="138"/>
  <c r="C476" i="138"/>
  <c r="C475" i="138"/>
  <c r="C474" i="138"/>
  <c r="C473" i="138"/>
  <c r="C472" i="138"/>
  <c r="C471" i="138"/>
  <c r="C470" i="138"/>
  <c r="C469" i="138"/>
  <c r="C468" i="138"/>
  <c r="C467" i="138"/>
  <c r="C466" i="138"/>
  <c r="C465" i="138"/>
  <c r="C464" i="138"/>
  <c r="C463" i="138"/>
  <c r="C462" i="138"/>
  <c r="C461" i="138"/>
  <c r="C460" i="138"/>
  <c r="C459" i="138"/>
  <c r="C458" i="138"/>
  <c r="C457" i="138"/>
  <c r="C456" i="138"/>
  <c r="C455" i="138"/>
  <c r="C454" i="138"/>
  <c r="C453" i="138"/>
  <c r="C452" i="138"/>
  <c r="C451" i="138"/>
  <c r="C450" i="138"/>
  <c r="C449" i="138"/>
  <c r="C448" i="138"/>
  <c r="C447" i="138"/>
  <c r="C446" i="138"/>
  <c r="C445" i="138"/>
  <c r="C444" i="138"/>
  <c r="C443" i="138"/>
  <c r="C442" i="138"/>
  <c r="C441" i="138"/>
  <c r="C440" i="138"/>
  <c r="C439" i="138"/>
  <c r="C438" i="138"/>
  <c r="C437" i="138"/>
  <c r="C436" i="138"/>
  <c r="C435" i="138"/>
  <c r="C434" i="138"/>
  <c r="C433" i="138"/>
  <c r="C432" i="138"/>
  <c r="C431" i="138"/>
  <c r="C430" i="138"/>
  <c r="C429" i="138"/>
  <c r="C428" i="138"/>
  <c r="C427" i="138"/>
  <c r="C426" i="138"/>
  <c r="C425" i="138"/>
  <c r="C424" i="138"/>
  <c r="C423" i="138"/>
  <c r="C422" i="138"/>
  <c r="C421" i="138"/>
  <c r="C420" i="138"/>
  <c r="C419" i="138"/>
  <c r="C418" i="138"/>
  <c r="C417" i="138"/>
  <c r="C416" i="138"/>
  <c r="C415" i="138"/>
  <c r="C414" i="138"/>
  <c r="C413" i="138"/>
  <c r="C412" i="138"/>
  <c r="C411" i="138"/>
  <c r="C410" i="138"/>
  <c r="C409" i="138"/>
  <c r="C408" i="138"/>
  <c r="C407" i="138"/>
  <c r="C406" i="138"/>
  <c r="C405" i="138"/>
  <c r="C404" i="138"/>
  <c r="C403" i="138"/>
  <c r="C402" i="138"/>
  <c r="C401" i="138"/>
  <c r="C400" i="138"/>
  <c r="C399" i="138"/>
  <c r="C398" i="138"/>
  <c r="C397" i="138"/>
  <c r="C396" i="138"/>
  <c r="C395" i="138"/>
  <c r="C394" i="138"/>
  <c r="C393" i="138"/>
  <c r="C392" i="138"/>
  <c r="C391" i="138"/>
  <c r="C390" i="138"/>
  <c r="C389" i="138"/>
  <c r="C388" i="138"/>
  <c r="C387" i="138"/>
  <c r="C386" i="138"/>
  <c r="C385" i="138"/>
  <c r="C384" i="138"/>
  <c r="C383" i="138"/>
  <c r="C382" i="138"/>
  <c r="C381" i="138"/>
  <c r="C380" i="138"/>
  <c r="C379" i="138"/>
  <c r="C378" i="138"/>
  <c r="C377" i="138"/>
  <c r="C376" i="138"/>
  <c r="C375" i="138"/>
  <c r="C374" i="138"/>
  <c r="C373" i="138"/>
  <c r="C372" i="138"/>
  <c r="C371" i="138"/>
  <c r="C370" i="138"/>
  <c r="C369" i="138"/>
  <c r="C368" i="138"/>
  <c r="C367" i="138"/>
  <c r="C366" i="138"/>
  <c r="C365" i="138"/>
  <c r="C364" i="138"/>
  <c r="C363" i="138"/>
  <c r="C362" i="138"/>
  <c r="C361" i="138"/>
  <c r="C360" i="138"/>
  <c r="C359" i="138"/>
  <c r="C358" i="138"/>
  <c r="C357" i="138"/>
  <c r="C356" i="138"/>
  <c r="C355" i="138"/>
  <c r="C354" i="138"/>
  <c r="C353" i="138"/>
  <c r="C352" i="138"/>
  <c r="C351" i="138"/>
  <c r="C350" i="138"/>
  <c r="C349" i="138"/>
  <c r="C348" i="138"/>
  <c r="C347" i="138"/>
  <c r="C346" i="138"/>
  <c r="C345" i="138"/>
  <c r="C344" i="138"/>
  <c r="C343" i="138"/>
  <c r="C342" i="138"/>
  <c r="C341" i="138"/>
  <c r="C340" i="138"/>
  <c r="C339" i="138"/>
  <c r="C338" i="138"/>
  <c r="C337" i="138"/>
  <c r="C336" i="138"/>
  <c r="C335" i="138"/>
  <c r="C334" i="138"/>
  <c r="C333" i="138"/>
  <c r="C332" i="138"/>
  <c r="C331" i="138"/>
  <c r="C330" i="138"/>
  <c r="C329" i="138"/>
  <c r="C328" i="138"/>
  <c r="C327" i="138"/>
  <c r="C326" i="138"/>
  <c r="C325" i="138"/>
  <c r="C324" i="138"/>
  <c r="C323" i="138"/>
  <c r="C322" i="138"/>
  <c r="C321" i="138"/>
  <c r="C320" i="138"/>
  <c r="C319" i="138"/>
  <c r="C318" i="138"/>
  <c r="C317" i="138"/>
  <c r="C316" i="138"/>
  <c r="C315" i="138"/>
  <c r="C314" i="138"/>
  <c r="C313" i="138"/>
  <c r="C312" i="138"/>
  <c r="C311" i="138"/>
  <c r="C310" i="138"/>
  <c r="C309" i="138"/>
  <c r="C308" i="138"/>
  <c r="C307" i="138"/>
  <c r="C306" i="138"/>
  <c r="C305" i="138"/>
  <c r="C304" i="138"/>
  <c r="C303" i="138"/>
  <c r="C302" i="138"/>
  <c r="C301" i="138"/>
  <c r="C300" i="138"/>
  <c r="C299" i="138"/>
  <c r="C298" i="138"/>
  <c r="C297" i="138"/>
  <c r="C296" i="138"/>
  <c r="C295" i="138"/>
  <c r="C294" i="138"/>
  <c r="C293" i="138"/>
  <c r="C292" i="138"/>
  <c r="C291" i="138"/>
  <c r="C290" i="138"/>
  <c r="C289" i="138"/>
  <c r="C288" i="138"/>
  <c r="C287" i="138"/>
  <c r="C286" i="138"/>
  <c r="C285" i="138"/>
  <c r="C284" i="138"/>
  <c r="C283" i="138"/>
  <c r="C282" i="138"/>
  <c r="C281" i="138"/>
  <c r="C280" i="138"/>
  <c r="C279" i="138"/>
  <c r="C278" i="138"/>
  <c r="C277" i="138"/>
  <c r="C276" i="138"/>
  <c r="C275" i="138"/>
  <c r="C274" i="138"/>
  <c r="C273" i="138"/>
  <c r="C272" i="138"/>
  <c r="C271" i="138"/>
  <c r="C270" i="138"/>
  <c r="C269" i="138"/>
  <c r="C268" i="138"/>
  <c r="C267" i="138"/>
  <c r="C266" i="138"/>
  <c r="C265" i="138"/>
  <c r="C264" i="138"/>
  <c r="C263" i="138"/>
  <c r="C262" i="138"/>
  <c r="C261" i="138"/>
  <c r="C260" i="138"/>
  <c r="C259" i="138"/>
  <c r="C258" i="138"/>
  <c r="C257" i="138"/>
  <c r="C256" i="138"/>
  <c r="C255" i="138"/>
  <c r="C254" i="138"/>
  <c r="C253" i="138"/>
  <c r="C252" i="138"/>
  <c r="C251" i="138"/>
  <c r="C250" i="138"/>
  <c r="C249" i="138"/>
  <c r="C248" i="138"/>
  <c r="C247" i="138"/>
  <c r="C246" i="138"/>
  <c r="C245" i="138"/>
  <c r="C244" i="138"/>
  <c r="C243" i="138"/>
  <c r="C242" i="138"/>
  <c r="C241" i="138"/>
  <c r="C240" i="138"/>
  <c r="C239" i="138"/>
  <c r="C238" i="138"/>
  <c r="C237" i="138"/>
  <c r="C236" i="138"/>
  <c r="C235" i="138"/>
  <c r="C234" i="138"/>
  <c r="C233" i="138"/>
  <c r="C232" i="138"/>
  <c r="C231" i="138"/>
  <c r="C230" i="138"/>
  <c r="C229" i="138"/>
  <c r="C228" i="138"/>
  <c r="C227" i="138"/>
  <c r="C226" i="138"/>
  <c r="C225" i="138"/>
  <c r="C224" i="138"/>
  <c r="C223" i="138"/>
  <c r="C222" i="138"/>
  <c r="C221" i="138"/>
  <c r="C220" i="138"/>
  <c r="C219" i="138"/>
  <c r="C218" i="138"/>
  <c r="C217" i="138"/>
  <c r="C216" i="138"/>
  <c r="C215" i="138"/>
  <c r="C214" i="138"/>
  <c r="C213" i="138"/>
  <c r="C212" i="138"/>
  <c r="C211" i="138"/>
  <c r="C210" i="138"/>
  <c r="C209" i="138"/>
  <c r="C208" i="138"/>
  <c r="C207" i="138"/>
  <c r="C206" i="138"/>
  <c r="C205" i="138"/>
  <c r="C204" i="138"/>
  <c r="C203" i="138"/>
  <c r="C202" i="138"/>
  <c r="C201" i="138"/>
  <c r="C200" i="138"/>
  <c r="C199" i="138"/>
  <c r="C198" i="138"/>
  <c r="C197" i="138"/>
  <c r="C196" i="138"/>
  <c r="C195" i="138"/>
  <c r="C194" i="138"/>
  <c r="C193" i="138"/>
  <c r="C192" i="138"/>
  <c r="C191" i="138"/>
  <c r="C190" i="138"/>
  <c r="C189" i="138"/>
  <c r="C188" i="138"/>
  <c r="C187" i="138"/>
  <c r="C186" i="138"/>
  <c r="C185" i="138"/>
  <c r="C184" i="138"/>
  <c r="C183" i="138"/>
  <c r="C182" i="138"/>
  <c r="C181" i="138"/>
  <c r="C180" i="138"/>
  <c r="C179" i="138"/>
  <c r="C178" i="138"/>
  <c r="C177" i="138"/>
  <c r="C176" i="138"/>
  <c r="C175" i="138"/>
  <c r="C174" i="138"/>
  <c r="C173" i="138"/>
  <c r="C172" i="138"/>
  <c r="C171" i="138"/>
  <c r="C170" i="138"/>
  <c r="C169" i="138"/>
  <c r="C168" i="138"/>
  <c r="C167" i="138"/>
  <c r="C166" i="138"/>
  <c r="C165" i="138"/>
  <c r="C164" i="138"/>
  <c r="C163" i="138"/>
  <c r="C162" i="138"/>
  <c r="C161" i="138"/>
  <c r="C160" i="138"/>
  <c r="C159" i="138"/>
  <c r="C158" i="138"/>
  <c r="C157" i="138"/>
  <c r="C156" i="138"/>
  <c r="C155" i="138"/>
  <c r="C154" i="138"/>
  <c r="C153" i="138"/>
  <c r="C152" i="138"/>
  <c r="C151" i="138"/>
  <c r="C150" i="138"/>
  <c r="C149" i="138"/>
  <c r="C148" i="138"/>
  <c r="C147" i="138"/>
  <c r="C146" i="138"/>
  <c r="C145" i="138"/>
  <c r="C144" i="138"/>
  <c r="C143" i="138"/>
  <c r="C142" i="138"/>
  <c r="C141" i="138"/>
  <c r="C140" i="138"/>
  <c r="C139" i="138"/>
  <c r="C138" i="138"/>
  <c r="C137" i="138"/>
  <c r="C136" i="138"/>
  <c r="C135" i="138"/>
  <c r="C134" i="138"/>
  <c r="C133" i="138"/>
  <c r="C132" i="138"/>
  <c r="C131" i="138"/>
  <c r="C130" i="138"/>
  <c r="C129" i="138"/>
  <c r="C128" i="138"/>
  <c r="C127" i="138"/>
  <c r="C126" i="138"/>
  <c r="C125" i="138"/>
  <c r="C124" i="138"/>
  <c r="C123" i="138"/>
  <c r="C122" i="138"/>
  <c r="C121" i="138"/>
  <c r="C120" i="138"/>
  <c r="C119" i="138"/>
  <c r="C118" i="138"/>
  <c r="C117" i="138"/>
  <c r="C116" i="138"/>
  <c r="C115" i="138"/>
  <c r="C114" i="138"/>
  <c r="C113" i="138"/>
  <c r="C112" i="138"/>
  <c r="C111" i="138"/>
  <c r="C110" i="138"/>
  <c r="C109" i="138"/>
  <c r="C108" i="138"/>
  <c r="C107" i="138"/>
  <c r="C106" i="138"/>
  <c r="C105" i="138"/>
  <c r="C104" i="138"/>
  <c r="C103" i="138"/>
  <c r="C102" i="138"/>
  <c r="C101" i="138"/>
  <c r="C100" i="138"/>
  <c r="C99" i="138"/>
  <c r="C98" i="138"/>
  <c r="C97" i="138"/>
  <c r="C96" i="138"/>
  <c r="C95" i="138"/>
  <c r="C94" i="138"/>
  <c r="C93" i="138"/>
  <c r="C92" i="138"/>
  <c r="C91" i="138"/>
  <c r="C90" i="138"/>
  <c r="C89" i="138"/>
  <c r="C88" i="138"/>
  <c r="C87" i="138"/>
  <c r="C86" i="138"/>
  <c r="C85" i="138"/>
  <c r="C84" i="138"/>
  <c r="C83" i="138"/>
  <c r="C82" i="138"/>
  <c r="C81" i="138"/>
  <c r="C80" i="138"/>
  <c r="C79" i="138"/>
  <c r="C78" i="138"/>
  <c r="C77" i="138"/>
  <c r="C76" i="138"/>
  <c r="C75" i="138"/>
  <c r="C74" i="138"/>
  <c r="C73" i="138"/>
  <c r="C72" i="138"/>
  <c r="C71" i="138"/>
  <c r="C70" i="138"/>
  <c r="C69" i="138"/>
  <c r="C68" i="138"/>
  <c r="C67" i="138"/>
  <c r="C66" i="138"/>
  <c r="C65" i="138"/>
  <c r="C64" i="138"/>
  <c r="C63" i="138"/>
  <c r="C62" i="138"/>
  <c r="C61" i="138"/>
  <c r="C60" i="138"/>
  <c r="C59" i="138"/>
  <c r="C58" i="138"/>
  <c r="C57" i="138"/>
  <c r="C56" i="138"/>
  <c r="C55" i="138"/>
  <c r="C54" i="138"/>
  <c r="C53" i="138"/>
  <c r="C52" i="138"/>
  <c r="C51" i="138"/>
  <c r="C50" i="138"/>
  <c r="C49" i="138"/>
  <c r="C48" i="138"/>
  <c r="C47" i="138"/>
  <c r="C46" i="138"/>
  <c r="C45" i="138"/>
  <c r="C44" i="138"/>
  <c r="C43" i="138"/>
  <c r="C42" i="138"/>
  <c r="C41" i="138"/>
  <c r="C40" i="138"/>
  <c r="C39" i="138"/>
  <c r="C38" i="138"/>
  <c r="C37" i="138"/>
  <c r="C36" i="138"/>
  <c r="C35" i="138"/>
  <c r="C34" i="138"/>
  <c r="C33" i="138"/>
  <c r="C32" i="138"/>
  <c r="C31" i="138"/>
  <c r="C30" i="138"/>
  <c r="C29" i="138"/>
  <c r="C28" i="138"/>
  <c r="C27" i="138"/>
  <c r="C26" i="138"/>
  <c r="C25" i="138"/>
  <c r="C24" i="138"/>
  <c r="C23" i="138"/>
  <c r="C22" i="138"/>
  <c r="C21" i="138"/>
  <c r="C20" i="138"/>
  <c r="C19" i="138"/>
  <c r="C18" i="138"/>
  <c r="C17" i="138"/>
  <c r="C16" i="138"/>
  <c r="A5" i="138"/>
  <c r="C4" i="138"/>
  <c r="A4" i="138"/>
  <c r="C3" i="138"/>
  <c r="A3" i="138"/>
  <c r="C2" i="138"/>
  <c r="A2" i="138"/>
  <c r="L1" i="138"/>
  <c r="K1" i="138"/>
  <c r="J1" i="138"/>
  <c r="I1" i="138"/>
  <c r="H1" i="138"/>
  <c r="G1" i="138"/>
  <c r="E1" i="138"/>
  <c r="D1" i="126" l="1"/>
  <c r="E29" i="65"/>
  <c r="E28" i="71"/>
  <c r="F62" i="72"/>
  <c r="J54" i="72"/>
  <c r="E33" i="60" l="1"/>
  <c r="E66" i="62"/>
  <c r="E47" i="62"/>
  <c r="E45" i="62"/>
  <c r="E14" i="62"/>
  <c r="E13" i="62"/>
  <c r="E37" i="62"/>
  <c r="E26" i="62"/>
  <c r="I54" i="62"/>
  <c r="I53" i="62"/>
  <c r="I52" i="62"/>
  <c r="K32" i="62"/>
  <c r="K31" i="62"/>
  <c r="E32" i="62"/>
  <c r="E31" i="62"/>
  <c r="E28" i="62"/>
  <c r="E27" i="62"/>
  <c r="E24" i="62"/>
  <c r="K28" i="62"/>
  <c r="K27" i="62"/>
  <c r="K24" i="62"/>
  <c r="K23" i="62"/>
  <c r="E23" i="62"/>
  <c r="E30" i="62"/>
  <c r="E22" i="62"/>
  <c r="E18" i="62"/>
  <c r="I103" i="125"/>
  <c r="I102" i="125"/>
  <c r="I101" i="125"/>
  <c r="E103" i="125"/>
  <c r="E102" i="125"/>
  <c r="I100" i="125"/>
  <c r="E100" i="125"/>
  <c r="E101" i="125"/>
  <c r="I97" i="125"/>
  <c r="I96" i="125"/>
  <c r="I95" i="125"/>
  <c r="E97" i="125"/>
  <c r="E96" i="125"/>
  <c r="E95" i="125"/>
  <c r="G89" i="13"/>
  <c r="E72" i="125"/>
  <c r="E75" i="125"/>
  <c r="E69" i="125"/>
  <c r="E66" i="125"/>
  <c r="E63" i="125"/>
  <c r="E60" i="125"/>
  <c r="E57" i="125"/>
  <c r="E54" i="125"/>
  <c r="P30" i="125"/>
  <c r="P29" i="125"/>
  <c r="P28" i="125"/>
  <c r="D2" i="125"/>
  <c r="D1" i="125"/>
  <c r="E87" i="13"/>
  <c r="E88" i="59"/>
  <c r="E81" i="121" l="1"/>
  <c r="G90" i="13"/>
  <c r="E82" i="121" s="1"/>
  <c r="U12" i="123"/>
  <c r="U14" i="123"/>
  <c r="U13" i="123"/>
  <c r="T18" i="123"/>
  <c r="U37" i="123"/>
  <c r="U38" i="123"/>
  <c r="U36" i="123"/>
  <c r="U26" i="123"/>
  <c r="U22" i="123"/>
  <c r="T19" i="123"/>
  <c r="F23" i="100" l="1"/>
  <c r="F22" i="100"/>
  <c r="F4" i="107"/>
  <c r="AA2" i="46" l="1"/>
  <c r="E125" i="59"/>
  <c r="E12" i="59"/>
  <c r="E116" i="59"/>
  <c r="E14" i="98"/>
  <c r="E14" i="97"/>
  <c r="AA3" i="46" l="1"/>
  <c r="B2" i="121"/>
  <c r="B3" i="121"/>
  <c r="B1" i="121"/>
  <c r="AA4" i="46" l="1"/>
  <c r="E23" i="69"/>
  <c r="J51" i="100"/>
  <c r="AA5" i="46" l="1"/>
  <c r="A1" i="125"/>
  <c r="A1" i="69"/>
  <c r="A3" i="97"/>
  <c r="A3" i="132"/>
  <c r="A3" i="123"/>
  <c r="E16" i="125" l="1"/>
  <c r="D49" i="125"/>
  <c r="E79" i="125"/>
  <c r="J79" i="125"/>
  <c r="I26" i="132"/>
  <c r="F26" i="132"/>
  <c r="I450" i="132"/>
  <c r="I445" i="132"/>
  <c r="B3" i="132"/>
  <c r="B1" i="132"/>
  <c r="B2" i="132"/>
  <c r="F43" i="132"/>
  <c r="B3" i="97"/>
  <c r="B2" i="97"/>
  <c r="B1" i="97"/>
  <c r="B3" i="98"/>
  <c r="B2" i="98"/>
  <c r="B1" i="98"/>
  <c r="B2" i="123" l="1"/>
  <c r="B1" i="123"/>
  <c r="B3" i="123"/>
  <c r="B3" i="122"/>
  <c r="B2" i="122"/>
  <c r="B1" i="122"/>
  <c r="I22" i="99"/>
  <c r="F23" i="99"/>
  <c r="F22" i="99"/>
  <c r="F28" i="97"/>
  <c r="F27" i="97"/>
  <c r="F26" i="97"/>
  <c r="G28" i="98"/>
  <c r="G27" i="98"/>
  <c r="G26" i="98"/>
  <c r="F28" i="122"/>
  <c r="I28" i="122"/>
  <c r="I27" i="122"/>
  <c r="I26" i="122"/>
  <c r="F27" i="122"/>
  <c r="F26" i="122"/>
  <c r="F29" i="123"/>
  <c r="F28" i="123"/>
  <c r="F27" i="123"/>
  <c r="F24" i="124"/>
  <c r="F26" i="100"/>
  <c r="F25" i="100"/>
  <c r="J26" i="100"/>
  <c r="J25" i="100"/>
  <c r="I22" i="132"/>
  <c r="F22" i="132"/>
  <c r="I19" i="99"/>
  <c r="F20" i="99"/>
  <c r="F19" i="99"/>
  <c r="J23" i="100"/>
  <c r="J22" i="100"/>
  <c r="I24" i="124"/>
  <c r="I22" i="124"/>
  <c r="I24" i="122"/>
  <c r="I23" i="122"/>
  <c r="I22" i="122"/>
  <c r="J140" i="13"/>
  <c r="J139" i="13"/>
  <c r="F22" i="124"/>
  <c r="F25" i="123"/>
  <c r="F24" i="123"/>
  <c r="F23" i="123"/>
  <c r="F22" i="122"/>
  <c r="F24" i="122"/>
  <c r="F23" i="122"/>
  <c r="G24" i="98"/>
  <c r="G23" i="98"/>
  <c r="G22" i="98"/>
  <c r="F24" i="97"/>
  <c r="F23" i="97"/>
  <c r="F22" i="97"/>
  <c r="F133" i="121"/>
  <c r="F132" i="121"/>
  <c r="F131" i="121"/>
  <c r="F139" i="59"/>
  <c r="F138" i="59"/>
  <c r="F137" i="59"/>
  <c r="T30" i="100"/>
  <c r="B22" i="107"/>
  <c r="B21" i="107"/>
  <c r="B20" i="107"/>
  <c r="B19" i="107"/>
  <c r="B18" i="107"/>
  <c r="B17" i="107"/>
  <c r="B16" i="107"/>
  <c r="B15" i="107"/>
  <c r="B14" i="107"/>
  <c r="B13" i="107"/>
  <c r="B12" i="107"/>
  <c r="B11" i="107"/>
  <c r="B10" i="107"/>
  <c r="B9" i="107"/>
  <c r="B8" i="107"/>
  <c r="B7" i="107"/>
  <c r="B6" i="107"/>
  <c r="B5" i="107"/>
  <c r="B4" i="107"/>
  <c r="B3" i="107"/>
  <c r="I39" i="100" l="1"/>
  <c r="E33" i="100"/>
  <c r="E32" i="100"/>
  <c r="E31" i="100"/>
  <c r="E39" i="100"/>
  <c r="E37" i="100"/>
  <c r="I37" i="100"/>
  <c r="I36" i="100"/>
  <c r="I38" i="100"/>
  <c r="I35" i="100"/>
  <c r="V3" i="13"/>
  <c r="W2" i="13"/>
  <c r="U142" i="13"/>
  <c r="E141" i="13"/>
  <c r="F144" i="13"/>
  <c r="F143" i="13"/>
  <c r="F29" i="13"/>
  <c r="F28" i="13"/>
  <c r="F26" i="13"/>
  <c r="F25" i="13"/>
  <c r="E126" i="13" l="1"/>
  <c r="E11" i="13"/>
  <c r="E21" i="13"/>
  <c r="E20" i="13"/>
  <c r="AD2" i="13"/>
  <c r="AD1" i="13"/>
  <c r="U1" i="13"/>
  <c r="E84" i="13"/>
  <c r="E9" i="13"/>
  <c r="F32" i="13"/>
  <c r="F147" i="13"/>
  <c r="F146" i="13"/>
  <c r="E124" i="13"/>
  <c r="F33" i="13"/>
  <c r="T18" i="132" l="1"/>
  <c r="T17" i="132"/>
  <c r="T16" i="99"/>
  <c r="T15" i="99"/>
  <c r="T19" i="124"/>
  <c r="T18" i="124"/>
  <c r="U19" i="123"/>
  <c r="U18" i="123"/>
  <c r="T19" i="122"/>
  <c r="T18" i="122"/>
  <c r="T19" i="98"/>
  <c r="T18" i="98"/>
  <c r="T19" i="97"/>
  <c r="T18" i="97"/>
  <c r="F33" i="59"/>
  <c r="F34" i="59"/>
  <c r="I117" i="13" l="1"/>
  <c r="J198" i="13"/>
  <c r="U25" i="132"/>
  <c r="U21" i="132"/>
  <c r="U15" i="132"/>
  <c r="U13" i="132"/>
  <c r="U14" i="132"/>
  <c r="U12" i="132"/>
  <c r="E14" i="132"/>
  <c r="E13" i="132"/>
  <c r="E12" i="132"/>
  <c r="U21" i="99"/>
  <c r="U18" i="99"/>
  <c r="U13" i="99"/>
  <c r="U11" i="99"/>
  <c r="U12" i="99"/>
  <c r="U10" i="99"/>
  <c r="E12" i="99"/>
  <c r="E11" i="99"/>
  <c r="E10" i="99"/>
  <c r="E13" i="99"/>
  <c r="U14" i="100"/>
  <c r="U13" i="100"/>
  <c r="U12" i="100"/>
  <c r="E13" i="100"/>
  <c r="U33" i="124"/>
  <c r="U32" i="124"/>
  <c r="U31" i="124"/>
  <c r="U23" i="124"/>
  <c r="U21" i="124"/>
  <c r="U13" i="124"/>
  <c r="U14" i="124"/>
  <c r="U15" i="124"/>
  <c r="U12" i="124"/>
  <c r="E12" i="124"/>
  <c r="E14" i="124"/>
  <c r="E13" i="124"/>
  <c r="V26" i="123"/>
  <c r="V22" i="123"/>
  <c r="V37" i="123"/>
  <c r="V38" i="123"/>
  <c r="V36" i="123"/>
  <c r="E14" i="123"/>
  <c r="E13" i="123"/>
  <c r="E12" i="123"/>
  <c r="U35" i="98"/>
  <c r="U34" i="98"/>
  <c r="U33" i="98"/>
  <c r="U25" i="98"/>
  <c r="U21" i="98"/>
  <c r="U25" i="122"/>
  <c r="U21" i="122"/>
  <c r="U34" i="122"/>
  <c r="U35" i="122"/>
  <c r="U33" i="122"/>
  <c r="E14" i="122"/>
  <c r="E13" i="122"/>
  <c r="E12" i="122"/>
  <c r="V15" i="123"/>
  <c r="V14" i="123"/>
  <c r="V13" i="123"/>
  <c r="V12" i="123"/>
  <c r="U15" i="122"/>
  <c r="U14" i="122"/>
  <c r="U13" i="122"/>
  <c r="U12" i="122"/>
  <c r="U10" i="122"/>
  <c r="E13" i="98"/>
  <c r="E12" i="98"/>
  <c r="U13" i="98"/>
  <c r="U14" i="98"/>
  <c r="U15" i="98"/>
  <c r="U12" i="98"/>
  <c r="U33" i="97"/>
  <c r="E13" i="97"/>
  <c r="E12" i="97"/>
  <c r="U35" i="97"/>
  <c r="U25" i="97"/>
  <c r="U21" i="97"/>
  <c r="U15" i="97"/>
  <c r="U14" i="97"/>
  <c r="U13" i="97"/>
  <c r="U12" i="97"/>
  <c r="U15" i="121"/>
  <c r="U14" i="121"/>
  <c r="U13" i="121"/>
  <c r="U16" i="121"/>
  <c r="U34" i="121"/>
  <c r="U32" i="121"/>
  <c r="U97" i="121"/>
  <c r="U102" i="121"/>
  <c r="U124" i="121"/>
  <c r="U123" i="121"/>
  <c r="U122" i="121"/>
  <c r="U121" i="121"/>
  <c r="AA2" i="121"/>
  <c r="Z2" i="121"/>
  <c r="Y2" i="121"/>
  <c r="X2" i="121"/>
  <c r="I70" i="121" l="1"/>
  <c r="E13" i="70" l="1"/>
  <c r="E34" i="128"/>
  <c r="E56" i="129"/>
  <c r="F2" i="2"/>
  <c r="E108" i="13"/>
  <c r="E107" i="59" s="1"/>
  <c r="E106" i="13"/>
  <c r="E34" i="13"/>
  <c r="E35" i="128" l="1"/>
  <c r="E57" i="129"/>
  <c r="B2" i="128"/>
  <c r="E32" i="121"/>
  <c r="E97" i="121"/>
  <c r="G9" i="128" l="1"/>
  <c r="I138" i="121"/>
  <c r="F138" i="121"/>
  <c r="I133" i="121"/>
  <c r="J250" i="121"/>
  <c r="J249" i="121"/>
  <c r="J248" i="121"/>
  <c r="J247" i="121"/>
  <c r="J246" i="121"/>
  <c r="J245" i="121"/>
  <c r="J244" i="121"/>
  <c r="J243" i="121"/>
  <c r="J242" i="121"/>
  <c r="J241" i="121"/>
  <c r="J240" i="121"/>
  <c r="J239" i="121"/>
  <c r="J238" i="121"/>
  <c r="J237" i="121"/>
  <c r="J236" i="121"/>
  <c r="J235" i="121"/>
  <c r="J234" i="121"/>
  <c r="J233" i="121"/>
  <c r="J232" i="121"/>
  <c r="J231" i="121"/>
  <c r="J230" i="121"/>
  <c r="J229" i="121"/>
  <c r="J228" i="121"/>
  <c r="J227" i="121"/>
  <c r="J226" i="121"/>
  <c r="J225" i="121"/>
  <c r="J224" i="121"/>
  <c r="J223" i="121"/>
  <c r="J222" i="121"/>
  <c r="J221" i="121"/>
  <c r="J220" i="121"/>
  <c r="J219" i="121"/>
  <c r="J218" i="121"/>
  <c r="J217" i="121"/>
  <c r="J216" i="121"/>
  <c r="J215" i="121"/>
  <c r="J214" i="121"/>
  <c r="J213" i="121"/>
  <c r="J212" i="121"/>
  <c r="J211" i="121"/>
  <c r="J210" i="121"/>
  <c r="J209" i="121"/>
  <c r="J208" i="121"/>
  <c r="J207" i="121"/>
  <c r="J206" i="121"/>
  <c r="J205" i="121"/>
  <c r="J204" i="121"/>
  <c r="J203" i="121"/>
  <c r="J202" i="121"/>
  <c r="J201" i="121"/>
  <c r="J200" i="121"/>
  <c r="J199" i="121"/>
  <c r="J198" i="121"/>
  <c r="J197" i="121"/>
  <c r="J196" i="121"/>
  <c r="J195" i="121"/>
  <c r="J194" i="121"/>
  <c r="J193" i="121"/>
  <c r="J192" i="121"/>
  <c r="J191" i="121"/>
  <c r="J190" i="121"/>
  <c r="J189" i="121"/>
  <c r="J188" i="121"/>
  <c r="J187" i="121"/>
  <c r="B12" i="110"/>
  <c r="B13" i="110" s="1"/>
  <c r="B14" i="110" s="1"/>
  <c r="B15" i="110" s="1"/>
  <c r="B16" i="110" s="1"/>
  <c r="L29" i="123" l="1"/>
  <c r="L28" i="123"/>
  <c r="L25" i="123"/>
  <c r="L24" i="123"/>
  <c r="L27" i="123"/>
  <c r="L23" i="123"/>
  <c r="M28" i="98" l="1"/>
  <c r="M27" i="98"/>
  <c r="M24" i="98"/>
  <c r="M23" i="98"/>
  <c r="M26" i="98"/>
  <c r="M22" i="98"/>
  <c r="I28" i="97" l="1"/>
  <c r="I27" i="97"/>
  <c r="I26" i="97"/>
  <c r="I24" i="97"/>
  <c r="I23" i="97"/>
  <c r="I22" i="97"/>
  <c r="E284" i="122" l="1"/>
  <c r="E450" i="132" l="1"/>
  <c r="E443" i="132"/>
  <c r="E35" i="132"/>
  <c r="E33" i="132"/>
  <c r="E15" i="132"/>
  <c r="E3" i="132"/>
  <c r="E2" i="132"/>
  <c r="E1" i="132"/>
  <c r="J50" i="99"/>
  <c r="F50" i="99"/>
  <c r="I57" i="124"/>
  <c r="E57" i="124"/>
  <c r="E51" i="124"/>
  <c r="E33" i="124"/>
  <c r="E31" i="124"/>
  <c r="E15" i="124"/>
  <c r="E3" i="124"/>
  <c r="E2" i="124"/>
  <c r="E1" i="124"/>
  <c r="L173" i="123"/>
  <c r="E173" i="123"/>
  <c r="E167" i="123"/>
  <c r="E38" i="123"/>
  <c r="E36" i="123"/>
  <c r="E15" i="123"/>
  <c r="E3" i="123"/>
  <c r="E2" i="123"/>
  <c r="E1" i="123"/>
  <c r="I291" i="122"/>
  <c r="E291" i="122"/>
  <c r="E35" i="122"/>
  <c r="E33" i="122"/>
  <c r="E15" i="122"/>
  <c r="E1" i="122"/>
  <c r="E3" i="122"/>
  <c r="E2" i="122"/>
  <c r="D3" i="152" l="1"/>
  <c r="D3" i="160"/>
  <c r="D3" i="154"/>
  <c r="D2" i="160"/>
  <c r="D2" i="152"/>
  <c r="D2" i="154"/>
  <c r="E50" i="124"/>
  <c r="E442" i="132"/>
  <c r="E166" i="123"/>
  <c r="M138" i="98"/>
  <c r="E138" i="98"/>
  <c r="E35" i="98"/>
  <c r="E33" i="98"/>
  <c r="E15" i="98"/>
  <c r="E1" i="98"/>
  <c r="E3" i="98"/>
  <c r="E2" i="98"/>
  <c r="E35" i="97"/>
  <c r="E33" i="97"/>
  <c r="E15" i="97"/>
  <c r="I223" i="97" l="1"/>
  <c r="E217" i="97"/>
  <c r="I24" i="121"/>
  <c r="I23" i="121"/>
  <c r="F24" i="121"/>
  <c r="F23" i="121"/>
  <c r="I27" i="121"/>
  <c r="F27" i="121"/>
  <c r="I26" i="121"/>
  <c r="F26" i="121"/>
  <c r="I137" i="121"/>
  <c r="I136" i="121"/>
  <c r="F137" i="121"/>
  <c r="F136" i="121"/>
  <c r="I132" i="121"/>
  <c r="I131" i="121"/>
  <c r="E262" i="121"/>
  <c r="T172" i="121"/>
  <c r="T171" i="121"/>
  <c r="T170" i="121"/>
  <c r="T169" i="121"/>
  <c r="T168" i="121"/>
  <c r="T167" i="121"/>
  <c r="T166" i="121"/>
  <c r="T165" i="121"/>
  <c r="T164" i="121"/>
  <c r="T163" i="121"/>
  <c r="T161" i="121"/>
  <c r="T160" i="121"/>
  <c r="T158" i="121"/>
  <c r="T157" i="121"/>
  <c r="T156" i="121"/>
  <c r="T154" i="121"/>
  <c r="T153" i="121"/>
  <c r="T152" i="121"/>
  <c r="T151" i="121"/>
  <c r="E147" i="121"/>
  <c r="U147" i="121" s="1"/>
  <c r="E145" i="121"/>
  <c r="U145" i="121" s="1"/>
  <c r="E109" i="121"/>
  <c r="H102" i="121"/>
  <c r="E70" i="121"/>
  <c r="U57" i="121"/>
  <c r="T56" i="121"/>
  <c r="T55" i="121"/>
  <c r="T54" i="121"/>
  <c r="T53" i="121"/>
  <c r="T52" i="121"/>
  <c r="T49" i="121"/>
  <c r="T48" i="121"/>
  <c r="T47" i="121"/>
  <c r="U45" i="121"/>
  <c r="T44" i="121"/>
  <c r="T43" i="121"/>
  <c r="T42" i="121"/>
  <c r="T41" i="121"/>
  <c r="T40" i="121"/>
  <c r="T39" i="121"/>
  <c r="T38" i="121"/>
  <c r="T37" i="121"/>
  <c r="E36" i="121"/>
  <c r="T36" i="121" s="1"/>
  <c r="E34" i="121"/>
  <c r="F142" i="121"/>
  <c r="U142" i="121" s="1"/>
  <c r="E25" i="121"/>
  <c r="E22" i="121"/>
  <c r="E16" i="121"/>
  <c r="E124" i="121" s="1"/>
  <c r="E15" i="121"/>
  <c r="E123" i="121" s="1"/>
  <c r="E14" i="121"/>
  <c r="E122" i="121" s="1"/>
  <c r="E13" i="121"/>
  <c r="E121" i="121" s="1"/>
  <c r="E3" i="121"/>
  <c r="E2" i="121"/>
  <c r="E1" i="121"/>
  <c r="E216" i="97" l="1"/>
  <c r="D7" i="81" l="1"/>
  <c r="D3" i="81"/>
  <c r="F13" i="114" l="1"/>
  <c r="G12" i="114"/>
  <c r="G13" i="114" s="1"/>
  <c r="F12" i="114"/>
  <c r="B12" i="114"/>
  <c r="H11" i="114"/>
  <c r="L11" i="114" s="1"/>
  <c r="F11" i="114"/>
  <c r="I11" i="114" s="1"/>
  <c r="E285" i="122" l="1"/>
  <c r="I12" i="114"/>
  <c r="M12" i="114" s="1"/>
  <c r="M11" i="114"/>
  <c r="I13" i="114"/>
  <c r="M13" i="114" s="1"/>
  <c r="H13" i="114"/>
  <c r="L13" i="114" s="1"/>
  <c r="H12" i="114"/>
  <c r="L12" i="114" s="1"/>
  <c r="A4" i="115" l="1"/>
  <c r="A3" i="115"/>
  <c r="A4" i="114"/>
  <c r="A3" i="114"/>
  <c r="A4" i="113"/>
  <c r="A3" i="113"/>
  <c r="A4" i="112"/>
  <c r="A3" i="112"/>
  <c r="A4" i="110"/>
  <c r="A3" i="110"/>
  <c r="A4" i="111"/>
  <c r="A3" i="111"/>
  <c r="E16" i="60" l="1"/>
  <c r="E51" i="100" l="1"/>
  <c r="K35" i="100"/>
  <c r="K39" i="100" s="1"/>
  <c r="E104" i="13" l="1"/>
  <c r="E223" i="97"/>
  <c r="E117" i="13" l="1"/>
  <c r="E198" i="13"/>
  <c r="E1" i="99" l="1"/>
  <c r="E3" i="99"/>
  <c r="E2" i="99"/>
  <c r="E3" i="97"/>
  <c r="E2" i="97"/>
  <c r="E1" i="100"/>
  <c r="A22" i="107" l="1"/>
  <c r="A21" i="107"/>
  <c r="A20" i="107"/>
  <c r="A19" i="107"/>
  <c r="A18" i="107"/>
  <c r="A17" i="107"/>
  <c r="A16" i="107"/>
  <c r="A15" i="107"/>
  <c r="A14" i="107"/>
  <c r="A13" i="107"/>
  <c r="A12" i="107"/>
  <c r="A11" i="107"/>
  <c r="A10" i="107"/>
  <c r="A9" i="107"/>
  <c r="A4" i="107"/>
  <c r="A5" i="107" s="1"/>
  <c r="A6" i="107" l="1"/>
  <c r="A7" i="107" s="1"/>
  <c r="A8" i="107" l="1"/>
  <c r="K36" i="100"/>
  <c r="K38" i="100"/>
  <c r="K37" i="100"/>
  <c r="W2" i="100"/>
  <c r="E10" i="97" l="1"/>
  <c r="E1" i="97" s="1"/>
  <c r="X2" i="100"/>
  <c r="U24" i="100"/>
  <c r="U21" i="100"/>
  <c r="T19" i="100"/>
  <c r="T18" i="100"/>
  <c r="U15" i="100"/>
  <c r="E15" i="100"/>
  <c r="E14" i="100"/>
  <c r="E12" i="100"/>
  <c r="E3" i="100"/>
  <c r="E2" i="100"/>
  <c r="AA2" i="13" l="1"/>
  <c r="T38" i="13"/>
  <c r="T166" i="13"/>
  <c r="T153" i="13"/>
  <c r="T154" i="13"/>
  <c r="T155" i="13"/>
  <c r="T156" i="13"/>
  <c r="E151" i="13" l="1"/>
  <c r="Z2" i="13" l="1"/>
  <c r="L25" i="64" l="1"/>
  <c r="L24" i="64"/>
  <c r="L25" i="72"/>
  <c r="L24" i="72"/>
  <c r="E22" i="59" l="1"/>
  <c r="E134" i="59" s="1"/>
  <c r="T134" i="59" s="1"/>
  <c r="E21" i="59"/>
  <c r="T21" i="59" s="1"/>
  <c r="AA2" i="59"/>
  <c r="Z2" i="59"/>
  <c r="Y2" i="59"/>
  <c r="X2" i="59"/>
  <c r="E1" i="59"/>
  <c r="J196" i="59"/>
  <c r="E196" i="59"/>
  <c r="T174" i="59"/>
  <c r="T172" i="59"/>
  <c r="T171" i="59"/>
  <c r="T170" i="59"/>
  <c r="T169" i="59"/>
  <c r="T168" i="59"/>
  <c r="T167" i="59"/>
  <c r="T166" i="59"/>
  <c r="T165" i="59"/>
  <c r="T164" i="59"/>
  <c r="E162" i="59"/>
  <c r="U162" i="59" s="1"/>
  <c r="U160" i="59"/>
  <c r="T159" i="59"/>
  <c r="T158" i="59"/>
  <c r="T157" i="59"/>
  <c r="T156" i="59"/>
  <c r="T155" i="59"/>
  <c r="T154" i="59"/>
  <c r="T153" i="59"/>
  <c r="T152" i="59"/>
  <c r="E150" i="59"/>
  <c r="U150" i="59" s="1"/>
  <c r="K143" i="59"/>
  <c r="G143" i="59"/>
  <c r="K142" i="59"/>
  <c r="G142" i="59"/>
  <c r="U129" i="59"/>
  <c r="U128" i="59"/>
  <c r="U127" i="59"/>
  <c r="I109" i="59"/>
  <c r="G92" i="59"/>
  <c r="G90" i="59"/>
  <c r="G91" i="59" s="1"/>
  <c r="J80" i="59"/>
  <c r="E80" i="59"/>
  <c r="U61" i="59"/>
  <c r="T60" i="59"/>
  <c r="T59" i="59"/>
  <c r="T58" i="59"/>
  <c r="T57" i="59"/>
  <c r="T56" i="59"/>
  <c r="T55" i="59"/>
  <c r="T54" i="59"/>
  <c r="T53" i="59"/>
  <c r="T52" i="59"/>
  <c r="T51" i="59"/>
  <c r="E49" i="59"/>
  <c r="U49" i="59" s="1"/>
  <c r="T48" i="59"/>
  <c r="T47" i="59"/>
  <c r="T46" i="59"/>
  <c r="T45" i="59"/>
  <c r="T44" i="59"/>
  <c r="T43" i="59"/>
  <c r="T42" i="59"/>
  <c r="T41" i="59"/>
  <c r="T40" i="59"/>
  <c r="T39" i="59"/>
  <c r="E37" i="59"/>
  <c r="U37" i="59" s="1"/>
  <c r="E35" i="59"/>
  <c r="E147" i="59" s="1"/>
  <c r="U147" i="59" s="1"/>
  <c r="K30" i="59"/>
  <c r="G30" i="59"/>
  <c r="K29" i="59"/>
  <c r="G29" i="59"/>
  <c r="E28" i="59"/>
  <c r="K27" i="59"/>
  <c r="G27" i="59"/>
  <c r="K26" i="59"/>
  <c r="G26" i="59"/>
  <c r="E25" i="59"/>
  <c r="E18" i="59"/>
  <c r="E130" i="59" s="1"/>
  <c r="U130" i="59" s="1"/>
  <c r="U17" i="59"/>
  <c r="E17" i="59"/>
  <c r="E129" i="59" s="1"/>
  <c r="U16" i="59"/>
  <c r="E16" i="59"/>
  <c r="E128" i="59" s="1"/>
  <c r="U15" i="59"/>
  <c r="E15" i="59"/>
  <c r="E127" i="59" s="1"/>
  <c r="F146" i="59"/>
  <c r="E85" i="59"/>
  <c r="E123" i="59"/>
  <c r="F145" i="59"/>
  <c r="E10" i="59"/>
  <c r="E133" i="59" l="1"/>
  <c r="T133" i="59" s="1"/>
  <c r="U35" i="59"/>
  <c r="E105" i="59"/>
  <c r="U105" i="59" s="1"/>
  <c r="T175" i="59"/>
  <c r="F104" i="59"/>
  <c r="T149" i="59"/>
  <c r="U18" i="59"/>
  <c r="T22" i="59"/>
  <c r="E102" i="59"/>
  <c r="T102" i="59" s="1"/>
  <c r="E101" i="59"/>
  <c r="T101" i="59" s="1"/>
  <c r="E101" i="13" l="1"/>
  <c r="T101" i="13" s="1"/>
  <c r="T150" i="13"/>
  <c r="E100" i="13"/>
  <c r="T100" i="13" s="1"/>
  <c r="Y2" i="13"/>
  <c r="X2" i="13"/>
  <c r="E1" i="13"/>
  <c r="U176" i="13"/>
  <c r="T176" i="13"/>
  <c r="T175" i="13"/>
  <c r="T174" i="13"/>
  <c r="T173" i="13"/>
  <c r="T172" i="13"/>
  <c r="T171" i="13"/>
  <c r="T170" i="13"/>
  <c r="T169" i="13"/>
  <c r="T168" i="13"/>
  <c r="T167" i="13"/>
  <c r="E164" i="13"/>
  <c r="U164" i="13" s="1"/>
  <c r="T162" i="13"/>
  <c r="T161" i="13"/>
  <c r="T160" i="13"/>
  <c r="T159" i="13"/>
  <c r="T158" i="13"/>
  <c r="T157" i="13"/>
  <c r="U151" i="13"/>
  <c r="K144" i="13"/>
  <c r="K143" i="13"/>
  <c r="U138" i="13"/>
  <c r="U131" i="13"/>
  <c r="U130" i="13"/>
  <c r="U129" i="13"/>
  <c r="I110" i="13"/>
  <c r="U109" i="13"/>
  <c r="G91" i="13"/>
  <c r="E83" i="121" s="1"/>
  <c r="E79" i="13"/>
  <c r="U60" i="13"/>
  <c r="T59" i="13"/>
  <c r="T58" i="13"/>
  <c r="T57" i="13"/>
  <c r="T56" i="13"/>
  <c r="T55" i="13"/>
  <c r="T54" i="13"/>
  <c r="T53" i="13"/>
  <c r="T52" i="13"/>
  <c r="T51" i="13"/>
  <c r="T50" i="13"/>
  <c r="E48" i="13"/>
  <c r="U48" i="13" s="1"/>
  <c r="T47" i="13"/>
  <c r="T46" i="13"/>
  <c r="T45" i="13"/>
  <c r="T44" i="13"/>
  <c r="T43" i="13"/>
  <c r="T42" i="13"/>
  <c r="T41" i="13"/>
  <c r="T40" i="13"/>
  <c r="T39" i="13"/>
  <c r="E36" i="13"/>
  <c r="U36" i="13" s="1"/>
  <c r="E105" i="13"/>
  <c r="U105" i="13" s="1"/>
  <c r="K29" i="13"/>
  <c r="K28" i="13"/>
  <c r="E27" i="13"/>
  <c r="K26" i="13"/>
  <c r="G26" i="13"/>
  <c r="K25" i="13"/>
  <c r="E24" i="13"/>
  <c r="E17" i="13"/>
  <c r="E132" i="13" s="1"/>
  <c r="U132" i="13" s="1"/>
  <c r="U16" i="13"/>
  <c r="E16" i="13"/>
  <c r="E131" i="13" s="1"/>
  <c r="U15" i="13"/>
  <c r="E15" i="13"/>
  <c r="E130" i="13" s="1"/>
  <c r="U14" i="13"/>
  <c r="E14" i="13"/>
  <c r="E129" i="13" s="1"/>
  <c r="U17" i="13" l="1"/>
  <c r="U34" i="13"/>
  <c r="E136" i="13"/>
  <c r="T136" i="13" s="1"/>
  <c r="E148" i="13"/>
  <c r="U148" i="13" s="1"/>
  <c r="T21" i="13"/>
  <c r="T20" i="13"/>
  <c r="E135" i="13"/>
  <c r="T135" i="13" s="1"/>
  <c r="U108" i="13"/>
  <c r="C3" i="19" l="1"/>
  <c r="F7" i="19" s="1"/>
  <c r="D2" i="2" l="1"/>
  <c r="G7" i="19" l="1"/>
  <c r="K8" i="19" s="1"/>
  <c r="H32" i="1"/>
  <c r="H103" i="121" s="1"/>
  <c r="D32" i="1"/>
  <c r="H109" i="121" s="1"/>
  <c r="F9" i="19" l="1"/>
  <c r="G9" i="19" s="1"/>
  <c r="E35" i="62"/>
  <c r="E67" i="62"/>
  <c r="E15" i="62"/>
  <c r="E36" i="62"/>
  <c r="F8" i="62"/>
  <c r="I116" i="59"/>
  <c r="I110" i="59"/>
  <c r="I111" i="13"/>
  <c r="F10" i="19" l="1"/>
  <c r="G10" i="19" s="1"/>
  <c r="K11" i="19" s="1"/>
  <c r="H9" i="19"/>
  <c r="K12" i="19" l="1"/>
  <c r="F13" i="19" l="1"/>
  <c r="G13" i="19" s="1"/>
  <c r="K14" i="19" s="1"/>
  <c r="F17" i="19" s="1"/>
  <c r="G17" i="19" s="1"/>
  <c r="H17" i="19" l="1"/>
  <c r="I18" i="19"/>
  <c r="AD2" i="59"/>
  <c r="AD1" i="59"/>
  <c r="G3" i="81"/>
  <c r="J18" i="19" l="1"/>
  <c r="K18" i="19" s="1"/>
  <c r="E1" i="19"/>
  <c r="P18" i="19" l="1"/>
  <c r="Q18" i="19"/>
  <c r="F20" i="19"/>
  <c r="G20" i="19" s="1"/>
  <c r="A3" i="156"/>
  <c r="A3" i="155"/>
  <c r="A3" i="157"/>
  <c r="A3" i="8"/>
  <c r="A3" i="140"/>
  <c r="A3" i="117"/>
  <c r="E2" i="59"/>
  <c r="E2" i="70"/>
  <c r="E2" i="60" s="1"/>
  <c r="E2" i="71" s="1"/>
  <c r="E2" i="62" s="1"/>
  <c r="E2" i="72" s="1"/>
  <c r="E2" i="64" s="1"/>
  <c r="A1" i="16"/>
  <c r="E2" i="13"/>
  <c r="A1" i="17"/>
  <c r="H20" i="19" l="1"/>
  <c r="K21" i="19"/>
  <c r="E2" i="65"/>
  <c r="D2" i="128"/>
  <c r="D2" i="127" s="1"/>
  <c r="D2" i="126"/>
  <c r="D2" i="129"/>
  <c r="E3" i="81"/>
  <c r="C3" i="81"/>
  <c r="B4" i="81" s="1"/>
  <c r="D8" i="81" s="1"/>
  <c r="C7" i="81"/>
  <c r="H3" i="81"/>
  <c r="I3" i="81" s="1"/>
  <c r="G7" i="81"/>
  <c r="I22" i="19" l="1"/>
  <c r="J22" i="19" s="1"/>
  <c r="P22" i="19" s="1"/>
  <c r="K22" i="19"/>
  <c r="F51" i="19" s="1"/>
  <c r="C4" i="81"/>
  <c r="G4" i="81"/>
  <c r="F3" i="81"/>
  <c r="Q22" i="19" l="1"/>
  <c r="F23" i="19"/>
  <c r="H4" i="81"/>
  <c r="I4" i="81" s="1"/>
  <c r="B8" i="81"/>
  <c r="D4" i="81" s="1"/>
  <c r="E4" i="81" s="1"/>
  <c r="G23" i="19" l="1"/>
  <c r="H23" i="19" s="1"/>
  <c r="F24" i="19"/>
  <c r="G24" i="19" s="1"/>
  <c r="I26" i="19" s="1"/>
  <c r="G8" i="81"/>
  <c r="C8" i="81"/>
  <c r="B9" i="81" s="1"/>
  <c r="E8" i="81"/>
  <c r="E7" i="81"/>
  <c r="F7" i="81" s="1"/>
  <c r="J26" i="19" l="1"/>
  <c r="K26" i="19" s="1"/>
  <c r="H24" i="19"/>
  <c r="F25" i="19"/>
  <c r="G25" i="19" s="1"/>
  <c r="C9" i="81"/>
  <c r="D5" i="81"/>
  <c r="G9" i="81"/>
  <c r="H7" i="81"/>
  <c r="I7" i="81" s="1"/>
  <c r="F8" i="81"/>
  <c r="B5" i="81"/>
  <c r="C5" i="81" s="1"/>
  <c r="D1" i="69"/>
  <c r="Q26" i="19" l="1"/>
  <c r="F27" i="19"/>
  <c r="G27" i="19" s="1"/>
  <c r="P26" i="19"/>
  <c r="G5" i="81"/>
  <c r="H8" i="81"/>
  <c r="I8" i="81" s="1"/>
  <c r="B10" i="81"/>
  <c r="B6" i="81"/>
  <c r="H27" i="19" l="1"/>
  <c r="K28" i="19"/>
  <c r="C6" i="81"/>
  <c r="D10" i="81"/>
  <c r="E10" i="81" s="1"/>
  <c r="D9" i="81"/>
  <c r="E9" i="81" s="1"/>
  <c r="F9" i="81" s="1"/>
  <c r="C10" i="81"/>
  <c r="D6" i="81"/>
  <c r="E6" i="81" s="1"/>
  <c r="G10" i="81"/>
  <c r="E5" i="81"/>
  <c r="F5" i="81" s="1"/>
  <c r="G6" i="81"/>
  <c r="F4" i="81"/>
  <c r="H5" i="81"/>
  <c r="I5" i="81" s="1"/>
  <c r="H9" i="81"/>
  <c r="I9" i="81" s="1"/>
  <c r="I29" i="19" l="1"/>
  <c r="J29" i="19" s="1"/>
  <c r="P29" i="19"/>
  <c r="K29" i="19"/>
  <c r="F10" i="81"/>
  <c r="F6" i="81"/>
  <c r="H10" i="81"/>
  <c r="I10" i="81" s="1"/>
  <c r="Q29" i="19" l="1"/>
  <c r="F30" i="19"/>
  <c r="G30" i="19" s="1"/>
  <c r="H6" i="81"/>
  <c r="I6" i="81" s="1"/>
  <c r="H30" i="19" l="1"/>
  <c r="K31" i="19"/>
  <c r="I32" i="19" s="1"/>
  <c r="J32" i="19" s="1"/>
  <c r="E59" i="72"/>
  <c r="E58" i="72"/>
  <c r="E57" i="72"/>
  <c r="M59" i="72"/>
  <c r="M58" i="72"/>
  <c r="M57" i="72"/>
  <c r="J56" i="72"/>
  <c r="F56" i="72"/>
  <c r="M56" i="72" s="1"/>
  <c r="J55" i="72"/>
  <c r="F55" i="72"/>
  <c r="M55" i="72" s="1"/>
  <c r="F54" i="72"/>
  <c r="E54" i="72" s="1"/>
  <c r="P32" i="19" l="1"/>
  <c r="K32" i="19"/>
  <c r="E55" i="72"/>
  <c r="E56" i="72" s="1"/>
  <c r="M54" i="72"/>
  <c r="Q32" i="19" l="1"/>
  <c r="F33" i="19"/>
  <c r="G33" i="19" s="1"/>
  <c r="F36" i="19" s="1"/>
  <c r="G36" i="19" s="1"/>
  <c r="E1" i="70"/>
  <c r="K65" i="65"/>
  <c r="E65" i="65"/>
  <c r="G25" i="65"/>
  <c r="G24" i="65"/>
  <c r="E23" i="65"/>
  <c r="G22" i="65"/>
  <c r="G21" i="65"/>
  <c r="E20" i="65"/>
  <c r="E16" i="65"/>
  <c r="E15" i="65"/>
  <c r="E14" i="65"/>
  <c r="E13" i="65"/>
  <c r="E1" i="65"/>
  <c r="K38" i="19" l="1"/>
  <c r="K39" i="19"/>
  <c r="I40" i="19" s="1"/>
  <c r="J40" i="19" s="1"/>
  <c r="H36" i="19"/>
  <c r="F37" i="19"/>
  <c r="G37" i="19" s="1"/>
  <c r="H33" i="19"/>
  <c r="K34" i="19"/>
  <c r="K35" i="19" s="1"/>
  <c r="K66" i="64"/>
  <c r="E66" i="64"/>
  <c r="G25" i="64"/>
  <c r="G24" i="64"/>
  <c r="E23" i="64"/>
  <c r="L22" i="64"/>
  <c r="G22" i="64"/>
  <c r="L21" i="64"/>
  <c r="G21" i="64"/>
  <c r="E20" i="64"/>
  <c r="E16" i="64"/>
  <c r="E15" i="64"/>
  <c r="E14" i="64"/>
  <c r="E13" i="64"/>
  <c r="E1" i="64"/>
  <c r="K73" i="72"/>
  <c r="E73" i="72"/>
  <c r="E34" i="72"/>
  <c r="G25" i="72"/>
  <c r="G24" i="72"/>
  <c r="E23" i="72"/>
  <c r="L22" i="72"/>
  <c r="G22" i="72"/>
  <c r="L21" i="72"/>
  <c r="G21" i="72"/>
  <c r="E20" i="72"/>
  <c r="E16" i="72"/>
  <c r="E15" i="72"/>
  <c r="E14" i="72"/>
  <c r="E13" i="72"/>
  <c r="E1" i="72"/>
  <c r="L34" i="71"/>
  <c r="E41" i="71"/>
  <c r="E34" i="71"/>
  <c r="E13" i="71"/>
  <c r="E12" i="71"/>
  <c r="E11" i="71"/>
  <c r="E10" i="71"/>
  <c r="L63" i="60"/>
  <c r="E63" i="60"/>
  <c r="L56" i="60"/>
  <c r="E56" i="60"/>
  <c r="L32" i="60"/>
  <c r="L31" i="60"/>
  <c r="H32" i="60"/>
  <c r="H31" i="60"/>
  <c r="E30" i="60"/>
  <c r="L29" i="60"/>
  <c r="L28" i="60"/>
  <c r="H29" i="60"/>
  <c r="H28" i="60"/>
  <c r="E27" i="60"/>
  <c r="E22" i="60"/>
  <c r="E19" i="60"/>
  <c r="E15" i="60"/>
  <c r="E13" i="60"/>
  <c r="E12" i="60"/>
  <c r="E11" i="60"/>
  <c r="E10" i="60"/>
  <c r="K21" i="70"/>
  <c r="E12" i="70"/>
  <c r="E11" i="70"/>
  <c r="E10" i="70"/>
  <c r="P40" i="19" l="1"/>
  <c r="K40" i="19"/>
  <c r="P30" i="69"/>
  <c r="P29" i="69"/>
  <c r="P28" i="69"/>
  <c r="Q40" i="19" l="1"/>
  <c r="F41" i="19"/>
  <c r="D2" i="69"/>
  <c r="G41" i="19" l="1"/>
  <c r="U1" i="59"/>
  <c r="F42" i="19" l="1"/>
  <c r="G42" i="19" s="1"/>
  <c r="H42" i="19" s="1"/>
  <c r="F43" i="19"/>
  <c r="G43" i="19" s="1"/>
  <c r="H41" i="19"/>
  <c r="E2" i="19"/>
  <c r="J3" i="19"/>
  <c r="F45" i="19" l="1"/>
  <c r="G45" i="19" s="1"/>
  <c r="F47" i="19" s="1"/>
  <c r="G47" i="19" s="1"/>
  <c r="I49" i="19" s="1"/>
  <c r="F44" i="19"/>
  <c r="G44" i="19" s="1"/>
  <c r="H44" i="19" s="1"/>
  <c r="H43" i="19"/>
  <c r="A4" i="155"/>
  <c r="A4" i="156"/>
  <c r="A4" i="157"/>
  <c r="A4" i="8"/>
  <c r="A4" i="140"/>
  <c r="A4" i="117"/>
  <c r="E78" i="121" s="1"/>
  <c r="T174" i="121"/>
  <c r="E3" i="59"/>
  <c r="A2" i="17"/>
  <c r="E3" i="70"/>
  <c r="E3" i="60" s="1"/>
  <c r="E3" i="71" s="1"/>
  <c r="E3" i="62" s="1"/>
  <c r="E3" i="72" s="1"/>
  <c r="E3" i="64" s="1"/>
  <c r="E3" i="13"/>
  <c r="A2" i="16"/>
  <c r="A3" i="9"/>
  <c r="A4" i="9"/>
  <c r="E96" i="121"/>
  <c r="J49" i="19" l="1"/>
  <c r="K49" i="19" s="1"/>
  <c r="P49" i="19"/>
  <c r="F48" i="19"/>
  <c r="G48" i="19" s="1"/>
  <c r="H48" i="19" s="1"/>
  <c r="H47" i="19"/>
  <c r="H45" i="19"/>
  <c r="F46" i="19"/>
  <c r="G46" i="19" s="1"/>
  <c r="H46" i="19" s="1"/>
  <c r="E3" i="65"/>
  <c r="D3" i="128"/>
  <c r="D3" i="127" s="1"/>
  <c r="D3" i="129"/>
  <c r="D3" i="126"/>
  <c r="E20" i="121"/>
  <c r="T20" i="121" s="1"/>
  <c r="E10" i="121"/>
  <c r="S1" i="121"/>
  <c r="AD1" i="121"/>
  <c r="E118" i="121"/>
  <c r="AD2" i="121"/>
  <c r="E19" i="121"/>
  <c r="T19" i="121" s="1"/>
  <c r="A2" i="121"/>
  <c r="J177" i="121"/>
  <c r="J181" i="121"/>
  <c r="J178" i="121"/>
  <c r="J182" i="121"/>
  <c r="J179" i="121"/>
  <c r="J180" i="121"/>
  <c r="J185" i="121"/>
  <c r="J183" i="121"/>
  <c r="J186" i="121"/>
  <c r="J184" i="121"/>
  <c r="F30" i="121"/>
  <c r="E8" i="121"/>
  <c r="F141" i="121"/>
  <c r="F31" i="121"/>
  <c r="F140" i="121"/>
  <c r="E116" i="121"/>
  <c r="E75" i="121"/>
  <c r="Q49" i="19" l="1"/>
  <c r="G51" i="19"/>
  <c r="E128" i="121"/>
  <c r="T128" i="121" s="1"/>
  <c r="E93" i="121"/>
  <c r="T93" i="121" s="1"/>
  <c r="E92" i="121"/>
  <c r="T92" i="121" s="1"/>
  <c r="E127" i="121"/>
  <c r="T127" i="121" s="1"/>
  <c r="H51" i="19" l="1"/>
  <c r="K52" i="19"/>
  <c r="I53" i="19" s="1"/>
  <c r="F28" i="72"/>
  <c r="F27" i="72"/>
  <c r="E8" i="72"/>
  <c r="J53" i="19" l="1"/>
  <c r="K53" i="19" s="1"/>
  <c r="E8" i="64"/>
  <c r="F28" i="64"/>
  <c r="F27" i="64"/>
  <c r="F82" i="19" l="1"/>
  <c r="G82" i="19" s="1"/>
  <c r="F54" i="19"/>
  <c r="Q53" i="19"/>
  <c r="P53" i="19"/>
  <c r="E8" i="65"/>
  <c r="F28" i="65"/>
  <c r="F27" i="65"/>
  <c r="K83" i="19" l="1"/>
  <c r="I84" i="19" s="1"/>
  <c r="H82" i="19"/>
  <c r="J84" i="19"/>
  <c r="K84" i="19" s="1"/>
  <c r="F55" i="19"/>
  <c r="G55" i="19" s="1"/>
  <c r="G54" i="19"/>
  <c r="H54" i="19" s="1"/>
  <c r="F85" i="19" l="1"/>
  <c r="H55" i="19"/>
  <c r="I57" i="19"/>
  <c r="F56" i="19"/>
  <c r="G56" i="19" s="1"/>
  <c r="F86" i="19" l="1"/>
  <c r="G86" i="19" s="1"/>
  <c r="G85" i="19"/>
  <c r="H85" i="19" s="1"/>
  <c r="J57" i="19"/>
  <c r="K57" i="19" s="1"/>
  <c r="H86" i="19" l="1"/>
  <c r="I88" i="19"/>
  <c r="F87" i="19"/>
  <c r="G87" i="19" s="1"/>
  <c r="P57" i="19"/>
  <c r="F58" i="19"/>
  <c r="G58" i="19" s="1"/>
  <c r="Q57" i="19"/>
  <c r="J88" i="19" l="1"/>
  <c r="K88" i="19" s="1"/>
  <c r="K59" i="19"/>
  <c r="H58" i="19"/>
  <c r="F89" i="19" l="1"/>
  <c r="G89" i="19" s="1"/>
  <c r="I60" i="19"/>
  <c r="K90" i="19" l="1"/>
  <c r="I91" i="19" s="1"/>
  <c r="H89" i="19"/>
  <c r="J60" i="19"/>
  <c r="K60" i="19" s="1"/>
  <c r="P60" i="19" l="1"/>
  <c r="J91" i="19"/>
  <c r="K91" i="19" s="1"/>
  <c r="Q60" i="19"/>
  <c r="F61" i="19"/>
  <c r="G61" i="19" s="1"/>
  <c r="F92" i="19" l="1"/>
  <c r="G92" i="19" s="1"/>
  <c r="H61" i="19"/>
  <c r="K62" i="19"/>
  <c r="H92" i="19" l="1"/>
  <c r="K93" i="19"/>
  <c r="I94" i="19" s="1"/>
  <c r="I63" i="19"/>
  <c r="J94" i="19" l="1"/>
  <c r="K94" i="19" s="1"/>
  <c r="J63" i="19"/>
  <c r="K63" i="19" s="1"/>
  <c r="P63" i="19" l="1"/>
  <c r="F95" i="19"/>
  <c r="G95" i="19" s="1"/>
  <c r="F64" i="19"/>
  <c r="G64" i="19" s="1"/>
  <c r="Q63" i="19"/>
  <c r="K96" i="19" l="1"/>
  <c r="K97" i="19" s="1"/>
  <c r="F98" i="19"/>
  <c r="G98" i="19" s="1"/>
  <c r="H95" i="19"/>
  <c r="K65" i="19"/>
  <c r="K66" i="19" s="1"/>
  <c r="F67" i="19"/>
  <c r="G67" i="19" s="1"/>
  <c r="H64" i="19"/>
  <c r="H98" i="19" l="1"/>
  <c r="K100" i="19"/>
  <c r="F99" i="19"/>
  <c r="G99" i="19" s="1"/>
  <c r="K101" i="19"/>
  <c r="I102" i="19" s="1"/>
  <c r="H67" i="19"/>
  <c r="K69" i="19"/>
  <c r="F68" i="19"/>
  <c r="G68" i="19" s="1"/>
  <c r="K70" i="19"/>
  <c r="I71" i="19" s="1"/>
  <c r="J102" i="19" l="1"/>
  <c r="K102" i="19" s="1"/>
  <c r="J71" i="19"/>
  <c r="K71" i="19" s="1"/>
  <c r="F103" i="19" l="1"/>
  <c r="G103" i="19" s="1"/>
  <c r="P71" i="19"/>
  <c r="F72" i="19"/>
  <c r="G72" i="19" s="1"/>
  <c r="Q71" i="19"/>
  <c r="F105" i="19" l="1"/>
  <c r="G105" i="19" s="1"/>
  <c r="F104" i="19"/>
  <c r="G104" i="19" s="1"/>
  <c r="H104" i="19" s="1"/>
  <c r="H103" i="19"/>
  <c r="H72" i="19"/>
  <c r="F74" i="19"/>
  <c r="G74" i="19" s="1"/>
  <c r="F73" i="19"/>
  <c r="G73" i="19" s="1"/>
  <c r="H73" i="19" s="1"/>
  <c r="H105" i="19" l="1"/>
  <c r="F107" i="19"/>
  <c r="G107" i="19" s="1"/>
  <c r="F106" i="19"/>
  <c r="G106" i="19" s="1"/>
  <c r="H106" i="19" s="1"/>
  <c r="H74" i="19"/>
  <c r="F76" i="19"/>
  <c r="G76" i="19" s="1"/>
  <c r="F75" i="19"/>
  <c r="G75" i="19" s="1"/>
  <c r="H75" i="19" s="1"/>
  <c r="H107" i="19" l="1"/>
  <c r="F109" i="19"/>
  <c r="G109" i="19" s="1"/>
  <c r="F108" i="19"/>
  <c r="G108" i="19" s="1"/>
  <c r="H108" i="19" s="1"/>
  <c r="H76" i="19"/>
  <c r="F78" i="19"/>
  <c r="G78" i="19" s="1"/>
  <c r="F77" i="19"/>
  <c r="G77" i="19" s="1"/>
  <c r="H77" i="19" s="1"/>
  <c r="F110" i="19" l="1"/>
  <c r="G110" i="19" s="1"/>
  <c r="H110" i="19" s="1"/>
  <c r="I111" i="19"/>
  <c r="H109" i="19"/>
  <c r="F79" i="19"/>
  <c r="G79" i="19" s="1"/>
  <c r="H79" i="19" s="1"/>
  <c r="I80" i="19"/>
  <c r="H78" i="19"/>
  <c r="J111" i="19" l="1"/>
  <c r="K111" i="19" s="1"/>
  <c r="P84" i="19"/>
  <c r="P102" i="19"/>
  <c r="P88" i="19"/>
  <c r="P91" i="19"/>
  <c r="P94" i="19"/>
  <c r="J80" i="19"/>
  <c r="K80" i="19" s="1"/>
  <c r="P111" i="19" l="1"/>
  <c r="I112" i="19"/>
  <c r="Q84" i="19"/>
  <c r="Q88" i="19"/>
  <c r="Q91" i="19"/>
  <c r="Q94" i="19"/>
  <c r="Q102" i="19"/>
  <c r="P80" i="19"/>
  <c r="Q111" i="19"/>
  <c r="Q80" i="19"/>
  <c r="J112" i="19" l="1"/>
  <c r="K112" i="19" s="1"/>
  <c r="P112" i="19" l="1"/>
  <c r="Q112" i="19"/>
  <c r="J4" i="19" s="1"/>
  <c r="C4" i="19"/>
  <c r="F4" i="19" l="1"/>
  <c r="F44" i="125"/>
  <c r="F45" i="69"/>
</calcChain>
</file>

<file path=xl/sharedStrings.xml><?xml version="1.0" encoding="utf-8"?>
<sst xmlns="http://schemas.openxmlformats.org/spreadsheetml/2006/main" count="13644" uniqueCount="6277">
  <si>
    <t>THÔNG TIN CÔNG TRÌNH</t>
  </si>
  <si>
    <t>Địa điểm xây dựng</t>
  </si>
  <si>
    <t>Hợp đồng XD</t>
  </si>
  <si>
    <t>Địa danh</t>
  </si>
  <si>
    <t>Chủ đầu tư</t>
  </si>
  <si>
    <t>Đơn vị thiết kế</t>
  </si>
  <si>
    <t>*) Phòng quản lý chất lượng</t>
  </si>
  <si>
    <t>KCS1</t>
  </si>
  <si>
    <t>KCS2</t>
  </si>
  <si>
    <t>*)Ban chỉ huy công trình</t>
  </si>
  <si>
    <t>*) Người mời nghiệm thu:</t>
  </si>
  <si>
    <t>NguoiphatphieuYCNT</t>
  </si>
  <si>
    <t xml:space="preserve">Ông: </t>
  </si>
  <si>
    <t>………………………..</t>
  </si>
  <si>
    <t>Ông:</t>
  </si>
  <si>
    <t>Chức vụ:</t>
  </si>
  <si>
    <t>Cán bộ thí nghiệm</t>
  </si>
  <si>
    <t xml:space="preserve"> …………………</t>
  </si>
  <si>
    <t>CBKT1</t>
  </si>
  <si>
    <t>CBKT2</t>
  </si>
  <si>
    <t>Ghi chú</t>
  </si>
  <si>
    <t>STT</t>
  </si>
  <si>
    <t>Mã hiệu</t>
  </si>
  <si>
    <t>Nội dung công việc</t>
  </si>
  <si>
    <t>MÃ CÔNG VIỆC</t>
  </si>
  <si>
    <t>DANH MỤC TIÊU CHUẨN NGHIỆM THU</t>
  </si>
  <si>
    <t>Kết quả thí nghiệm</t>
  </si>
  <si>
    <t>NHẬT TRÌNH CÔNG VIỆC</t>
  </si>
  <si>
    <t>Số ngày thi công</t>
  </si>
  <si>
    <t>Mã công việc</t>
  </si>
  <si>
    <t>Vị trí xây dựng trên công trình</t>
  </si>
  <si>
    <t>Tiêu chuẩn thi công</t>
  </si>
  <si>
    <t>Ngày Phiếu Yêu cầu</t>
  </si>
  <si>
    <t>Duan</t>
  </si>
  <si>
    <t>Congtrinh</t>
  </si>
  <si>
    <t>Goithau</t>
  </si>
  <si>
    <t>DDXD</t>
  </si>
  <si>
    <t>Hopdong</t>
  </si>
  <si>
    <t>Diadanh</t>
  </si>
  <si>
    <t>CĐT</t>
  </si>
  <si>
    <t>DVTK</t>
  </si>
  <si>
    <t>DVGS</t>
  </si>
  <si>
    <t>CBGS1</t>
  </si>
  <si>
    <t>CBGS2</t>
  </si>
  <si>
    <t>CBGS3</t>
  </si>
  <si>
    <t>DVTC</t>
  </si>
  <si>
    <t>Thinghiem1</t>
  </si>
  <si>
    <t>Thinghiem2</t>
  </si>
  <si>
    <t>Donvithinghiem</t>
  </si>
  <si>
    <t>CV_CBGS1</t>
  </si>
  <si>
    <t>CV_CBGS2</t>
  </si>
  <si>
    <t>CV_CBGS3</t>
  </si>
  <si>
    <t>CV_KCS1</t>
  </si>
  <si>
    <t>CV_KCS2</t>
  </si>
  <si>
    <t>CV_CBKT1</t>
  </si>
  <si>
    <t>CV_CBKT2</t>
  </si>
  <si>
    <t>CV_NguoiphatphieuYCNT</t>
  </si>
  <si>
    <t>CV_Thinghiem1</t>
  </si>
  <si>
    <t>CV_Thinghiem2</t>
  </si>
  <si>
    <t>CBKT3</t>
  </si>
  <si>
    <t>Đơn vị thi công</t>
  </si>
  <si>
    <t>Đơn vị thí nghiệm</t>
  </si>
  <si>
    <t>Không xóa dòng này</t>
  </si>
  <si>
    <t>CÔNG TÁC CHUẨN BỊ</t>
  </si>
  <si>
    <t>Số TT</t>
  </si>
  <si>
    <t>Ngày NT CVXD</t>
  </si>
  <si>
    <t>LIST BIÊN BẢN  HOÀN THÀNH</t>
  </si>
  <si>
    <t>Đá</t>
  </si>
  <si>
    <t>Nước</t>
  </si>
  <si>
    <t>Công tác nền móng - Thi công và nghiệm thu</t>
  </si>
  <si>
    <t>Đóng và ép cọc - Thi công và nghiệm thu</t>
  </si>
  <si>
    <t>Cọc khoan nhồi - Thi công và nghiệm thu</t>
  </si>
  <si>
    <t>Yêu cầu thiết kế, thi công và nghiệm thu vải địa kỹ thuật trong xây dựng nền đắp trên đất yếu</t>
  </si>
  <si>
    <t>Kết cấu bê tông và bê tông cốt thép toàn khối. Quy phạm thi công và nghiệm thu.</t>
  </si>
  <si>
    <t>Mái và sàn bê tông cốt thép trong công trình xây dựng. Yêu cầu kỹ thuật chống thấm nước.</t>
  </si>
  <si>
    <t>Thép cốt bê tông - Mối nối bằng dập ép ống - Yêu cầu thiết kế thi công và nghiệm thu</t>
  </si>
  <si>
    <t>Cấu kiện bê tông và bê tông cốt thép đúc sẵn - Phương pháp thí nghiệm gia tải để đánh giá độ bền, độ cứng và khà năng chống nứt</t>
  </si>
  <si>
    <t>Kết cấu bê tông và bê tông cốt thép lắp ghép - Thi công và nghiệm thu</t>
  </si>
  <si>
    <t>Kết cấu gạch đá. Quy phạm thi công và nghiệm thu</t>
  </si>
  <si>
    <t>Công tác hoàn thiện trong xây dựng - Thi công và nghiệm thu - Phần 2: Công tác trát trong xây dựng</t>
  </si>
  <si>
    <t>Công tác hoàn thiện trong xây dựng - Thi công và nghiệm thu - Phần 3: Công tác ốp trong xây dựng</t>
  </si>
  <si>
    <t>Nội dung tiêu chuẩn</t>
  </si>
  <si>
    <t>AB.13111</t>
  </si>
  <si>
    <t>TCVN4055:2012</t>
  </si>
  <si>
    <t>Tổ chức thi công</t>
  </si>
  <si>
    <t>TCVN3255:1986</t>
  </si>
  <si>
    <t>An toàn nổ. Yêu cầu chung</t>
  </si>
  <si>
    <t>Quy trình đầm nén đất, đá dăm trong phòng thí nghiệm.</t>
  </si>
  <si>
    <t>TCVN8305:2009</t>
  </si>
  <si>
    <t>Công trình thủy lợi - kênh đất - yêu cầu kỹ thuật trong thi công và nghiệm thu</t>
  </si>
  <si>
    <t>TCVN9361:2012</t>
  </si>
  <si>
    <t>TCVN9394:2012</t>
  </si>
  <si>
    <t>TCVN9245:2012</t>
  </si>
  <si>
    <t>Cọc ống thép</t>
  </si>
  <si>
    <t>TCVN9395:2012</t>
  </si>
  <si>
    <t>TCVN4085:2011</t>
  </si>
  <si>
    <t>TCVN8859:2011</t>
  </si>
  <si>
    <t>Lớp móng cấp phối đá dăm trong kết cấu áo đường ô tô - Vật liệu, thi công và nghiệm thu</t>
  </si>
  <si>
    <t>TCVN8809:2011</t>
  </si>
  <si>
    <t>Mặt đường đá dăm thấm nhập nhựa nóng - Thi công và nghiệm thu</t>
  </si>
  <si>
    <t>TCVN9504:2012</t>
  </si>
  <si>
    <t>Lớp kết cấu áo đường đá dăm nước. Thi công và nghiệm thu</t>
  </si>
  <si>
    <t>TCVN9505:2012</t>
  </si>
  <si>
    <t>Mặt đường láng nhũ tương nhựa đường axit. Thi công và nghiệm thu</t>
  </si>
  <si>
    <t>TCVN 8819 : 2011</t>
  </si>
  <si>
    <t>TCVN8819:2011</t>
  </si>
  <si>
    <t>Mặt đường bê tông nhựa nóng - Yêu cầu thi công và nghiệm thu</t>
  </si>
  <si>
    <t>TCVN8863:2011</t>
  </si>
  <si>
    <t>Mặt đường láng nhựa nóng - Thi công và nghiệm thu</t>
  </si>
  <si>
    <t>TCVN8860:2011</t>
  </si>
  <si>
    <t>Bê tông nhựa</t>
  </si>
  <si>
    <t>TCVN4453:1995</t>
  </si>
  <si>
    <t>TCVN8228:2009</t>
  </si>
  <si>
    <t>Hỗn hợp bê tông thủy công – Yêu cầu kỹ thuật</t>
  </si>
  <si>
    <t>TCVN9347:2012</t>
  </si>
  <si>
    <t>TCVN9115:2012</t>
  </si>
  <si>
    <t>TCVN9377-2:2012</t>
  </si>
  <si>
    <t>TCVN9377-3:2012</t>
  </si>
  <si>
    <t>TCVN9377-1:2012</t>
  </si>
  <si>
    <t>Công tác hoàn thiện trong xây dựng - Thi công và nghiệm thu. Phần 1: Công tác lát và láng trong xây dựng</t>
  </si>
  <si>
    <t>TCVN2292:1978</t>
  </si>
  <si>
    <t>Công việc sơn. Yêu cầu chung về an toàn</t>
  </si>
  <si>
    <t>TCVN 8791 : 2011</t>
  </si>
  <si>
    <t>Sơn tín hiệu giao thông - Vật liệu kẻ đường phản quang nhiệt dẻo - Yêu cầu kỹ thuật, phương pháp thử, thi công</t>
  </si>
  <si>
    <t>TCVN8791:2011</t>
  </si>
  <si>
    <t>Về sơn tĩnh điện giao thông - Vật liệu kẻ đường phản quang nhiệt dẻo - Yêu cầu kỹ thuật, phương pháp thử, thi công và nghiệm thu</t>
  </si>
  <si>
    <t>TCVN5718:1993</t>
  </si>
  <si>
    <t>TCVN 9844 : 2013</t>
  </si>
  <si>
    <t>TCVN 9390 : 2012</t>
  </si>
  <si>
    <t>TCXDVN 296 : 2004</t>
  </si>
  <si>
    <t>Quy trình quản lý kỹ thuật trong vận hành các hệ thống cung cấp nước</t>
  </si>
  <si>
    <t>TCXDVN296:2004</t>
  </si>
  <si>
    <t>Dàn giáo- Các yêu cầu về an toàn</t>
  </si>
  <si>
    <t>AC.36211</t>
  </si>
  <si>
    <t>AD.34110</t>
  </si>
  <si>
    <t>Lắp đặt dải phân cách cứng</t>
  </si>
  <si>
    <t>Quét vôi 1 nước trắng, 2 nước màu</t>
  </si>
  <si>
    <t>AI.64111</t>
  </si>
  <si>
    <t>Lắp đặt ống thép luồn cáp dự ứng lực, đường kính ống ≤80mm</t>
  </si>
  <si>
    <t>AK.84111</t>
  </si>
  <si>
    <t>Sơn dầm, trần, cột, tường trong nhà đã bả bằng sơn Super 1 nước lót + 1 nước phủ</t>
  </si>
  <si>
    <t>Đắp phào đơn, vữa XM mác 50</t>
  </si>
  <si>
    <t>AI.12111</t>
  </si>
  <si>
    <t>CN.01101</t>
  </si>
  <si>
    <t>Đo vẽ chi tiết bản đồ ở dưới nước, bản đồ tỷ lệ 1/200, đồng mức 0,5m, cấp địa hình I</t>
  </si>
  <si>
    <t>Nén tĩnh thử tải cọc bê tông sử dụng hệ thống cọc neo, cấp tải trọng nén đến 50 tấn</t>
  </si>
  <si>
    <t>Tiêu chuẩn áp dụng</t>
  </si>
  <si>
    <t>Kết quả thí nghiệm kèm theo</t>
  </si>
  <si>
    <t>CP.03101</t>
  </si>
  <si>
    <t>Khép mốc cao độ, tim tuyến, định vị công trình</t>
  </si>
  <si>
    <t/>
  </si>
  <si>
    <t>Số lượng</t>
  </si>
  <si>
    <t>Vật liệu</t>
  </si>
  <si>
    <t xml:space="preserve">Nội dung </t>
  </si>
  <si>
    <t>DANH MỤC MÃ THÍ NGHIỆM KÈM THEO</t>
  </si>
  <si>
    <t>Kết quả thí nghiệm đo độ bằng phẳng bằng thước dài 3,0 mét</t>
  </si>
  <si>
    <t>Kết quả khoan mùn mũi cọc</t>
  </si>
  <si>
    <t>Kết quả siêu âm cọc khoan nhồi</t>
  </si>
  <si>
    <t>CỘNG HÒA XÃ HỘI CHỦ NGHĨA VIỆT NAM</t>
  </si>
  <si>
    <t>Thiết kế</t>
  </si>
  <si>
    <t>Ngày</t>
  </si>
  <si>
    <t>Độc lập - Tự do - Hạnh phúc</t>
  </si>
  <si>
    <t>2. Thành phần trực tiếp kiểm tra:</t>
  </si>
  <si>
    <t>3. Thời gian và địa điểm kiểm tra:</t>
  </si>
  <si>
    <t>Bắt đầu</t>
  </si>
  <si>
    <t>Kết thúc</t>
  </si>
  <si>
    <t>ĐẠI DIỆN ĐƠN VỊ TƯ VẤN GIÁM SÁT</t>
  </si>
  <si>
    <t>ĐẠI DIỆN ĐƠN VỊ THI CÔNG</t>
  </si>
  <si>
    <t>Stt</t>
  </si>
  <si>
    <t>TC.10001</t>
  </si>
  <si>
    <t>Nhận mặt bằng công trình</t>
  </si>
  <si>
    <t>Tập kết thiết bị</t>
  </si>
  <si>
    <t>CÔNG TÁC THI CÔNG</t>
  </si>
  <si>
    <t>End</t>
  </si>
  <si>
    <t>Ngày N.Thu/K.tra</t>
  </si>
  <si>
    <t>LIST THÍ NGHIỆM</t>
  </si>
  <si>
    <t>Số đếm mã hiệu</t>
  </si>
  <si>
    <t>Số đếm NT</t>
  </si>
  <si>
    <t>Độc lập – Tự do – Hạnh phúc</t>
  </si>
  <si>
    <r>
      <t>---------------</t>
    </r>
    <r>
      <rPr>
        <sz val="13"/>
        <color indexed="8"/>
        <rFont val="Wingdings 2"/>
        <family val="1"/>
        <charset val="2"/>
      </rPr>
      <t>a¯b</t>
    </r>
    <r>
      <rPr>
        <sz val="13"/>
        <color indexed="8"/>
        <rFont val="Times New Roman"/>
        <family val="1"/>
      </rPr>
      <t>---------------</t>
    </r>
  </si>
  <si>
    <t xml:space="preserve">1. Đối tượng nghiệm thu: </t>
  </si>
  <si>
    <t>3 . Thời gian nghiệm thu</t>
  </si>
  <si>
    <t>4. Căn cứ nghiệm thu:</t>
  </si>
  <si>
    <t>5. Đánh giá công việc xây dựng đã thực hiện:</t>
  </si>
  <si>
    <t xml:space="preserve">a) Về tài liệu căn cứ nghiệm thu: </t>
  </si>
  <si>
    <t xml:space="preserve">- Đạt yêu cầu </t>
  </si>
  <si>
    <t xml:space="preserve">b) Về chất lượng công việc xây dựng: </t>
  </si>
  <si>
    <t>- Thi công theo đúng hồ sơ thiết kế được phê duyệt, tuân thủ đúng các tiêu chuẩn và yêu cầu kỹ thuật của công trình. Đảm bảo chất lượng công trình.</t>
  </si>
  <si>
    <t xml:space="preserve">c) Khối lượng công việc xây dựng: </t>
  </si>
  <si>
    <t>- Đúng theo hồ sơ thiết kế.</t>
  </si>
  <si>
    <t xml:space="preserve">d) Các ý kiến khác: </t>
  </si>
  <si>
    <t>-  Không</t>
  </si>
  <si>
    <t xml:space="preserve">6. Kết luận:  </t>
  </si>
  <si>
    <t>PHIẾU YÊU CẦU NGHIỆM THU 
CỦA NHÀ THẦU THI CÔNG XÂY DỰNG</t>
  </si>
  <si>
    <t>Kính gửi:</t>
  </si>
  <si>
    <t>1. Đối tượng nghiệm thu:</t>
  </si>
  <si>
    <t>2. Thời gian yêu cầu nghiệm thu:</t>
  </si>
  <si>
    <t>NGHIỆM THU CÔNG VIỆC XÂY DỰNG</t>
  </si>
  <si>
    <t>2. Thành phần trực tiếp nghiệm thu</t>
  </si>
  <si>
    <t xml:space="preserve">c) Quy chuẩn, tiêu chuẩn xây dựng hiện hành được áp dụng. </t>
  </si>
  <si>
    <t xml:space="preserve">e) Ý kiến của người giám sát khi công xây dựng công trình: </t>
  </si>
  <si>
    <t>+ Chấp nhận nghiệm thu; Đồng ý cho Đơn vị thi công triển khai các công việc tiếp theo.</t>
  </si>
  <si>
    <t xml:space="preserve">     + TCVN5637:1991: Quản lý chất lượng xây lắp công trình xây dựng. Nguyên tắc cơ bản</t>
  </si>
  <si>
    <t xml:space="preserve">     + TCVN4055:2012: Tổ chức thi công</t>
  </si>
  <si>
    <t xml:space="preserve">     + TCVN5308:1991: Quy phạm kỹ thuật an toàn trong xây dựng</t>
  </si>
  <si>
    <t>BienbanCVXD</t>
  </si>
  <si>
    <t>BienbanHT</t>
  </si>
  <si>
    <t>Tên Sheet</t>
  </si>
  <si>
    <t>Thử PDA cọc khoan nhồi đường kính D1000mm</t>
  </si>
  <si>
    <t>DANH MỤC HỒ SƠ</t>
  </si>
  <si>
    <t>KT.00004</t>
  </si>
  <si>
    <t>KT.00007</t>
  </si>
  <si>
    <t>TCVN 4447:2012</t>
  </si>
  <si>
    <t>Công tác đất - Thi công và nghiệm thu</t>
  </si>
  <si>
    <t>TCVN 8857:2011</t>
  </si>
  <si>
    <t>Lớp kết cấu áo đường ô tô bằng cấp phối thiên nhiên - Vật liệu, thi công và nghiệm thu</t>
  </si>
  <si>
    <t>Bê tông</t>
  </si>
  <si>
    <t>HỒ SƠ</t>
  </si>
  <si>
    <t>HOÀN CÔNG</t>
  </si>
  <si>
    <t>:</t>
  </si>
  <si>
    <t>II. HỒ SƠ QUẢN LÝ CHẤT LƯỢNG</t>
  </si>
  <si>
    <t>TẬP: BIÊN BẢN NGHIỆM THU CÔNG VIỆC XÂY DỰNG</t>
  </si>
  <si>
    <t>Chúng tôi xin giới thiệu đến Qúy công ty danh sách các thành viên Ban Quản lý dự án của chủ đầu tư để giải quyết các công việc liên quan đến dự án như sau:</t>
  </si>
  <si>
    <t>Trân trọng kính chào,</t>
  </si>
  <si>
    <t xml:space="preserve">Gíam đốc </t>
  </si>
  <si>
    <t>LỆNH KHỞI CÔNG</t>
  </si>
  <si>
    <t xml:space="preserve">     Các đơn vị tham gia có trách nhiệm cung cấp, điều động nhân lực, thiết bị, máy móc đến công trường vào ngày trên để tiến hành công việc theo điều khỏan hợp đồng và đảm bảo công trình được thực hiện theo đúng tiến độ.</t>
  </si>
  <si>
    <t>- Trưởng Ban Quản lý dự án</t>
  </si>
  <si>
    <t>- Phó Ban Quản lý dự án</t>
  </si>
  <si>
    <t>- Thành viên Ban Quản lý dự án</t>
  </si>
  <si>
    <t>BIÊN BẢN BÀN GIAO MỐC VỊ TRÍ
CAO ĐỘ CHUẨN - MẶT BẰNG THI CÔNG</t>
  </si>
  <si>
    <t>I/ Bên giao :</t>
  </si>
  <si>
    <t xml:space="preserve"> ................................................    </t>
  </si>
  <si>
    <t>Ông :</t>
  </si>
  <si>
    <t>Chức vụ :</t>
  </si>
  <si>
    <t xml:space="preserve"> ................................................   </t>
  </si>
  <si>
    <t>II/ Bên nhận :</t>
  </si>
  <si>
    <t xml:space="preserve">1. Mốc vị trí : </t>
  </si>
  <si>
    <t xml:space="preserve">2/ Cao độ chuẩn </t>
  </si>
  <si>
    <t>3/ Mặt bằng thi công :</t>
  </si>
  <si>
    <t>Chữ ký diện các bên :</t>
  </si>
  <si>
    <t>PHIẾU CHẤP THUẬN VẬT LIỆU
VÀ THÀNH PHẨM XÂY DỰNG</t>
  </si>
  <si>
    <t>Loại vật liệu/
thành phẩm</t>
  </si>
  <si>
    <t>Quy cách</t>
  </si>
  <si>
    <t>Nhà sản xuất</t>
  </si>
  <si>
    <t>Ký hiệu trên mẫu</t>
  </si>
  <si>
    <t>Phạm vi sử dụng</t>
  </si>
  <si>
    <t>2. Các bên thống nhất chọn mẫu vật liệu / thành phẩm mô tả trên đây, phù hợp với thiết kế, điều kiện sách để đưa vào thi công.</t>
  </si>
  <si>
    <t xml:space="preserve">5. Các lưu ý khác :  </t>
  </si>
  <si>
    <t>ĐAIH DIỆN CHỦ ĐẦU TƯ</t>
  </si>
  <si>
    <t>ĐẠI DIỆN ĐƠN VỊ GIÁM SÁT</t>
  </si>
  <si>
    <t>Độc Lập - Tự Do - Hạnh Phúc</t>
  </si>
  <si>
    <t>4. Nội dung kiểm tra :</t>
  </si>
  <si>
    <t xml:space="preserve">4.2. Kết quả kiểm tra </t>
  </si>
  <si>
    <t>TT</t>
  </si>
  <si>
    <t>Loại thiết bị</t>
  </si>
  <si>
    <t>Nhãn hiệu/công suất</t>
  </si>
  <si>
    <t>Tình trạng hoạt động</t>
  </si>
  <si>
    <t>Ghi đạt hay không đạt so với hồ sơ trúng thầu</t>
  </si>
  <si>
    <t>Họ và tên</t>
  </si>
  <si>
    <t>Chức danh</t>
  </si>
  <si>
    <t>ĐẠI DIỆN TƯ VẤN GIÁM SÁT</t>
  </si>
  <si>
    <t>ĐẠI DIỆN NHÀ THẦU THI CÔNG</t>
  </si>
  <si>
    <t>BIÊN BẢN KIỂM TRA</t>
  </si>
  <si>
    <t>Kết quả kiểm tra thiết bị, năng lực Phòng thí nghiệm của nhà thầu:</t>
  </si>
  <si>
    <t>4.1. Về tài liệu làm căn cứ kiểm tra</t>
  </si>
  <si>
    <t>KT.00008</t>
  </si>
  <si>
    <t>KT.00009</t>
  </si>
  <si>
    <t>Kiểm tra phòng thí nghiệm tại hiện trường</t>
  </si>
  <si>
    <t>Kiểm tra nhân lực, thiết bị thi công</t>
  </si>
  <si>
    <t>THIẾT BỊ, NHÂN LỰC CỦA NHÀ THẦU</t>
  </si>
  <si>
    <t>-   Hồ sơ nhân sự Ban chỉ huy công trường của nhà thầu thi công: kèm theo Hồ sơ dự thầu.</t>
  </si>
  <si>
    <t>- Các tiêu chuẩn, quy phạm xây dựng hiện hành liên quan đến đối tượng thiết bị kiểm tra</t>
  </si>
  <si>
    <t xml:space="preserve">- Hồ sơ xuất xứ, chứng chỉ kỹ thuật xuất xưởng, kết quả kiểm định kỹ thuật của đối tượng thiết bị kiểm tra </t>
  </si>
  <si>
    <t xml:space="preserve">4.2.1 Về thiết bị thi công </t>
  </si>
  <si>
    <t xml:space="preserve">4.2.2. Về nhân sự </t>
  </si>
  <si>
    <t xml:space="preserve">- Công nhân </t>
  </si>
  <si>
    <t>- Về thiết bị: Đạt yêu cầu</t>
  </si>
  <si>
    <t>- Về nhân sự: Đạt yêu cầu</t>
  </si>
  <si>
    <t>5. Kết luận:</t>
  </si>
  <si>
    <t>NGHIỆM THU HỆ THỐNG MỐC MẠNG PHỤC VỤ THI CÔNG</t>
  </si>
  <si>
    <t xml:space="preserve">BIÊN BẢN </t>
  </si>
  <si>
    <t>PO.02101</t>
  </si>
  <si>
    <t>- Quy trình kiểm tra, giám sát, nghiệm thu đã được thống nhất giữa chủ đầu tư và các nhà thầu có liên quan;</t>
  </si>
  <si>
    <t>- Biên bản bàn giao hệ thống mốc mạng;</t>
  </si>
  <si>
    <t>- Phiếu yêu cầu nghiệm thu của nhà thầu;</t>
  </si>
  <si>
    <t>- Biên bản kiểm tra, nghiệm thu nội bộ của nhà thầu (nếu có);</t>
  </si>
  <si>
    <t>- Hồ sơ thiết kế bản vẽ thi công và những thay đổi thiết kế đã được chủ đầu tư chấp thuận liên quan đến đối tượng nghiệm thu;</t>
  </si>
  <si>
    <t>- Tiêu chuẩn thi công và nghiệm thu</t>
  </si>
  <si>
    <t xml:space="preserve">     + TCVN 9398:2012 – Công tác trắc địa trong xây dựng công trình – Yêu cầu chung</t>
  </si>
  <si>
    <t>-  Phần chỉ dẫn kỹ thuật có liên quan;</t>
  </si>
  <si>
    <t>- Nhật ký thi công xây dựng công trình và các văn bản khác có liên quan đến đối tượng nghiệm thu.</t>
  </si>
  <si>
    <t>4.2. Về chất lượng công việc xây dựng</t>
  </si>
  <si>
    <t xml:space="preserve">     + Đạt yêu cầu ký thuật</t>
  </si>
  <si>
    <t>4.3 Về khối lượng công việc xây dựng</t>
  </si>
  <si>
    <t>Tên mốc mạng</t>
  </si>
  <si>
    <t>Thực tế</t>
  </si>
  <si>
    <t>Sai số</t>
  </si>
  <si>
    <t>MC1</t>
  </si>
  <si>
    <t>X:........</t>
  </si>
  <si>
    <t>Y:.......</t>
  </si>
  <si>
    <t>Cao độ:........</t>
  </si>
  <si>
    <t>DC2</t>
  </si>
  <si>
    <t>DC3</t>
  </si>
  <si>
    <t>DC4</t>
  </si>
  <si>
    <t>KIỂM TRA ĐIỀU KIỆN TRƯỚC KHI THI CÔNG</t>
  </si>
  <si>
    <t>- Biện pháp tổ chức thi công do nhà thầu lập;</t>
  </si>
  <si>
    <t>- Hồ sơ thiết kế đã được phê duyệt;</t>
  </si>
  <si>
    <t>4.2. Kết quả kiểm tra</t>
  </si>
  <si>
    <t>- Điều kiện về ATGT;</t>
  </si>
  <si>
    <t>- Vệ sinh môi trường, phòng chống cháy nổ.</t>
  </si>
  <si>
    <t>KT.00010</t>
  </si>
  <si>
    <t>Kiểm tra điều kiện trước khi thi công</t>
  </si>
  <si>
    <t>PHIẾU CHẤP THUẬN VẬT LIỆU VÀ THÀNH PHẨM XÂY DỰNG</t>
  </si>
  <si>
    <t>BIÊN BẢN BÀN GIAO MỐC VỊ TRÍ CAO ĐỘ CHUẨN - MẶT BẰNG THI CÔNG</t>
  </si>
  <si>
    <t>Chi chú</t>
  </si>
  <si>
    <t>Nền móng</t>
  </si>
  <si>
    <t>Đất</t>
  </si>
  <si>
    <t>Bê tông, ván khuôn, cốt thép</t>
  </si>
  <si>
    <t>Cọc</t>
  </si>
  <si>
    <t>Xây</t>
  </si>
  <si>
    <t>Đá dăm</t>
  </si>
  <si>
    <t>Nhựa</t>
  </si>
  <si>
    <t>Sơn</t>
  </si>
  <si>
    <t>vải địa</t>
  </si>
  <si>
    <t>cốt thép</t>
  </si>
  <si>
    <t>Đá dăm, sỏi, sỏi dăm dùng trong xây dựng</t>
  </si>
  <si>
    <t>TCVN 1770: 1986</t>
  </si>
  <si>
    <t>TCVN 1771: 1978</t>
  </si>
  <si>
    <t>Xi măng Pooc lăng hỗn hợp</t>
  </si>
  <si>
    <t>TCVN 6260: 2009</t>
  </si>
  <si>
    <t>Cát xây dựng- Yêu cầu kỹ thuật</t>
  </si>
  <si>
    <t>Nước cho bê tông và vữa – Yêu cầu kỹ thuật</t>
  </si>
  <si>
    <t>TCVN 4506: 2012</t>
  </si>
  <si>
    <t>Yêu cầu kỹ thuật cho thép làm cốt  trong các kết cấu bê tông.</t>
  </si>
  <si>
    <t>TCVN 6151 : 2008</t>
  </si>
  <si>
    <t>Hệ thống cấp thoát nước bên trong nhà và công trình. Quy phạm thi công và nghiệm thu</t>
  </si>
  <si>
    <t>TCVN 4519 : 1998</t>
  </si>
  <si>
    <t xml:space="preserve">TCVN 5576 : 1991 </t>
  </si>
  <si>
    <t>Hệ thống cấp thoát nước. Quy phạm quản lý kỹ thuật</t>
  </si>
  <si>
    <t>Công trình thủy lợi - Yêu cầu kỹ thuật trong chế tạo và lắp ráp thiết bị cơ khí, kết cấu thép</t>
  </si>
  <si>
    <t>Van đóng mở</t>
  </si>
  <si>
    <t>Công trình thủy lợi –  Máy đóng mở kiểu vít –  Yêu cầu thiết kế, kỹ thuật trong chế tạo, lắp đặt, nghiệm thu</t>
  </si>
  <si>
    <t xml:space="preserve">TCVN 8301:2009 </t>
  </si>
  <si>
    <t>TCVN 8298: 2009</t>
  </si>
  <si>
    <t>Đất, bê tông, nhựa, đá dăm, nền móng, cọc, xây, điện, nước, sơn, Vật liệu, Van đóng mở</t>
  </si>
  <si>
    <t>VL.00001</t>
  </si>
  <si>
    <t>TCVN 9113:2012</t>
  </si>
  <si>
    <t>Ống bê tông cốt thép thoát nước</t>
  </si>
  <si>
    <t>TCVN 10799:2015</t>
  </si>
  <si>
    <t>Gối cống bê tông đúc sẵn</t>
  </si>
  <si>
    <t>TCVN 9115:2012</t>
  </si>
  <si>
    <t>Kết cấu bê tông và bê tông lắp ghép - Thi công và nghiệm thu</t>
  </si>
  <si>
    <t>TCVN 8636: 2011</t>
  </si>
  <si>
    <t>Công trình thủy lợi - Đường ống áp lực bằng thép - Yêu cầu kỹ thuật trong thiết kế, chế tạo và lắp đặt</t>
  </si>
  <si>
    <t>Đất, đá</t>
  </si>
  <si>
    <t>Kết quả thií nghiệm cát</t>
  </si>
  <si>
    <t>Kết quả thí nghiệm đá dăm</t>
  </si>
  <si>
    <t>Kết quả thí nghiệm xi măng</t>
  </si>
  <si>
    <t>Kết quả thí nghiệm thép</t>
  </si>
  <si>
    <t>Kết quả thí nghiệm đá gốc</t>
  </si>
  <si>
    <t>Kết quả thí nghiệm gạch</t>
  </si>
  <si>
    <t>CP.010001</t>
  </si>
  <si>
    <t>CP.010002</t>
  </si>
  <si>
    <t>CP.010003</t>
  </si>
  <si>
    <t>CP.010004</t>
  </si>
  <si>
    <t>CP.010005</t>
  </si>
  <si>
    <t>CP.010006</t>
  </si>
  <si>
    <t>CP.010007</t>
  </si>
  <si>
    <t>CP.010008</t>
  </si>
  <si>
    <t>CP.010009</t>
  </si>
  <si>
    <t>CP.010010</t>
  </si>
  <si>
    <t>CP.010011</t>
  </si>
  <si>
    <t>CP.010012</t>
  </si>
  <si>
    <t>CP.010013</t>
  </si>
  <si>
    <t>CP.010014</t>
  </si>
  <si>
    <t>CP.010015</t>
  </si>
  <si>
    <t>CP.010016</t>
  </si>
  <si>
    <t>CP.010017</t>
  </si>
  <si>
    <t>CP.010018</t>
  </si>
  <si>
    <t>CP.010019</t>
  </si>
  <si>
    <t>CP.010020</t>
  </si>
  <si>
    <t>CP.010021</t>
  </si>
  <si>
    <t>CP.010022</t>
  </si>
  <si>
    <t>CP.010023</t>
  </si>
  <si>
    <t>CP.010024</t>
  </si>
  <si>
    <t>CP.010025</t>
  </si>
  <si>
    <t>CP.010026</t>
  </si>
  <si>
    <t>CP.010027</t>
  </si>
  <si>
    <t>CP.010028</t>
  </si>
  <si>
    <t>Kết quả thí nghiệm nhựa</t>
  </si>
  <si>
    <t>Thiết kế thành phần cấp phối bê tông nhựa</t>
  </si>
  <si>
    <t>Kết quả Thiết kế thành phần cấp phối bê tông xi măng</t>
  </si>
  <si>
    <t>Vữa</t>
  </si>
  <si>
    <t>Kết quả Thiết kế thành phần cấp phối vữa xi măng</t>
  </si>
  <si>
    <t>Kết quả thí nghiệm thấm</t>
  </si>
  <si>
    <t>Kết quả nén 3 trục</t>
  </si>
  <si>
    <t>Kết quả thí nghiệm áp lực ống</t>
  </si>
  <si>
    <t>CP.010029</t>
  </si>
  <si>
    <t>CP.010030</t>
  </si>
  <si>
    <t>CP.010031</t>
  </si>
  <si>
    <t>CP.010032</t>
  </si>
  <si>
    <t>CP.010033</t>
  </si>
  <si>
    <t>Đất, đá, Nhựa</t>
  </si>
  <si>
    <t>CP.010034</t>
  </si>
  <si>
    <t>CP.010035</t>
  </si>
  <si>
    <t>Vật liệu tập kết tại công trình (Click vào cột K để nhập bảng KTHH kèm theo)</t>
  </si>
  <si>
    <t>HT.00001</t>
  </si>
  <si>
    <t>Số BB</t>
  </si>
  <si>
    <t xml:space="preserve">     + TCVN4516:1988: Hoàn thiện mặt bằng xây dựng. Quy phạm thi công và nghiệm thu</t>
  </si>
  <si>
    <t xml:space="preserve">     + TCVN 8857:2011: Lớp kết cấu áo đường ô tô bằng cấp phối thiên nhiên - Vật liệu, thi công và nghiệm thu</t>
  </si>
  <si>
    <t>PHIẾU YÊU CẦU NGHIỆM THU GIAI ĐOẠN THI CÔNG XÂY DỰNG HOÀN THÀNH 
( HOẶC BỘ PHẬN CÔNG TRÌNH XÂY DỰNG HOÀN THÀNH)</t>
  </si>
  <si>
    <t xml:space="preserve">     + TCVN 9394 : 2012: Quy trình đầm nén đất, đá dăm trong phòng thí nghiệm.</t>
  </si>
  <si>
    <t>NGHIỆM THU GIAI ĐOẠN THI CÔNG XÂY DỰNG HOÀN THÀNH 
( HOẶC BỘ PHẬN CÔNG TRÌNH XÂY DỰNG HOÀN THÀNH)</t>
  </si>
  <si>
    <t>LenhK.cong</t>
  </si>
  <si>
    <t>Matbang</t>
  </si>
  <si>
    <t>PhieuCTVL</t>
  </si>
  <si>
    <t>PhongThinghiem</t>
  </si>
  <si>
    <t>Nhanluc</t>
  </si>
  <si>
    <t>N.thuMoc</t>
  </si>
  <si>
    <t>Dieukientruocthicong</t>
  </si>
  <si>
    <t>TẬP: BIÊN BẢN NGHIỆM THU HOÀN THÀNH HẠNG MỤC</t>
  </si>
  <si>
    <t>e) Các kết quả quan trắc, đo đạc, thí nghiệm có liên quan:</t>
  </si>
  <si>
    <t>Ngày lấy mẫu</t>
  </si>
  <si>
    <t>DANH MỤC THÍ NGHIỆM</t>
  </si>
  <si>
    <t>Ngày thi công</t>
  </si>
  <si>
    <t>NHẬT KÝ THI CÔNG</t>
  </si>
  <si>
    <t>Khung Giờ nghiệm thu</t>
  </si>
  <si>
    <t>Công việc xây dựng</t>
  </si>
  <si>
    <t>Tông hợp</t>
  </si>
  <si>
    <t>Nội bộ</t>
  </si>
  <si>
    <t>Noi_dung_CV</t>
  </si>
  <si>
    <t>Vi_tri_XD</t>
  </si>
  <si>
    <t>GioNB_Batdau</t>
  </si>
  <si>
    <t>GioNB_Ketthuc</t>
  </si>
  <si>
    <t>Ngay_Noibo</t>
  </si>
  <si>
    <t>Ngay_PYCNT</t>
  </si>
  <si>
    <t>GioCV_Batdau</t>
  </si>
  <si>
    <t>GioCV_Ketthuc</t>
  </si>
  <si>
    <t>Ngay_CV</t>
  </si>
  <si>
    <t>Tieuchuan_NT</t>
  </si>
  <si>
    <t>Ketqua_Thi_nghiem</t>
  </si>
  <si>
    <t>SoBB</t>
  </si>
  <si>
    <t>DanhmucBBCV</t>
  </si>
  <si>
    <t>TẬP: KẾT QUẢ THÍ NGHIỆM VẬT LIỆU</t>
  </si>
  <si>
    <t>CV_CBKT3</t>
  </si>
  <si>
    <t>TƯ VẤN GIÁM SÁT</t>
  </si>
  <si>
    <t>ĐƠN VỊ THI CÔNG</t>
  </si>
  <si>
    <t>Quảng Trị</t>
  </si>
  <si>
    <t>Mối quan hệ</t>
  </si>
  <si>
    <t>Ngày khởi công (*)</t>
  </si>
  <si>
    <t>Ngày hoàn thành (*)</t>
  </si>
  <si>
    <t>Từ ngày</t>
  </si>
  <si>
    <t>đến</t>
  </si>
  <si>
    <t>Tỉnh</t>
  </si>
  <si>
    <t>Trạm</t>
  </si>
  <si>
    <t>LinK</t>
  </si>
  <si>
    <t>Lai Châu</t>
  </si>
  <si>
    <t>Bản Chêng Nươ</t>
  </si>
  <si>
    <t>Bản Ko La</t>
  </si>
  <si>
    <t>Bản Nam Che</t>
  </si>
  <si>
    <t>Bản Năm Mương</t>
  </si>
  <si>
    <t>Bản Pa Thắng</t>
  </si>
  <si>
    <t>Ma Li Chai</t>
  </si>
  <si>
    <t>Mường Boum</t>
  </si>
  <si>
    <t>Mường Tè</t>
  </si>
  <si>
    <t>Nam Bôn</t>
  </si>
  <si>
    <t>Phong Thổ</t>
  </si>
  <si>
    <t>Lào Cai</t>
  </si>
  <si>
    <t>Bắc Hà</t>
  </si>
  <si>
    <t>Bản Kung</t>
  </si>
  <si>
    <t>Bản La</t>
  </si>
  <si>
    <t>Bản Xèo</t>
  </si>
  <si>
    <t>Bảo Yên</t>
  </si>
  <si>
    <t>Cam Đường</t>
  </si>
  <si>
    <t>Cha Pai</t>
  </si>
  <si>
    <t>Cốc Lếu</t>
  </si>
  <si>
    <t>Hà Nam</t>
  </si>
  <si>
    <t>Mường Bo</t>
  </si>
  <si>
    <t>Nam Bai</t>
  </si>
  <si>
    <t>Nam Khap Ban Tang</t>
  </si>
  <si>
    <t>Pắc Tà</t>
  </si>
  <si>
    <t>Phố Lu</t>
  </si>
  <si>
    <t>Văn Bàn</t>
  </si>
  <si>
    <t>Hà Giang</t>
  </si>
  <si>
    <t>Bắc Ba</t>
  </si>
  <si>
    <t>Bắc Mé</t>
  </si>
  <si>
    <t>Bắc Quang</t>
  </si>
  <si>
    <t>Bản Thuy</t>
  </si>
  <si>
    <t>Bản Vai</t>
  </si>
  <si>
    <t>Ch` Kem</t>
  </si>
  <si>
    <t>Làng Cay</t>
  </si>
  <si>
    <t>Loung Hoa</t>
  </si>
  <si>
    <t>Mèo Vạc</t>
  </si>
  <si>
    <t>Nam Ric</t>
  </si>
  <si>
    <t>Tchoung Sao</t>
  </si>
  <si>
    <t>Thanh Thủy</t>
  </si>
  <si>
    <t>Vĩnh Tuy</t>
  </si>
  <si>
    <t>Yên Bình Xã</t>
  </si>
  <si>
    <t>Cao Bằng</t>
  </si>
  <si>
    <t>Bản Cao</t>
  </si>
  <si>
    <t>Bản Đuông</t>
  </si>
  <si>
    <t>Bản Giam</t>
  </si>
  <si>
    <t>Hạ Lang</t>
  </si>
  <si>
    <t>Khau Khang</t>
  </si>
  <si>
    <t>Làng Đến</t>
  </si>
  <si>
    <t>Na Giao</t>
  </si>
  <si>
    <t>Na Loung</t>
  </si>
  <si>
    <t>Na Young</t>
  </si>
  <si>
    <t>Nam Lang</t>
  </si>
  <si>
    <t>Nam Nhung</t>
  </si>
  <si>
    <t>Pac Boc</t>
  </si>
  <si>
    <t>Quang Dau</t>
  </si>
  <si>
    <t>Sơn La</t>
  </si>
  <si>
    <t>Bản Lót</t>
  </si>
  <si>
    <t>Bản Na Tong</t>
  </si>
  <si>
    <t>Bản Pho</t>
  </si>
  <si>
    <t>Bản Vay</t>
  </si>
  <si>
    <t>Bang Beng</t>
  </si>
  <si>
    <t>Chiêng Pan</t>
  </si>
  <si>
    <t>Lao Phou Van</t>
  </si>
  <si>
    <t>Mường Lèo</t>
  </si>
  <si>
    <t>Quỳnh Nhai</t>
  </si>
  <si>
    <t>Sông Mã</t>
  </si>
  <si>
    <t>Yên Bái</t>
  </si>
  <si>
    <t>Ba Khè</t>
  </si>
  <si>
    <t>Làng Than</t>
  </si>
  <si>
    <t>Nghĩa Lộ</t>
  </si>
  <si>
    <t>Phù Hiên</t>
  </si>
  <si>
    <t>Poun Loung</t>
  </si>
  <si>
    <t>Trại Hút</t>
  </si>
  <si>
    <t>Tú Lệ</t>
  </si>
  <si>
    <t>Văn An</t>
  </si>
  <si>
    <t>Tuyên Quang</t>
  </si>
  <si>
    <t>Bản Cốc</t>
  </si>
  <si>
    <t>Chiêm Hóa</t>
  </si>
  <si>
    <t>Ðài Th</t>
  </si>
  <si>
    <t>Dong Tong Băng</t>
  </si>
  <si>
    <t>Hàm Yên</t>
  </si>
  <si>
    <t>Hau Chung</t>
  </si>
  <si>
    <t>Na Hang</t>
  </si>
  <si>
    <t>Na Koc</t>
  </si>
  <si>
    <t>Tung Muong</t>
  </si>
  <si>
    <t>Lạng Sơn</t>
  </si>
  <si>
    <t>Bản Rẽ</t>
  </si>
  <si>
    <t>Con Chon</t>
  </si>
  <si>
    <t>Đồng Đăng</t>
  </si>
  <si>
    <t>Fac Ta</t>
  </si>
  <si>
    <t>Lang Ro</t>
  </si>
  <si>
    <t>Lộc Bình</t>
  </si>
  <si>
    <t>Na Anh</t>
  </si>
  <si>
    <t>Na Nhiên</t>
  </si>
  <si>
    <t>Na Sầm</t>
  </si>
  <si>
    <t>Quỳnh Sơn</t>
  </si>
  <si>
    <t>Thất Khê</t>
  </si>
  <si>
    <t>Quảng Ninh</t>
  </si>
  <si>
    <t>Cẩm Phả</t>
  </si>
  <si>
    <t>Ðầm Hà</t>
  </si>
  <si>
    <t>Ðông Triều</t>
  </si>
  <si>
    <t>Đồng Vang</t>
  </si>
  <si>
    <t>Hà Đông</t>
  </si>
  <si>
    <t>Hạ Long</t>
  </si>
  <si>
    <t>Kê Phong</t>
  </si>
  <si>
    <t>Móng Cái</t>
  </si>
  <si>
    <t>Mông Dương</t>
  </si>
  <si>
    <t>Na Thiêm</t>
  </si>
  <si>
    <t>Quảng Hà</t>
  </si>
  <si>
    <t>Quảng Yên</t>
  </si>
  <si>
    <t>Than Poun</t>
  </si>
  <si>
    <t>Uông Bí</t>
  </si>
  <si>
    <t>Vàng Danh</t>
  </si>
  <si>
    <t>Hòa Bình</t>
  </si>
  <si>
    <t>Chi Nê</t>
  </si>
  <si>
    <t>Giều Cả</t>
  </si>
  <si>
    <t>Suối Rút</t>
  </si>
  <si>
    <t>Vi Ban</t>
  </si>
  <si>
    <t>Vĩnh Đông</t>
  </si>
  <si>
    <t>Xóm Lón</t>
  </si>
  <si>
    <t>Ninh Bình</t>
  </si>
  <si>
    <t>Nho Quan</t>
  </si>
  <si>
    <t>Phát Diệm</t>
  </si>
  <si>
    <t>Tây Phú</t>
  </si>
  <si>
    <t>Thái Bình</t>
  </si>
  <si>
    <t>Da Coc</t>
  </si>
  <si>
    <t>Lục Linh</t>
  </si>
  <si>
    <t>Phú Vật</t>
  </si>
  <si>
    <t>Quân Bác</t>
  </si>
  <si>
    <t>Thanh Hóa</t>
  </si>
  <si>
    <t>Ba Làng</t>
  </si>
  <si>
    <t>Bái Thượng</t>
  </si>
  <si>
    <t>Biện Sơn</t>
  </si>
  <si>
    <t>Bình An</t>
  </si>
  <si>
    <t>Diem Phe</t>
  </si>
  <si>
    <t>Ðông Tau</t>
  </si>
  <si>
    <t>Hoàng Xá</t>
  </si>
  <si>
    <t>Ke Gi</t>
  </si>
  <si>
    <t>Kiên Trung</t>
  </si>
  <si>
    <t>Lang Ke Man</t>
  </si>
  <si>
    <t>Làng Men</t>
  </si>
  <si>
    <t>Mường Lát</t>
  </si>
  <si>
    <t>Nghi Sơn</t>
  </si>
  <si>
    <t>Như Xuân</t>
  </si>
  <si>
    <t>Sầm Sơn</t>
  </si>
  <si>
    <t>Thiết Trà</t>
  </si>
  <si>
    <t>Truong Quang Tien</t>
  </si>
  <si>
    <t>Vĩnh Lộc</t>
  </si>
  <si>
    <t>Xuân Hòa</t>
  </si>
  <si>
    <t>Nghệ An</t>
  </si>
  <si>
    <t>Bản Cha Hang</t>
  </si>
  <si>
    <t>Bản Chiềng</t>
  </si>
  <si>
    <t>Bản Kỏ Ôi</t>
  </si>
  <si>
    <t>Bản Mông</t>
  </si>
  <si>
    <t>Bản Na Ca</t>
  </si>
  <si>
    <t>Bích Thị</t>
  </si>
  <si>
    <t>Canh Tráp</t>
  </si>
  <si>
    <t>Dương Long</t>
  </si>
  <si>
    <t>Kỳ Sơn</t>
  </si>
  <si>
    <t>Làng La</t>
  </si>
  <si>
    <t>Làng Rao</t>
  </si>
  <si>
    <t>Làng Se</t>
  </si>
  <si>
    <t>Lương Khê</t>
  </si>
  <si>
    <t>Mường Hin</t>
  </si>
  <si>
    <t>Mường Hinh</t>
  </si>
  <si>
    <t>Na Ac</t>
  </si>
  <si>
    <t>Nghĩa Đàn</t>
  </si>
  <si>
    <t>Phlen Loung</t>
  </si>
  <si>
    <t>Phúc Thành</t>
  </si>
  <si>
    <t>Quí Châu</t>
  </si>
  <si>
    <t>Tam Lê</t>
  </si>
  <si>
    <t>Tập Phúc</t>
  </si>
  <si>
    <t>Tiên Yên</t>
  </si>
  <si>
    <t>Tri Lê</t>
  </si>
  <si>
    <t>Tương Dương</t>
  </si>
  <si>
    <t>Vinh</t>
  </si>
  <si>
    <t>Vĩnh Lai</t>
  </si>
  <si>
    <t>Xa Truc</t>
  </si>
  <si>
    <t>Xen Con</t>
  </si>
  <si>
    <t>Hà Tĩnh</t>
  </si>
  <si>
    <t>Bau Môn</t>
  </si>
  <si>
    <t>Cau Thuong</t>
  </si>
  <si>
    <t>Ðiền Xá</t>
  </si>
  <si>
    <t>Hộ Thông</t>
  </si>
  <si>
    <t>Hương Sơn</t>
  </si>
  <si>
    <t>Kim Cương</t>
  </si>
  <si>
    <t>Kỳ Anh</t>
  </si>
  <si>
    <t>Trúc Lâm</t>
  </si>
  <si>
    <t>Tuan Thuong</t>
  </si>
  <si>
    <t>Vĩnh Sơn</t>
  </si>
  <si>
    <t>Xóm Côn Si</t>
  </si>
  <si>
    <t>Xuân Lung</t>
  </si>
  <si>
    <t>Quảng Bình</t>
  </si>
  <si>
    <t>Chà Nòi</t>
  </si>
  <si>
    <t>Chấp Lê</t>
  </si>
  <si>
    <t>Đồng Hới</t>
  </si>
  <si>
    <t>Ho Xa</t>
  </si>
  <si>
    <t>Kiêm Long</t>
  </si>
  <si>
    <t>Làng Mộ</t>
  </si>
  <si>
    <t>Lý Nhơn Bắc</t>
  </si>
  <si>
    <t>Quảng Trạch</t>
  </si>
  <si>
    <t>Thánh Lạng Xã</t>
  </si>
  <si>
    <t>Xuân Bồ</t>
  </si>
  <si>
    <t>Yên Lạc</t>
  </si>
  <si>
    <t>Bô Hô Sứ</t>
  </si>
  <si>
    <t>Cam Lộ</t>
  </si>
  <si>
    <t>Cát Sơn, Phường</t>
  </si>
  <si>
    <t>Đông Hà</t>
  </si>
  <si>
    <t>Khe Sanh</t>
  </si>
  <si>
    <t>Mũi Lay</t>
  </si>
  <si>
    <t>Phò Trạch</t>
  </si>
  <si>
    <t>Thôn Khe Xêng</t>
  </si>
  <si>
    <t>Thôn Mỹ Chánh</t>
  </si>
  <si>
    <t>Thôn Mỹ Thủy</t>
  </si>
  <si>
    <t>Thôn Thái Dương Hà</t>
  </si>
  <si>
    <t>Tou Rout</t>
  </si>
  <si>
    <t>Thừa Thiên-Huế</t>
  </si>
  <si>
    <t>Huế</t>
  </si>
  <si>
    <t>Hương Thủy</t>
  </si>
  <si>
    <t>Mũi Chơn Đông</t>
  </si>
  <si>
    <t>Nông Trường</t>
  </si>
  <si>
    <t>Nông Trường Nam Đồng</t>
  </si>
  <si>
    <t>Phú Lộc</t>
  </si>
  <si>
    <t>Thôn Phú An</t>
  </si>
  <si>
    <t>Quảng Nam</t>
  </si>
  <si>
    <t>Ai Yin Young</t>
  </si>
  <si>
    <t>Bến Giang</t>
  </si>
  <si>
    <t>Điện Bàn</t>
  </si>
  <si>
    <t>Hà Nông Trung</t>
  </si>
  <si>
    <t>Hiệp Đức</t>
  </si>
  <si>
    <t>Hội An</t>
  </si>
  <si>
    <t>Khâm Đức</t>
  </si>
  <si>
    <t>Khương Trung</t>
  </si>
  <si>
    <t>Phú Bình</t>
  </si>
  <si>
    <t>Phú Xuân Hạ</t>
  </si>
  <si>
    <t>Tam Kỳ</t>
  </si>
  <si>
    <t>Thăng Bình</t>
  </si>
  <si>
    <t>Thôn Hai</t>
  </si>
  <si>
    <t>Thượng Đức</t>
  </si>
  <si>
    <t>Tiên Phước</t>
  </si>
  <si>
    <t>Trà Mi</t>
  </si>
  <si>
    <t>Kon Tum</t>
  </si>
  <si>
    <t>Chương Nghĩa</t>
  </si>
  <si>
    <t>Công Cô Ðô</t>
  </si>
  <si>
    <t>Dak Chat</t>
  </si>
  <si>
    <t>Ðak Péc</t>
  </si>
  <si>
    <t>Gòranh</t>
  </si>
  <si>
    <t>Kon Braih</t>
  </si>
  <si>
    <t>Kon Honong</t>
  </si>
  <si>
    <t>Mang Ri</t>
  </si>
  <si>
    <t>Plei Cần</t>
  </si>
  <si>
    <t>Polei Breng</t>
  </si>
  <si>
    <t>Sa Thay</t>
  </si>
  <si>
    <t>Tân Cảnh</t>
  </si>
  <si>
    <t>Trí Ðạo</t>
  </si>
  <si>
    <t>Quảng Ngãi</t>
  </si>
  <si>
    <t>An Hải</t>
  </si>
  <si>
    <t>Giá Vực</t>
  </si>
  <si>
    <t>Phước Thịnh</t>
  </si>
  <si>
    <t>Sa Huỳnh</t>
  </si>
  <si>
    <t>Trà Bồng</t>
  </si>
  <si>
    <t>Tuyết Diêm</t>
  </si>
  <si>
    <t>Vạn Lý</t>
  </si>
  <si>
    <t>Gia Lai</t>
  </si>
  <si>
    <t>A Yun Pa</t>
  </si>
  <si>
    <t>An Khê</t>
  </si>
  <si>
    <t>Bản Bat</t>
  </si>
  <si>
    <t>Ban Xã Thu</t>
  </si>
  <si>
    <t>De Pouang</t>
  </si>
  <si>
    <t>Dinh Ðiền Dak Quon</t>
  </si>
  <si>
    <t>Phú Nhơn</t>
  </si>
  <si>
    <t>Plei Doch</t>
  </si>
  <si>
    <t>Plei Ken Ngo</t>
  </si>
  <si>
    <t>Plei Khoie</t>
  </si>
  <si>
    <t>Plei Klane Kla</t>
  </si>
  <si>
    <t>Plei Kuel</t>
  </si>
  <si>
    <t>Plei Morr</t>
  </si>
  <si>
    <t>Plei Rongol Dogrong</t>
  </si>
  <si>
    <t>Pleiku</t>
  </si>
  <si>
    <t>Thang</t>
  </si>
  <si>
    <t>Xuong Kuang</t>
  </si>
  <si>
    <t>Bình Định</t>
  </si>
  <si>
    <t>An Lão</t>
  </si>
  <si>
    <t>Bồng Sơn</t>
  </si>
  <si>
    <t>Chấn An</t>
  </si>
  <si>
    <t>Định Bình</t>
  </si>
  <si>
    <t>Dương Liễu</t>
  </si>
  <si>
    <t>Hữu Giang</t>
  </si>
  <si>
    <t>Phú An</t>
  </si>
  <si>
    <t>Phù Cát</t>
  </si>
  <si>
    <t>Phú Xuân</t>
  </si>
  <si>
    <t>Quy Nhơn</t>
  </si>
  <si>
    <t>Tam Quan</t>
  </si>
  <si>
    <t>Vân Canh</t>
  </si>
  <si>
    <t>Văn Thiên</t>
  </si>
  <si>
    <t>Vĩnh Phúc</t>
  </si>
  <si>
    <t>Phú Yên</t>
  </si>
  <si>
    <t>Bàn Thạch</t>
  </si>
  <si>
    <t>Bình Thạnh</t>
  </si>
  <si>
    <t>Củng Sơn</t>
  </si>
  <si>
    <t>Dân Phú</t>
  </si>
  <si>
    <t>Đồng Xuân</t>
  </si>
  <si>
    <t>Phú Giang</t>
  </si>
  <si>
    <t>Lãnh địa</t>
  </si>
  <si>
    <t>Tuy Hòa</t>
  </si>
  <si>
    <t>Đắk Lắk</t>
  </si>
  <si>
    <t>Bản Ae Lai</t>
  </si>
  <si>
    <t>Bản Ay Rieng</t>
  </si>
  <si>
    <t>Bản Ðôn</t>
  </si>
  <si>
    <t>The M'drack</t>
  </si>
  <si>
    <t>Buôn Ma</t>
  </si>
  <si>
    <t>Buôn Ma Thuột</t>
  </si>
  <si>
    <t>Buon Mrong</t>
  </si>
  <si>
    <t>Buon Phoke</t>
  </si>
  <si>
    <t>Súp Buôn Ya</t>
  </si>
  <si>
    <t>Nông Trại</t>
  </si>
  <si>
    <t>Quảng Nhiêu</t>
  </si>
  <si>
    <t>Xã Thọ Thành</t>
  </si>
  <si>
    <t>Khánh Hòa</t>
  </si>
  <si>
    <t>Ấp Đức Mỹ</t>
  </si>
  <si>
    <t>Cam Lâm</t>
  </si>
  <si>
    <t>Cam Ranh</t>
  </si>
  <si>
    <t>Diên Khánh</t>
  </si>
  <si>
    <t>Khánh Sơn</t>
  </si>
  <si>
    <t>Khánh Vĩnh</t>
  </si>
  <si>
    <t>Nha Trang</t>
  </si>
  <si>
    <t>Ninh Hòa</t>
  </si>
  <si>
    <t>Ninh Mã</t>
  </si>
  <si>
    <t>Ninh Phước</t>
  </si>
  <si>
    <t>Vạn Ninh</t>
  </si>
  <si>
    <t>Xóm Mỹ Ca</t>
  </si>
  <si>
    <t>Lâm Đồng</t>
  </si>
  <si>
    <t>Ấp Tân Mỹ</t>
  </si>
  <si>
    <t>Ấp Thánh Hương</t>
  </si>
  <si>
    <t>Đà Lạt</t>
  </si>
  <si>
    <t>Di Linh</t>
  </si>
  <si>
    <t>Ðông Krola</t>
  </si>
  <si>
    <t>Phú Hội</t>
  </si>
  <si>
    <t>Ninh Thuận</t>
  </si>
  <si>
    <t>An Phước</t>
  </si>
  <si>
    <t>Du Long</t>
  </si>
  <si>
    <t>Làng Ông</t>
  </si>
  <si>
    <t>Phan Rang - Tháp Chàm</t>
  </si>
  <si>
    <t>Thôn Bảo An</t>
  </si>
  <si>
    <t>Thôn Ðô Vinh</t>
  </si>
  <si>
    <t>Thôn Lạc Nghiệp</t>
  </si>
  <si>
    <t>Thôn Sơn Hải</t>
  </si>
  <si>
    <t>Thôn Sông Pha</t>
  </si>
  <si>
    <t>Thôn Thái An</t>
  </si>
  <si>
    <t>Tây Ninh</t>
  </si>
  <si>
    <t>Bồ Túc</t>
  </si>
  <si>
    <t>Gò Dầu Hạ</t>
  </si>
  <si>
    <t>Lộc Ninh</t>
  </si>
  <si>
    <t>Trảng Bàng</t>
  </si>
  <si>
    <t>Đồng Nai</t>
  </si>
  <si>
    <t>Ấp Tham Thiện</t>
  </si>
  <si>
    <t>Biên Hòa</t>
  </si>
  <si>
    <t>Cẩm Mỹ</t>
  </si>
  <si>
    <t>East Sài</t>
  </si>
  <si>
    <t>Phu Giáo</t>
  </si>
  <si>
    <t>Xã Gia Kiêm</t>
  </si>
  <si>
    <t>Social Method</t>
  </si>
  <si>
    <t>Social Society</t>
  </si>
  <si>
    <t>Xuân Lộc</t>
  </si>
  <si>
    <t>Bình Thuận</t>
  </si>
  <si>
    <t>Ấp Long Hòa</t>
  </si>
  <si>
    <t>Ấp Rừng Lá</t>
  </si>
  <si>
    <t>Ấp Tam Tân</t>
  </si>
  <si>
    <t>Ấp Thiện Ái</t>
  </si>
  <si>
    <t>Bảo Lộc</t>
  </si>
  <si>
    <t>Đa Hòa</t>
  </si>
  <si>
    <t>Dinh Ðiền Dak Ménou</t>
  </si>
  <si>
    <t>Hải Long</t>
  </si>
  <si>
    <t>Hàm Tân</t>
  </si>
  <si>
    <t>Hàm Thuận Bắc</t>
  </si>
  <si>
    <t>Hòa Đa</t>
  </si>
  <si>
    <t>Ke Gà</t>
  </si>
  <si>
    <t>Lagi</t>
  </si>
  <si>
    <t>Phan Lý</t>
  </si>
  <si>
    <t>Phan Thiết</t>
  </si>
  <si>
    <t>Phò Trì</t>
  </si>
  <si>
    <t>Tuy Phong</t>
  </si>
  <si>
    <t>Xã Hiêu Tín</t>
  </si>
  <si>
    <t>Xã Mường Mán</t>
  </si>
  <si>
    <t>Xã Phù Sung</t>
  </si>
  <si>
    <t>Social Song Lũy</t>
  </si>
  <si>
    <t>Long An</t>
  </si>
  <si>
    <t>Ấp Bắc</t>
  </si>
  <si>
    <t>Ấp Bình Châu</t>
  </si>
  <si>
    <t>Ấp Whole Hoản</t>
  </si>
  <si>
    <t>Ấp New</t>
  </si>
  <si>
    <t>Bình Phước</t>
  </si>
  <si>
    <t>Câ`n Ðuo´c</t>
  </si>
  <si>
    <t>Hậu Nghĩa</t>
  </si>
  <si>
    <t>Tân An</t>
  </si>
  <si>
    <t>Manual</t>
  </si>
  <si>
    <t>Bà Rịa - Vũng Tàu</t>
  </si>
  <si>
    <t>Bà Rịa</t>
  </si>
  <si>
    <t>Châu Thành</t>
  </si>
  <si>
    <t>Chợ Phước Hải</t>
  </si>
  <si>
    <t>Pipe</t>
  </si>
  <si>
    <t>Red San</t>
  </si>
  <si>
    <t>Grande Village de Poulo Condore</t>
  </si>
  <si>
    <t>Long Lễ</t>
  </si>
  <si>
    <t>Vũng Tàu</t>
  </si>
  <si>
    <t>Xã Bình Giã</t>
  </si>
  <si>
    <t>An Giang</t>
  </si>
  <si>
    <t>Châu Đốc</t>
  </si>
  <si>
    <t>New Town</t>
  </si>
  <si>
    <t>Long Xuyên</t>
  </si>
  <si>
    <t>Phú Châu</t>
  </si>
  <si>
    <t>Tịnh Biên</t>
  </si>
  <si>
    <t>Tri Tôn</t>
  </si>
  <si>
    <t>Xóm Khánh Hòa</t>
  </si>
  <si>
    <t>Đồng Tháp</t>
  </si>
  <si>
    <t>Cao Lãnh</t>
  </si>
  <si>
    <t>Sa Đéc</t>
  </si>
  <si>
    <t>Tiền Giang</t>
  </si>
  <si>
    <t>Bến Tranh</t>
  </si>
  <si>
    <t>Cái Bè</t>
  </si>
  <si>
    <t>Cai Lậy</t>
  </si>
  <si>
    <t>Go Cong</t>
  </si>
  <si>
    <t>Mỹ Tho</t>
  </si>
  <si>
    <t>Xóm Cửa Tiểu</t>
  </si>
  <si>
    <t>Cu Vàm Láng</t>
  </si>
  <si>
    <t>Kiến Giang</t>
  </si>
  <si>
    <t>An Biên</t>
  </si>
  <si>
    <t>Áp lực</t>
  </si>
  <si>
    <t>Hà Tiên</t>
  </si>
  <si>
    <t>Phú Quốc</t>
  </si>
  <si>
    <t>Rạch Giá</t>
  </si>
  <si>
    <t>Xóm Ba Trại</t>
  </si>
  <si>
    <t>Vĩnh Long</t>
  </si>
  <si>
    <t>Ấp An Ðiền</t>
  </si>
  <si>
    <t>Trà Ôn</t>
  </si>
  <si>
    <t>Bến Tre</t>
  </si>
  <si>
    <t>Ấp An Thuận</t>
  </si>
  <si>
    <t>Lomg Ho</t>
  </si>
  <si>
    <t>Thạnh Phong</t>
  </si>
  <si>
    <t>Thạnh Phú</t>
  </si>
  <si>
    <t>Thới Thuận</t>
  </si>
  <si>
    <t>Trà Vinh</t>
  </si>
  <si>
    <t>SERP Whole</t>
  </si>
  <si>
    <t>Ấp Trạm</t>
  </si>
  <si>
    <t>Ba Động</t>
  </si>
  <si>
    <t>Mac Bat</t>
  </si>
  <si>
    <t>Tiểu Cần</t>
  </si>
  <si>
    <t>Sóc Trăng</t>
  </si>
  <si>
    <t>Ấp Đầu Giồng</t>
  </si>
  <si>
    <t>Đại Ngãi</t>
  </si>
  <si>
    <t>Giồng Me</t>
  </si>
  <si>
    <t>Long Phú</t>
  </si>
  <si>
    <t>Vĩnh Quới</t>
  </si>
  <si>
    <t>Bắc Kạn</t>
  </si>
  <si>
    <t>Bản Kao</t>
  </si>
  <si>
    <t>Con Houa</t>
  </si>
  <si>
    <t>Na Bioc</t>
  </si>
  <si>
    <t>Tié Co</t>
  </si>
  <si>
    <t>Bắc Giang</t>
  </si>
  <si>
    <t>Biển Đông</t>
  </si>
  <si>
    <t>Ðức Thắng</t>
  </si>
  <si>
    <t>Lang Cha</t>
  </si>
  <si>
    <t>Làng Dương</t>
  </si>
  <si>
    <t>Lục Nam</t>
  </si>
  <si>
    <t>Nam Ðiền</t>
  </si>
  <si>
    <t>Tân An Thôn</t>
  </si>
  <si>
    <t>Bạc Liêu</t>
  </si>
  <si>
    <t>Ấp Vĩnh An</t>
  </si>
  <si>
    <t>Giá Rai</t>
  </si>
  <si>
    <t>Xóm Vàm Cái Cùng</t>
  </si>
  <si>
    <t>Bắc Ninh</t>
  </si>
  <si>
    <t>Đồng Chuế</t>
  </si>
  <si>
    <t>Ngọc Trì</t>
  </si>
  <si>
    <t>Bình Dương</t>
  </si>
  <si>
    <t>Ấp Bàu Bàng</t>
  </si>
  <si>
    <t>Dầu Tiếng</t>
  </si>
  <si>
    <t>Dĩ An</t>
  </si>
  <si>
    <t>Tân Uyên</t>
  </si>
  <si>
    <t>Thủ Dầu Một</t>
  </si>
  <si>
    <t>Xóm Bến Oản</t>
  </si>
  <si>
    <t>Xóm Trùm Tháp</t>
  </si>
  <si>
    <t>Ấp Lộc Thạnh</t>
  </si>
  <si>
    <t>Bà Rá</t>
  </si>
  <si>
    <t>Cư Xá Công Chức</t>
  </si>
  <si>
    <t>Đăng Bóa</t>
  </si>
  <si>
    <t>Địa Điểm Bunard</t>
  </si>
  <si>
    <t>Đồng Phú</t>
  </si>
  <si>
    <t>Đồng Xoài</t>
  </si>
  <si>
    <t>Hớn Quản</t>
  </si>
  <si>
    <t>Phước Bình</t>
  </si>
  <si>
    <t>Phước Hòa</t>
  </si>
  <si>
    <t>Cà Mau</t>
  </si>
  <si>
    <t>Ấp Nhà Máy</t>
  </si>
  <si>
    <t>Cái Nước</t>
  </si>
  <si>
    <t>Duong Keo</t>
  </si>
  <si>
    <t>Ngọc Hiển</t>
  </si>
  <si>
    <t>Rạch Tàu</t>
  </si>
  <si>
    <t>Thới Bình</t>
  </si>
  <si>
    <t>Hải Dương</t>
  </si>
  <si>
    <t>Chi Ngại</t>
  </si>
  <si>
    <t>Ninh Giang</t>
  </si>
  <si>
    <t>Phả Lại</t>
  </si>
  <si>
    <t>Phủ Lý</t>
  </si>
  <si>
    <t>Tao Thôn</t>
  </si>
  <si>
    <t>Hưng Yên</t>
  </si>
  <si>
    <t>Bần Yên Nhân</t>
  </si>
  <si>
    <t>Cao Quán</t>
  </si>
  <si>
    <t>Đồng Lý</t>
  </si>
  <si>
    <t>Đông Tảo Đông</t>
  </si>
  <si>
    <t>Thúy Lĩnh</t>
  </si>
  <si>
    <t>Nam Định</t>
  </si>
  <si>
    <t>Cốc Thành</t>
  </si>
  <si>
    <t>Long Châu</t>
  </si>
  <si>
    <t>Nam Hà</t>
  </si>
  <si>
    <t>Ninh Cường</t>
  </si>
  <si>
    <t>Phú Nhi</t>
  </si>
  <si>
    <t>Quần Phương Hạ</t>
  </si>
  <si>
    <t>Quần Phương Trung Trại</t>
  </si>
  <si>
    <t>Thuận Nghiệp</t>
  </si>
  <si>
    <t>Vân Lam Trại</t>
  </si>
  <si>
    <t>Phú Thọ</t>
  </si>
  <si>
    <t>Hữu Ðô</t>
  </si>
  <si>
    <t>Sang Huân</t>
  </si>
  <si>
    <t>Thổ Khối</t>
  </si>
  <si>
    <t>Viên Minh</t>
  </si>
  <si>
    <t>Việt Trì</t>
  </si>
  <si>
    <t>Xóm Con</t>
  </si>
  <si>
    <t>Xóm Tăng</t>
  </si>
  <si>
    <t>Thái Nguyên</t>
  </si>
  <si>
    <t>Bình Long</t>
  </si>
  <si>
    <t>Vĩnh Yên</t>
  </si>
  <si>
    <t>Điện Biên</t>
  </si>
  <si>
    <t>Bản Cong Deng</t>
  </si>
  <si>
    <t>Bản Na Pheo</t>
  </si>
  <si>
    <t>Bản Nam Nen</t>
  </si>
  <si>
    <t>Bản Pa Huone</t>
  </si>
  <si>
    <t>Bản Po Bai</t>
  </si>
  <si>
    <t>Bản Veng</t>
  </si>
  <si>
    <t>Ðèo Tay Chang</t>
  </si>
  <si>
    <t>Điện Biên Phủ</t>
  </si>
  <si>
    <t>Giàng Mưng Pho</t>
  </si>
  <si>
    <t>Luân Châu</t>
  </si>
  <si>
    <t>Mường Tong</t>
  </si>
  <si>
    <t>Tủa Chùa</t>
  </si>
  <si>
    <t>Đắk Nông</t>
  </si>
  <si>
    <t>Ấp Bích Son</t>
  </si>
  <si>
    <t>Duc Lao</t>
  </si>
  <si>
    <t>Ðức Minh</t>
  </si>
  <si>
    <t>Gia Nghĩa</t>
  </si>
  <si>
    <t>Hậu Giang</t>
  </si>
  <si>
    <t>Ấp Phú Nhơn</t>
  </si>
  <si>
    <t>Long Mỹ</t>
  </si>
  <si>
    <t>Rạch Gòi</t>
  </si>
  <si>
    <t>Vị Thanh</t>
  </si>
  <si>
    <t>Cần Thơ</t>
  </si>
  <si>
    <t>Ô Môn</t>
  </si>
  <si>
    <t>Thốt nốt</t>
  </si>
  <si>
    <t>Đà Nẵng</t>
  </si>
  <si>
    <t>Ấp Hương Phước</t>
  </si>
  <si>
    <t>Mũi Đà Nẵng</t>
  </si>
  <si>
    <t>Hà Nội</t>
  </si>
  <si>
    <t>Bạch Mai</t>
  </si>
  <si>
    <t>Bát Tràng</t>
  </si>
  <si>
    <t>Cự Đồng</t>
  </si>
  <si>
    <t>Ðông Cao</t>
  </si>
  <si>
    <t>Ðông Nhân</t>
  </si>
  <si>
    <t>Đông Sang</t>
  </si>
  <si>
    <t>Gia Lâm Phố</t>
  </si>
  <si>
    <t>Nội Xá</t>
  </si>
  <si>
    <t>Phúc Yên</t>
  </si>
  <si>
    <t>Phượng Trì</t>
  </si>
  <si>
    <t>Sơn Tây</t>
  </si>
  <si>
    <t>Vân Hồ</t>
  </si>
  <si>
    <t>Văn La</t>
  </si>
  <si>
    <t>Hải Phòng</t>
  </si>
  <si>
    <t>Cựu Đôi</t>
  </si>
  <si>
    <t>Đồ Sơn</t>
  </si>
  <si>
    <t>Hạ Lý</t>
  </si>
  <si>
    <t>Kiến An</t>
  </si>
  <si>
    <t>Thủy Nguyên</t>
  </si>
  <si>
    <t>Hồ Chí Minh</t>
  </si>
  <si>
    <t>Bến Cỏ</t>
  </si>
  <si>
    <t>Cần Giuộc</t>
  </si>
  <si>
    <t>Chợ Lớn</t>
  </si>
  <si>
    <t>Củ Chi</t>
  </si>
  <si>
    <t>Ða Kao</t>
  </si>
  <si>
    <t>Gia Định</t>
  </si>
  <si>
    <t>Khánh Hội</t>
  </si>
  <si>
    <t>Nhà Bè</t>
  </si>
  <si>
    <t>Thành phố Hồ Chí Minh</t>
  </si>
  <si>
    <t>Ngày bàn giao mặt bằng (*)</t>
  </si>
  <si>
    <t>NHẬT KÝ THI CÔNG XÂY DỰNG</t>
  </si>
  <si>
    <t>2. Tình hình nhân lực, thiết bị thi công:</t>
  </si>
  <si>
    <t>2.1. Nhân lực:</t>
  </si>
  <si>
    <t xml:space="preserve">   - Cán bộ kỹ thuật: 2 người;</t>
  </si>
  <si>
    <t>2.2. Thiết bị:</t>
  </si>
  <si>
    <t>3. Nội công việc thi công trong ngày:</t>
  </si>
  <si>
    <t>4. Tình hình công tác vệ sinh môi trường:</t>
  </si>
  <si>
    <t xml:space="preserve">    - Tốt</t>
  </si>
  <si>
    <t>5. Tình hình công tác an toàn lao động:</t>
  </si>
  <si>
    <t xml:space="preserve">6. Ý kiến của giám sát: </t>
  </si>
  <si>
    <t>GIÁM SÁT THI CÔNG XÂY DỰNG</t>
  </si>
  <si>
    <t>CHỈ HUY TRƯỞNG CÔNG TRƯỜNG</t>
  </si>
  <si>
    <t>Ngày nội bộ</t>
  </si>
  <si>
    <t>Lấy mẫu thí nghiệm đá dăm</t>
  </si>
  <si>
    <t>Lấy mẫu thí nghiệm xi măng</t>
  </si>
  <si>
    <t>Lấy mẫu thí nghiệm thép</t>
  </si>
  <si>
    <t>Lấy mẫu thí nghiệm đá gốc</t>
  </si>
  <si>
    <t>Lấy mẫu thí nghiệm gạch</t>
  </si>
  <si>
    <t>Lấy mẫu thí nghiệm thấm</t>
  </si>
  <si>
    <t>Lấy mẫu nén 3 trục</t>
  </si>
  <si>
    <t>Lấy mẫu thí nghiệm áp lực ống</t>
  </si>
  <si>
    <t>Lấy mẫu Thiết kế thành phần cấp phối bê tông xi măng</t>
  </si>
  <si>
    <t>Lấy mẫu Thiết kế thành phần cấp phối vữa xi măng</t>
  </si>
  <si>
    <t>Lấy mẫu thí nghiệm nhựa</t>
  </si>
  <si>
    <t>Lấy mẫu thí nghiệm đo độ bằng phẳng bằng thước dài 3,0 mét</t>
  </si>
  <si>
    <t>Lấy mẫu siêu âm cọc khoan nhồi</t>
  </si>
  <si>
    <t>Lấy mẫu khoan mùn mũi cọc</t>
  </si>
  <si>
    <t>Số đếm NB</t>
  </si>
  <si>
    <t>Ngày Nội bộ</t>
  </si>
  <si>
    <t>Giờ NT nội bộ</t>
  </si>
  <si>
    <t>Ngay_NB</t>
  </si>
  <si>
    <t>NGHIỆM THU NỘI BỘ CÔNG VIỆC XÂY DỰNG</t>
  </si>
  <si>
    <t>2. Thành phần trực tiếp nghiệm thu:</t>
  </si>
  <si>
    <t xml:space="preserve">b) Quy chuẩn, tiêu chuẩn xây dựng hiện hành được áp dụng. </t>
  </si>
  <si>
    <t>d) Các kết quả quan trắc, đo đạc, thí nghiệm có liên quan:</t>
  </si>
  <si>
    <t>e) Nhật ký thi công, nhật ký giám sát của chủ đầu tư và các văn bản khác có liên quan đến đối tượng nghiệm thu: Nhật ký thi công quyển số: 01</t>
  </si>
  <si>
    <t>- Chấp nhận nghiệm thu. Đồng ý cho triển khai các công việc tiếp theo.</t>
  </si>
  <si>
    <t>NGƯỜI PHỤ TRÁCH QUẢN LÝ 
CHẤT LƯỢNG</t>
  </si>
  <si>
    <t>NGƯỜI PHỤ TRÁCH KỸ THUẬT THI CÔNG TRỰC TIẾP</t>
  </si>
  <si>
    <t>ĐẠI DIỆN TVGS</t>
  </si>
  <si>
    <t xml:space="preserve">- Công việc có thể tiếp tục  </t>
  </si>
  <si>
    <t xml:space="preserve">- Công việc không thể tiếp tục </t>
  </si>
  <si>
    <t xml:space="preserve">f) Nhật ký thi công, nhật ký giám sát của chủ đầu tư và các văn bản khác có liên quan đến đối tượng nghiệm thu: Nhật ký thi công </t>
  </si>
  <si>
    <t>TCNTNB</t>
  </si>
  <si>
    <t>KQTNNB</t>
  </si>
  <si>
    <t>TCNTCV</t>
  </si>
  <si>
    <t>KQTNCV</t>
  </si>
  <si>
    <t>NGHIỆM THU NỘI BỘ GIAI ĐOẠN THI CÔNG XÂY DỰNG HOÀN THÀNH 
( HOẶC BỘ PHẬN CÔNG TRÌNH XÂY DỰNG HOÀN THÀNH)</t>
  </si>
  <si>
    <t>f) Biên bản nghiệm thu công việc xây dựng</t>
  </si>
  <si>
    <t>Thiết bị</t>
  </si>
  <si>
    <t>Mã CV</t>
  </si>
  <si>
    <t>Ngày N.Thu NB</t>
  </si>
  <si>
    <t>Thiết bị máy</t>
  </si>
  <si>
    <t>MHDM</t>
  </si>
  <si>
    <t>MSVT</t>
  </si>
  <si>
    <t>HPVT</t>
  </si>
  <si>
    <t>LVT</t>
  </si>
  <si>
    <t>GC</t>
  </si>
  <si>
    <t>AA.11111</t>
  </si>
  <si>
    <t>N1307</t>
  </si>
  <si>
    <t>0,95</t>
  </si>
  <si>
    <t>N2307x</t>
  </si>
  <si>
    <t>AA.11112</t>
  </si>
  <si>
    <t>1,42</t>
  </si>
  <si>
    <t>M0057</t>
  </si>
  <si>
    <t>M0055</t>
  </si>
  <si>
    <t>0,0045</t>
  </si>
  <si>
    <t>0,0155</t>
  </si>
  <si>
    <t>AA.12111</t>
  </si>
  <si>
    <t>0,12</t>
  </si>
  <si>
    <t>0,49</t>
  </si>
  <si>
    <t>2,03</t>
  </si>
  <si>
    <t>0,14</t>
  </si>
  <si>
    <t>1,01</t>
  </si>
  <si>
    <t>AA.13111</t>
  </si>
  <si>
    <t>0,2</t>
  </si>
  <si>
    <t>0,37</t>
  </si>
  <si>
    <t>0,7</t>
  </si>
  <si>
    <t>1,35</t>
  </si>
  <si>
    <t>0,75</t>
  </si>
  <si>
    <t>1,05</t>
  </si>
  <si>
    <t>AA.21111</t>
  </si>
  <si>
    <t>N1357</t>
  </si>
  <si>
    <t>N2357x</t>
  </si>
  <si>
    <t>6,5</t>
  </si>
  <si>
    <t>0,03</t>
  </si>
  <si>
    <t>0,05</t>
  </si>
  <si>
    <t>0,07</t>
  </si>
  <si>
    <t>0,08</t>
  </si>
  <si>
    <t>0,06</t>
  </si>
  <si>
    <t>0,096</t>
  </si>
  <si>
    <t>AA.22111</t>
  </si>
  <si>
    <t>V10613</t>
  </si>
  <si>
    <t>1,5</t>
  </si>
  <si>
    <t>M0514</t>
  </si>
  <si>
    <t>0,3</t>
  </si>
  <si>
    <t>M0462</t>
  </si>
  <si>
    <t>0,15</t>
  </si>
  <si>
    <t>M0485</t>
  </si>
  <si>
    <t>0,5</t>
  </si>
  <si>
    <t>0,25</t>
  </si>
  <si>
    <t>0,13</t>
  </si>
  <si>
    <t>M0508</t>
  </si>
  <si>
    <t>0,72</t>
  </si>
  <si>
    <t>1,2</t>
  </si>
  <si>
    <t>N1407</t>
  </si>
  <si>
    <t>N2407x</t>
  </si>
  <si>
    <t>0,18</t>
  </si>
  <si>
    <t>M0214</t>
  </si>
  <si>
    <t>M0603</t>
  </si>
  <si>
    <t>M0640</t>
  </si>
  <si>
    <t>0,024</t>
  </si>
  <si>
    <t>V19999</t>
  </si>
  <si>
    <t>M0378</t>
  </si>
  <si>
    <t>M0147</t>
  </si>
  <si>
    <t>M0121</t>
  </si>
  <si>
    <t>M0463</t>
  </si>
  <si>
    <t>0,17</t>
  </si>
  <si>
    <t>AA.23111</t>
  </si>
  <si>
    <t>0,017</t>
  </si>
  <si>
    <t>0,033</t>
  </si>
  <si>
    <t>AA.31111</t>
  </si>
  <si>
    <t>1,89</t>
  </si>
  <si>
    <t>0,04</t>
  </si>
  <si>
    <t>0,11</t>
  </si>
  <si>
    <t>0,1</t>
  </si>
  <si>
    <t>AA.32111</t>
  </si>
  <si>
    <t>M0215</t>
  </si>
  <si>
    <t>V10736</t>
  </si>
  <si>
    <t>1,48</t>
  </si>
  <si>
    <t>M0279</t>
  </si>
  <si>
    <t>M9999</t>
  </si>
  <si>
    <t>0,51</t>
  </si>
  <si>
    <t>13,5</t>
  </si>
  <si>
    <t>M0614</t>
  </si>
  <si>
    <t>0,19</t>
  </si>
  <si>
    <t>M0606</t>
  </si>
  <si>
    <t>M0623</t>
  </si>
  <si>
    <t>AB.11111</t>
  </si>
  <si>
    <t>0,94</t>
  </si>
  <si>
    <t>0,014</t>
  </si>
  <si>
    <t>0,56</t>
  </si>
  <si>
    <t>1,31</t>
  </si>
  <si>
    <t>2,1</t>
  </si>
  <si>
    <t>0,76</t>
  </si>
  <si>
    <t>0,46</t>
  </si>
  <si>
    <t>1,02</t>
  </si>
  <si>
    <t>0,73</t>
  </si>
  <si>
    <t>1,6</t>
  </si>
  <si>
    <t>1,7</t>
  </si>
  <si>
    <t>0,77</t>
  </si>
  <si>
    <t>1,84</t>
  </si>
  <si>
    <t>0,52</t>
  </si>
  <si>
    <t>1,32</t>
  </si>
  <si>
    <t>0,74</t>
  </si>
  <si>
    <t>0,035</t>
  </si>
  <si>
    <t>AB.12111</t>
  </si>
  <si>
    <t>5,8</t>
  </si>
  <si>
    <t>0,57</t>
  </si>
  <si>
    <t>V10126</t>
  </si>
  <si>
    <t>AB.21111</t>
  </si>
  <si>
    <t>M0003</t>
  </si>
  <si>
    <t>M0006</t>
  </si>
  <si>
    <t>1,15</t>
  </si>
  <si>
    <t>M0009</t>
  </si>
  <si>
    <t>M0010</t>
  </si>
  <si>
    <t>M0012</t>
  </si>
  <si>
    <t>M0015</t>
  </si>
  <si>
    <t>0,092</t>
  </si>
  <si>
    <t>AB.22111</t>
  </si>
  <si>
    <t>M0053</t>
  </si>
  <si>
    <t>0,357</t>
  </si>
  <si>
    <t>M0059</t>
  </si>
  <si>
    <t>M0060</t>
  </si>
  <si>
    <t>M0062</t>
  </si>
  <si>
    <t>0,4</t>
  </si>
  <si>
    <t>0,666</t>
  </si>
  <si>
    <t>AB.23111</t>
  </si>
  <si>
    <t>M0070</t>
  </si>
  <si>
    <t>0,302</t>
  </si>
  <si>
    <t>M0072</t>
  </si>
  <si>
    <t>0,125</t>
  </si>
  <si>
    <t>AB.24111</t>
  </si>
  <si>
    <t>0,087</t>
  </si>
  <si>
    <t>AB.25111</t>
  </si>
  <si>
    <t>4,75</t>
  </si>
  <si>
    <t>0,396</t>
  </si>
  <si>
    <t>0,159</t>
  </si>
  <si>
    <t>0,33</t>
  </si>
  <si>
    <t>AB.26111</t>
  </si>
  <si>
    <t>10,5</t>
  </si>
  <si>
    <t>AB.27111</t>
  </si>
  <si>
    <t>5,59</t>
  </si>
  <si>
    <t>8,1</t>
  </si>
  <si>
    <t>3,98</t>
  </si>
  <si>
    <t>0,025</t>
  </si>
  <si>
    <t>0,223</t>
  </si>
  <si>
    <t>AB.28111</t>
  </si>
  <si>
    <t>6,8</t>
  </si>
  <si>
    <t>M0666</t>
  </si>
  <si>
    <t>AB.31111</t>
  </si>
  <si>
    <t>3,89</t>
  </si>
  <si>
    <t>0,557</t>
  </si>
  <si>
    <t>AB.32111</t>
  </si>
  <si>
    <t>3,3</t>
  </si>
  <si>
    <t>1,12</t>
  </si>
  <si>
    <t>AB.33111</t>
  </si>
  <si>
    <t>5,17</t>
  </si>
  <si>
    <t>0,106</t>
  </si>
  <si>
    <t>AB.34110</t>
  </si>
  <si>
    <t>AB.35110</t>
  </si>
  <si>
    <t>M0032</t>
  </si>
  <si>
    <t>AB.36110</t>
  </si>
  <si>
    <t>V10593</t>
  </si>
  <si>
    <t>0,005</t>
  </si>
  <si>
    <t>N1457</t>
  </si>
  <si>
    <t>M0467</t>
  </si>
  <si>
    <t>M0225</t>
  </si>
  <si>
    <t>M0402</t>
  </si>
  <si>
    <t>M0394</t>
  </si>
  <si>
    <t>0,001</t>
  </si>
  <si>
    <t>M0248</t>
  </si>
  <si>
    <t>AB.41111</t>
  </si>
  <si>
    <t>M0119</t>
  </si>
  <si>
    <t>1,1</t>
  </si>
  <si>
    <t>0,59</t>
  </si>
  <si>
    <t>M0123</t>
  </si>
  <si>
    <t>0,66</t>
  </si>
  <si>
    <t>M0124</t>
  </si>
  <si>
    <t>M0127</t>
  </si>
  <si>
    <t>M0115</t>
  </si>
  <si>
    <t>0,44</t>
  </si>
  <si>
    <t>0,257</t>
  </si>
  <si>
    <t>1,3</t>
  </si>
  <si>
    <t>0,92</t>
  </si>
  <si>
    <t>AB.42111</t>
  </si>
  <si>
    <t>0,071</t>
  </si>
  <si>
    <t>AB.51111</t>
  </si>
  <si>
    <t>V10854</t>
  </si>
  <si>
    <t>64,89</t>
  </si>
  <si>
    <t>2,5</t>
  </si>
  <si>
    <t>M0536</t>
  </si>
  <si>
    <t>M0466</t>
  </si>
  <si>
    <t>M0544</t>
  </si>
  <si>
    <t>V10523</t>
  </si>
  <si>
    <t>M0540</t>
  </si>
  <si>
    <t>0,018</t>
  </si>
  <si>
    <t>25,5</t>
  </si>
  <si>
    <t>0,85</t>
  </si>
  <si>
    <t>M0229</t>
  </si>
  <si>
    <t>M0004</t>
  </si>
  <si>
    <t>M0465</t>
  </si>
  <si>
    <t>AB.51611</t>
  </si>
  <si>
    <t>AB.52111</t>
  </si>
  <si>
    <t>1,8</t>
  </si>
  <si>
    <t>AB.53111</t>
  </si>
  <si>
    <t>AB.54111</t>
  </si>
  <si>
    <t>0,895</t>
  </si>
  <si>
    <t>AB.55111</t>
  </si>
  <si>
    <t>AB.55311</t>
  </si>
  <si>
    <t>AB.56111</t>
  </si>
  <si>
    <t>0,609</t>
  </si>
  <si>
    <t>AB.57111</t>
  </si>
  <si>
    <t>0,431</t>
  </si>
  <si>
    <t>AB.58121</t>
  </si>
  <si>
    <t>V10316</t>
  </si>
  <si>
    <t>0,266</t>
  </si>
  <si>
    <t>M0552</t>
  </si>
  <si>
    <t>0,132</t>
  </si>
  <si>
    <t>M0556</t>
  </si>
  <si>
    <t>0,015</t>
  </si>
  <si>
    <t>0,013</t>
  </si>
  <si>
    <t>0,012</t>
  </si>
  <si>
    <t>AB.59110</t>
  </si>
  <si>
    <t>M0048</t>
  </si>
  <si>
    <t>0,746</t>
  </si>
  <si>
    <t>M0038</t>
  </si>
  <si>
    <t>M0036</t>
  </si>
  <si>
    <t>M0189</t>
  </si>
  <si>
    <t>M0094</t>
  </si>
  <si>
    <t>M0190</t>
  </si>
  <si>
    <t>M0193</t>
  </si>
  <si>
    <t>AB.61110</t>
  </si>
  <si>
    <t>M0618</t>
  </si>
  <si>
    <t>AB.62111</t>
  </si>
  <si>
    <t>M0088</t>
  </si>
  <si>
    <t>M0089</t>
  </si>
  <si>
    <t>M0091</t>
  </si>
  <si>
    <t>AB.63111</t>
  </si>
  <si>
    <t>AB.65110</t>
  </si>
  <si>
    <t>M0080</t>
  </si>
  <si>
    <t>3,85</t>
  </si>
  <si>
    <t>AB.66111</t>
  </si>
  <si>
    <t>AB.71150</t>
  </si>
  <si>
    <t>Nvb274</t>
  </si>
  <si>
    <t>M0659</t>
  </si>
  <si>
    <t>M0641</t>
  </si>
  <si>
    <t>M0617</t>
  </si>
  <si>
    <t>M0442</t>
  </si>
  <si>
    <t>M0276</t>
  </si>
  <si>
    <t>M0660</t>
  </si>
  <si>
    <t>0,026</t>
  </si>
  <si>
    <t>M0444</t>
  </si>
  <si>
    <t>0,009</t>
  </si>
  <si>
    <t>0,023</t>
  </si>
  <si>
    <t>M0615</t>
  </si>
  <si>
    <t>M0619</t>
  </si>
  <si>
    <t>M0635</t>
  </si>
  <si>
    <t>0,019</t>
  </si>
  <si>
    <t>1,03</t>
  </si>
  <si>
    <t>AB.64111</t>
  </si>
  <si>
    <t>1,74</t>
  </si>
  <si>
    <t>AB.67110</t>
  </si>
  <si>
    <t>AB.68110</t>
  </si>
  <si>
    <t>12,77</t>
  </si>
  <si>
    <t>M0150</t>
  </si>
  <si>
    <t>M0095</t>
  </si>
  <si>
    <t>M0104</t>
  </si>
  <si>
    <t>AB.71110</t>
  </si>
  <si>
    <t>M0657</t>
  </si>
  <si>
    <t>0,083</t>
  </si>
  <si>
    <t>0,011</t>
  </si>
  <si>
    <t>AB.72110</t>
  </si>
  <si>
    <t>Nvs274</t>
  </si>
  <si>
    <t>3,25</t>
  </si>
  <si>
    <t>M0654</t>
  </si>
  <si>
    <t>M0604</t>
  </si>
  <si>
    <t>AB.72210</t>
  </si>
  <si>
    <t>M0653</t>
  </si>
  <si>
    <t>12,5</t>
  </si>
  <si>
    <t>AB.73110</t>
  </si>
  <si>
    <t>M0661</t>
  </si>
  <si>
    <t>M0662</t>
  </si>
  <si>
    <t>M0642</t>
  </si>
  <si>
    <t>M0620</t>
  </si>
  <si>
    <t>AB.81112</t>
  </si>
  <si>
    <t>M0029</t>
  </si>
  <si>
    <t>M0030</t>
  </si>
  <si>
    <t>M0605</t>
  </si>
  <si>
    <t>M0033</t>
  </si>
  <si>
    <t>M0034</t>
  </si>
  <si>
    <t>M0663</t>
  </si>
  <si>
    <t>M0643</t>
  </si>
  <si>
    <t>M0608</t>
  </si>
  <si>
    <t>AB.82110</t>
  </si>
  <si>
    <t>AC.11220</t>
  </si>
  <si>
    <t>V10447</t>
  </si>
  <si>
    <t>0,01</t>
  </si>
  <si>
    <t>AC.12411</t>
  </si>
  <si>
    <t>V10809</t>
  </si>
  <si>
    <t>46,61</t>
  </si>
  <si>
    <t>M0579</t>
  </si>
  <si>
    <t>M0395</t>
  </si>
  <si>
    <t>0,89</t>
  </si>
  <si>
    <t>AC.13111</t>
  </si>
  <si>
    <t>V10160</t>
  </si>
  <si>
    <t>AC.14114</t>
  </si>
  <si>
    <t>M0571</t>
  </si>
  <si>
    <t>2,29</t>
  </si>
  <si>
    <t>V10161</t>
  </si>
  <si>
    <t>V10162</t>
  </si>
  <si>
    <t>AC.15111</t>
  </si>
  <si>
    <t>M0573</t>
  </si>
  <si>
    <t>AC.16112</t>
  </si>
  <si>
    <t>M0574</t>
  </si>
  <si>
    <t>AC.17111</t>
  </si>
  <si>
    <t>M0581</t>
  </si>
  <si>
    <t>M0226</t>
  </si>
  <si>
    <t>AC.19111</t>
  </si>
  <si>
    <t>M0583</t>
  </si>
  <si>
    <t>AC.21111</t>
  </si>
  <si>
    <t>V10188</t>
  </si>
  <si>
    <t>M0580</t>
  </si>
  <si>
    <t>M0613</t>
  </si>
  <si>
    <t>0,038</t>
  </si>
  <si>
    <t>AB.74110</t>
  </si>
  <si>
    <t>AB.75110</t>
  </si>
  <si>
    <t>V10582</t>
  </si>
  <si>
    <t>AB.81111</t>
  </si>
  <si>
    <t>AB.91111</t>
  </si>
  <si>
    <t>AB.92110</t>
  </si>
  <si>
    <t>AC.11110</t>
  </si>
  <si>
    <t>0,0075</t>
  </si>
  <si>
    <t>AC.12111</t>
  </si>
  <si>
    <t>M0570</t>
  </si>
  <si>
    <t>AC.14111</t>
  </si>
  <si>
    <t>2,55</t>
  </si>
  <si>
    <t>AC.16111</t>
  </si>
  <si>
    <t>AC.18111</t>
  </si>
  <si>
    <t>M0582</t>
  </si>
  <si>
    <t>M0607</t>
  </si>
  <si>
    <t>AC.22111</t>
  </si>
  <si>
    <t>V10201</t>
  </si>
  <si>
    <t>AC.23110</t>
  </si>
  <si>
    <t>2,66</t>
  </si>
  <si>
    <t>7,15</t>
  </si>
  <si>
    <t>AC.24111</t>
  </si>
  <si>
    <t>V10134</t>
  </si>
  <si>
    <t>10,72</t>
  </si>
  <si>
    <t>M0577</t>
  </si>
  <si>
    <t>M0386</t>
  </si>
  <si>
    <t>3,2</t>
  </si>
  <si>
    <t>AC.25221</t>
  </si>
  <si>
    <t>V10172</t>
  </si>
  <si>
    <t>M0587</t>
  </si>
  <si>
    <t>M0224</t>
  </si>
  <si>
    <t>AC.26111</t>
  </si>
  <si>
    <t>V10169</t>
  </si>
  <si>
    <t>M0588</t>
  </si>
  <si>
    <t>AC.29121</t>
  </si>
  <si>
    <t>V10804</t>
  </si>
  <si>
    <t>V10821</t>
  </si>
  <si>
    <t>V10556</t>
  </si>
  <si>
    <t>AC.31110</t>
  </si>
  <si>
    <t>V10428</t>
  </si>
  <si>
    <t>0,0024</t>
  </si>
  <si>
    <t>M0592</t>
  </si>
  <si>
    <t>M0230</t>
  </si>
  <si>
    <t>0,004</t>
  </si>
  <si>
    <t>M0596</t>
  </si>
  <si>
    <t>0,02</t>
  </si>
  <si>
    <t>AC.25111</t>
  </si>
  <si>
    <t>AC.27110</t>
  </si>
  <si>
    <t>M0590</t>
  </si>
  <si>
    <t>21,5</t>
  </si>
  <si>
    <t>AC.28111</t>
  </si>
  <si>
    <t>V10165</t>
  </si>
  <si>
    <t>M0589</t>
  </si>
  <si>
    <t>AC.29111</t>
  </si>
  <si>
    <t>3,81</t>
  </si>
  <si>
    <t>AC.32111</t>
  </si>
  <si>
    <t>V10638</t>
  </si>
  <si>
    <t>1,4</t>
  </si>
  <si>
    <t>M0593</t>
  </si>
  <si>
    <t>M0227</t>
  </si>
  <si>
    <t>V10426</t>
  </si>
  <si>
    <t>M0597</t>
  </si>
  <si>
    <t>0,0014</t>
  </si>
  <si>
    <t>0,002</t>
  </si>
  <si>
    <t>M0598</t>
  </si>
  <si>
    <t>M0595</t>
  </si>
  <si>
    <t>0,003</t>
  </si>
  <si>
    <t>M0599</t>
  </si>
  <si>
    <t>M0601</t>
  </si>
  <si>
    <t>AC.33111</t>
  </si>
  <si>
    <t>M0557</t>
  </si>
  <si>
    <t>2,21</t>
  </si>
  <si>
    <t>M0639</t>
  </si>
  <si>
    <t>AC.34111</t>
  </si>
  <si>
    <t>V10234</t>
  </si>
  <si>
    <t>V10061</t>
  </si>
  <si>
    <t>M0560</t>
  </si>
  <si>
    <t>M0561</t>
  </si>
  <si>
    <t>AC.37111</t>
  </si>
  <si>
    <t>V10519</t>
  </si>
  <si>
    <t>M0669</t>
  </si>
  <si>
    <t>AD.11110</t>
  </si>
  <si>
    <t>V10275</t>
  </si>
  <si>
    <t>M0098</t>
  </si>
  <si>
    <t>M0076</t>
  </si>
  <si>
    <t>AD.12131</t>
  </si>
  <si>
    <t>V10896</t>
  </si>
  <si>
    <t>M0330</t>
  </si>
  <si>
    <t>M0328</t>
  </si>
  <si>
    <t>M0329</t>
  </si>
  <si>
    <t>AD.21213</t>
  </si>
  <si>
    <t>V10312</t>
  </si>
  <si>
    <t>14,28</t>
  </si>
  <si>
    <t>N1257</t>
  </si>
  <si>
    <t>N2257x</t>
  </si>
  <si>
    <t>3,29</t>
  </si>
  <si>
    <t>V10280</t>
  </si>
  <si>
    <t>AD.22112</t>
  </si>
  <si>
    <t>M0099</t>
  </si>
  <si>
    <t>AD.23111</t>
  </si>
  <si>
    <t>V10299</t>
  </si>
  <si>
    <t>6,97</t>
  </si>
  <si>
    <t>M0376</t>
  </si>
  <si>
    <t>AD.24111</t>
  </si>
  <si>
    <t>V10553</t>
  </si>
  <si>
    <t>M0373</t>
  </si>
  <si>
    <t>M0381</t>
  </si>
  <si>
    <t>11,55</t>
  </si>
  <si>
    <t>AC.35110</t>
  </si>
  <si>
    <t>M0040</t>
  </si>
  <si>
    <t>M0377</t>
  </si>
  <si>
    <t>AD.12111</t>
  </si>
  <si>
    <t>AD.21111</t>
  </si>
  <si>
    <t>11,7</t>
  </si>
  <si>
    <t>AD.22111</t>
  </si>
  <si>
    <t>AD.25111</t>
  </si>
  <si>
    <t>AD.26111</t>
  </si>
  <si>
    <t>65,2</t>
  </si>
  <si>
    <t>M0367</t>
  </si>
  <si>
    <t>M0035</t>
  </si>
  <si>
    <t>M0371</t>
  </si>
  <si>
    <t>AD.27213</t>
  </si>
  <si>
    <t>AD.31111</t>
  </si>
  <si>
    <t>4,03</t>
  </si>
  <si>
    <t>AD.32212</t>
  </si>
  <si>
    <t>V10832</t>
  </si>
  <si>
    <t>V10674</t>
  </si>
  <si>
    <t>M0106</t>
  </si>
  <si>
    <t>AD.41212</t>
  </si>
  <si>
    <t>V10333</t>
  </si>
  <si>
    <t>V10116</t>
  </si>
  <si>
    <t>AD.42221</t>
  </si>
  <si>
    <t>AD.43111</t>
  </si>
  <si>
    <t>V10632</t>
  </si>
  <si>
    <t>AD.44112</t>
  </si>
  <si>
    <t>AD.45212</t>
  </si>
  <si>
    <t>V10634</t>
  </si>
  <si>
    <t>AD.46111</t>
  </si>
  <si>
    <t>AD.62110</t>
  </si>
  <si>
    <t>7,02</t>
  </si>
  <si>
    <t>M0521</t>
  </si>
  <si>
    <t>M0273</t>
  </si>
  <si>
    <t>AD.63110</t>
  </si>
  <si>
    <t>V10620</t>
  </si>
  <si>
    <t>50,4</t>
  </si>
  <si>
    <t>AD.71110</t>
  </si>
  <si>
    <t>V10219</t>
  </si>
  <si>
    <t>V10875</t>
  </si>
  <si>
    <t>M0372</t>
  </si>
  <si>
    <t>M0037</t>
  </si>
  <si>
    <t>AD.27111</t>
  </si>
  <si>
    <t>AD.32111</t>
  </si>
  <si>
    <t>M0502</t>
  </si>
  <si>
    <t>M0530</t>
  </si>
  <si>
    <t>M0110</t>
  </si>
  <si>
    <t>AD.33110</t>
  </si>
  <si>
    <t>V10871</t>
  </si>
  <si>
    <t>V10860</t>
  </si>
  <si>
    <t>AD.51110</t>
  </si>
  <si>
    <t>V10787</t>
  </si>
  <si>
    <t>AD.52110</t>
  </si>
  <si>
    <t>V10430</t>
  </si>
  <si>
    <t>78,5</t>
  </si>
  <si>
    <t>AD.61111</t>
  </si>
  <si>
    <t>V10286</t>
  </si>
  <si>
    <t>AD.72111</t>
  </si>
  <si>
    <t>V10220</t>
  </si>
  <si>
    <t>AD.73111</t>
  </si>
  <si>
    <t>V10429</t>
  </si>
  <si>
    <t>AD.74111</t>
  </si>
  <si>
    <t>V10252</t>
  </si>
  <si>
    <t>AD.81131</t>
  </si>
  <si>
    <t>M0500</t>
  </si>
  <si>
    <t>M0515</t>
  </si>
  <si>
    <t>AE.11120</t>
  </si>
  <si>
    <t>AE.12230</t>
  </si>
  <si>
    <t>AE.13110</t>
  </si>
  <si>
    <t>V10310</t>
  </si>
  <si>
    <t>M0319</t>
  </si>
  <si>
    <t>AE.14110</t>
  </si>
  <si>
    <t>V10295</t>
  </si>
  <si>
    <t>AE.21210</t>
  </si>
  <si>
    <t>V10381</t>
  </si>
  <si>
    <t>AE.22110</t>
  </si>
  <si>
    <t>M0266</t>
  </si>
  <si>
    <t>M0269</t>
  </si>
  <si>
    <t>M0242</t>
  </si>
  <si>
    <t>M0244</t>
  </si>
  <si>
    <t>AE.24220</t>
  </si>
  <si>
    <t>AE.25110</t>
  </si>
  <si>
    <t>AE.26110</t>
  </si>
  <si>
    <t>AE.27110</t>
  </si>
  <si>
    <t>AE.28110</t>
  </si>
  <si>
    <t>V10362</t>
  </si>
  <si>
    <t>AE.23110a</t>
  </si>
  <si>
    <t>AD.81111</t>
  </si>
  <si>
    <t>AD.82111</t>
  </si>
  <si>
    <t>V10433</t>
  </si>
  <si>
    <t>AE.11110</t>
  </si>
  <si>
    <t>AE.12110</t>
  </si>
  <si>
    <t>AE.15110</t>
  </si>
  <si>
    <t>V10297</t>
  </si>
  <si>
    <t>AE.16110</t>
  </si>
  <si>
    <t>V10296</t>
  </si>
  <si>
    <t>AE.21110</t>
  </si>
  <si>
    <t>AE.23110</t>
  </si>
  <si>
    <t>AE.24110</t>
  </si>
  <si>
    <t>AE.28140a</t>
  </si>
  <si>
    <t>AE.31110</t>
  </si>
  <si>
    <t>V10417</t>
  </si>
  <si>
    <t>AE.32110</t>
  </si>
  <si>
    <t>AE.33110</t>
  </si>
  <si>
    <t>AE.42130</t>
  </si>
  <si>
    <t>V10415</t>
  </si>
  <si>
    <t>AE.43110</t>
  </si>
  <si>
    <t>AE.52140</t>
  </si>
  <si>
    <t>V10416</t>
  </si>
  <si>
    <t>AE.53110</t>
  </si>
  <si>
    <t>AE.61220</t>
  </si>
  <si>
    <t>V10405</t>
  </si>
  <si>
    <t>AE.62110</t>
  </si>
  <si>
    <t>AE.63330</t>
  </si>
  <si>
    <t>V10406</t>
  </si>
  <si>
    <t>AE.65210</t>
  </si>
  <si>
    <t>AE.71110</t>
  </si>
  <si>
    <t>V10411</t>
  </si>
  <si>
    <t>AE.72230</t>
  </si>
  <si>
    <t>AE.73110</t>
  </si>
  <si>
    <t>V10412</t>
  </si>
  <si>
    <t>AE.81110</t>
  </si>
  <si>
    <t>V10380</t>
  </si>
  <si>
    <t>AE.34110</t>
  </si>
  <si>
    <t>AE.35110</t>
  </si>
  <si>
    <t>AE.41110</t>
  </si>
  <si>
    <t>AE.44110</t>
  </si>
  <si>
    <t>AE.51110</t>
  </si>
  <si>
    <t>AE.54110</t>
  </si>
  <si>
    <t>AE.64110</t>
  </si>
  <si>
    <t>AE.82110</t>
  </si>
  <si>
    <t>V10413</t>
  </si>
  <si>
    <t>AE.83110</t>
  </si>
  <si>
    <t>V10418</t>
  </si>
  <si>
    <t>AE.91110</t>
  </si>
  <si>
    <t>V10382</t>
  </si>
  <si>
    <t>M0509</t>
  </si>
  <si>
    <t>M0281</t>
  </si>
  <si>
    <t>AE.92110</t>
  </si>
  <si>
    <t>AE.93110</t>
  </si>
  <si>
    <t>AF.11110</t>
  </si>
  <si>
    <t>M0313</t>
  </si>
  <si>
    <t>M0350</t>
  </si>
  <si>
    <t>M0355</t>
  </si>
  <si>
    <t>V10449</t>
  </si>
  <si>
    <t>AF.12310</t>
  </si>
  <si>
    <t>AF.13110</t>
  </si>
  <si>
    <t>V10263</t>
  </si>
  <si>
    <t>AF.14110</t>
  </si>
  <si>
    <t>2,91</t>
  </si>
  <si>
    <t>AF.15220</t>
  </si>
  <si>
    <t>M0315</t>
  </si>
  <si>
    <t>AF.16120</t>
  </si>
  <si>
    <t>AF.17110</t>
  </si>
  <si>
    <t>AF.18110</t>
  </si>
  <si>
    <t>M0336</t>
  </si>
  <si>
    <t>M0405</t>
  </si>
  <si>
    <t>AF.21110</t>
  </si>
  <si>
    <t>AF.21220</t>
  </si>
  <si>
    <t>AF.22150</t>
  </si>
  <si>
    <t>M0204</t>
  </si>
  <si>
    <t>AF.23110</t>
  </si>
  <si>
    <t>AF.26210</t>
  </si>
  <si>
    <t>AF.27110</t>
  </si>
  <si>
    <t>M0245</t>
  </si>
  <si>
    <t>M0268</t>
  </si>
  <si>
    <t>AF.28110</t>
  </si>
  <si>
    <t>8,05</t>
  </si>
  <si>
    <t>AF.31110</t>
  </si>
  <si>
    <t>M0340</t>
  </si>
  <si>
    <t>AF.32110</t>
  </si>
  <si>
    <t>AF.33120</t>
  </si>
  <si>
    <t>AF.34110</t>
  </si>
  <si>
    <t>AF.35110</t>
  </si>
  <si>
    <t>AF.36140</t>
  </si>
  <si>
    <t>M0342</t>
  </si>
  <si>
    <t>M0309</t>
  </si>
  <si>
    <t>AF.37110</t>
  </si>
  <si>
    <t>M0338</t>
  </si>
  <si>
    <t>M0346</t>
  </si>
  <si>
    <t>AF.12110</t>
  </si>
  <si>
    <t>4,82</t>
  </si>
  <si>
    <t>AF.15110</t>
  </si>
  <si>
    <t>AF.22110</t>
  </si>
  <si>
    <t>AF.24110</t>
  </si>
  <si>
    <t>AF.25110</t>
  </si>
  <si>
    <t>AF.26110</t>
  </si>
  <si>
    <t>AF.33110</t>
  </si>
  <si>
    <t>AF.36110</t>
  </si>
  <si>
    <t>AF.41110</t>
  </si>
  <si>
    <t>AF.42110</t>
  </si>
  <si>
    <t>M0357</t>
  </si>
  <si>
    <t>AF.43110</t>
  </si>
  <si>
    <t>AF.44120</t>
  </si>
  <si>
    <t>AF.52331</t>
  </si>
  <si>
    <t>M0125</t>
  </si>
  <si>
    <t>AF.61110</t>
  </si>
  <si>
    <t>V10833</t>
  </si>
  <si>
    <t>M0522</t>
  </si>
  <si>
    <t>V10834</t>
  </si>
  <si>
    <t>AF.51110</t>
  </si>
  <si>
    <t>M0325</t>
  </si>
  <si>
    <t>M0333</t>
  </si>
  <si>
    <t>M0334</t>
  </si>
  <si>
    <t>0,0025</t>
  </si>
  <si>
    <t>AF.52111</t>
  </si>
  <si>
    <t>M0141</t>
  </si>
  <si>
    <t>M0144</t>
  </si>
  <si>
    <t>M0145</t>
  </si>
  <si>
    <t>M0191</t>
  </si>
  <si>
    <t>AF.62110</t>
  </si>
  <si>
    <t>M0246</t>
  </si>
  <si>
    <t>AF.64220</t>
  </si>
  <si>
    <t>AF.65110</t>
  </si>
  <si>
    <t>M0280</t>
  </si>
  <si>
    <t>AF.66110</t>
  </si>
  <si>
    <t>V10797</t>
  </si>
  <si>
    <t>M0300</t>
  </si>
  <si>
    <t>M0298</t>
  </si>
  <si>
    <t>M0289</t>
  </si>
  <si>
    <t>M0290</t>
  </si>
  <si>
    <t>AF.68210</t>
  </si>
  <si>
    <t>AF.71110</t>
  </si>
  <si>
    <t>AF.72110</t>
  </si>
  <si>
    <t>AF.73320</t>
  </si>
  <si>
    <t>AF.63110</t>
  </si>
  <si>
    <t>AF.64110</t>
  </si>
  <si>
    <t>AF.67110</t>
  </si>
  <si>
    <t>AF.68110</t>
  </si>
  <si>
    <t>AF.81111</t>
  </si>
  <si>
    <t>0,792</t>
  </si>
  <si>
    <t>AF.82111</t>
  </si>
  <si>
    <t>51,81</t>
  </si>
  <si>
    <t>AF.82131</t>
  </si>
  <si>
    <t>AF.83121</t>
  </si>
  <si>
    <t>V10864</t>
  </si>
  <si>
    <t>AF.85121</t>
  </si>
  <si>
    <t>AF.86111</t>
  </si>
  <si>
    <t>V10442</t>
  </si>
  <si>
    <t>M0282</t>
  </si>
  <si>
    <t>M0501</t>
  </si>
  <si>
    <t>AF.87111</t>
  </si>
  <si>
    <t>V10514</t>
  </si>
  <si>
    <t>M0288</t>
  </si>
  <si>
    <t>M0503</t>
  </si>
  <si>
    <t>AF.88110</t>
  </si>
  <si>
    <t>V10824</t>
  </si>
  <si>
    <t>M0284</t>
  </si>
  <si>
    <t>M0286</t>
  </si>
  <si>
    <t>AG.11110</t>
  </si>
  <si>
    <t>AG.12220</t>
  </si>
  <si>
    <t>AG.13111</t>
  </si>
  <si>
    <t>AG.21131</t>
  </si>
  <si>
    <t>M0337</t>
  </si>
  <si>
    <t>AF.84111</t>
  </si>
  <si>
    <t>M0277</t>
  </si>
  <si>
    <t>M0531</t>
  </si>
  <si>
    <t>AG.12120</t>
  </si>
  <si>
    <t>M0285</t>
  </si>
  <si>
    <t>AG.21111</t>
  </si>
  <si>
    <t>AG.31111</t>
  </si>
  <si>
    <t>0,0015</t>
  </si>
  <si>
    <t>AG.32111</t>
  </si>
  <si>
    <t>AG.41111</t>
  </si>
  <si>
    <t>M0205</t>
  </si>
  <si>
    <t>AG.42231</t>
  </si>
  <si>
    <t>AG.51111</t>
  </si>
  <si>
    <t>V10065</t>
  </si>
  <si>
    <t>M0253</t>
  </si>
  <si>
    <t>AG.52111</t>
  </si>
  <si>
    <t>V10814</t>
  </si>
  <si>
    <t>M0250</t>
  </si>
  <si>
    <t>AH.11121</t>
  </si>
  <si>
    <t>AH.21221</t>
  </si>
  <si>
    <t>AH.31111</t>
  </si>
  <si>
    <t>AH.32111</t>
  </si>
  <si>
    <t>AI.11111</t>
  </si>
  <si>
    <t>M0527</t>
  </si>
  <si>
    <t>M0518</t>
  </si>
  <si>
    <t>AI.13151</t>
  </si>
  <si>
    <t>M0499</t>
  </si>
  <si>
    <t>AI.21111</t>
  </si>
  <si>
    <t>635,25</t>
  </si>
  <si>
    <t>M0460</t>
  </si>
  <si>
    <t>AI.22111</t>
  </si>
  <si>
    <t>154,65</t>
  </si>
  <si>
    <t>AG.42111</t>
  </si>
  <si>
    <t>AG.53111</t>
  </si>
  <si>
    <t>V10618</t>
  </si>
  <si>
    <t>AH.11111</t>
  </si>
  <si>
    <t>AH.12111</t>
  </si>
  <si>
    <t>AH.13111</t>
  </si>
  <si>
    <t>AH.21111</t>
  </si>
  <si>
    <t>AI.13111</t>
  </si>
  <si>
    <t>AI.31110</t>
  </si>
  <si>
    <t>AI.32110</t>
  </si>
  <si>
    <t>AI.41110</t>
  </si>
  <si>
    <t>M0524</t>
  </si>
  <si>
    <t>M0526</t>
  </si>
  <si>
    <t>M0528</t>
  </si>
  <si>
    <t>M0519</t>
  </si>
  <si>
    <t>AI.52111</t>
  </si>
  <si>
    <t>M0520</t>
  </si>
  <si>
    <t>AI.53121</t>
  </si>
  <si>
    <t>AI.61151</t>
  </si>
  <si>
    <t>AI.62111</t>
  </si>
  <si>
    <t>AI.63111</t>
  </si>
  <si>
    <t>AI.65111</t>
  </si>
  <si>
    <t>15,54</t>
  </si>
  <si>
    <t>M0243</t>
  </si>
  <si>
    <t>AI.66111</t>
  </si>
  <si>
    <t>AK.11210</t>
  </si>
  <si>
    <t>AK.12111</t>
  </si>
  <si>
    <t>V10352</t>
  </si>
  <si>
    <t>129,5</t>
  </si>
  <si>
    <t>AK.13110</t>
  </si>
  <si>
    <t>V10551</t>
  </si>
  <si>
    <t>AK.21110</t>
  </si>
  <si>
    <t>AK.26310</t>
  </si>
  <si>
    <t>V10062</t>
  </si>
  <si>
    <t>AK.27110</t>
  </si>
  <si>
    <t>AK.31110</t>
  </si>
  <si>
    <t>V10364</t>
  </si>
  <si>
    <t>AK.32110</t>
  </si>
  <si>
    <t>V10300</t>
  </si>
  <si>
    <t>V10288</t>
  </si>
  <si>
    <t>AI.53111</t>
  </si>
  <si>
    <t>AI.61111</t>
  </si>
  <si>
    <t>V10587</t>
  </si>
  <si>
    <t>M0516</t>
  </si>
  <si>
    <t>AK.11110</t>
  </si>
  <si>
    <t>AK.22110</t>
  </si>
  <si>
    <t>AK.23110</t>
  </si>
  <si>
    <t>AK.24110</t>
  </si>
  <si>
    <t>AK.25110</t>
  </si>
  <si>
    <t>AK.26110</t>
  </si>
  <si>
    <t>AK.41110</t>
  </si>
  <si>
    <t>AK.42110</t>
  </si>
  <si>
    <t>AK.43110</t>
  </si>
  <si>
    <t>V10308</t>
  </si>
  <si>
    <t>12,06</t>
  </si>
  <si>
    <t>AK.44110</t>
  </si>
  <si>
    <t>V10669</t>
  </si>
  <si>
    <t>AK.51110</t>
  </si>
  <si>
    <t>AK.52320</t>
  </si>
  <si>
    <t>V10384</t>
  </si>
  <si>
    <t>AK.53110</t>
  </si>
  <si>
    <t>V10398</t>
  </si>
  <si>
    <t>AK.54110</t>
  </si>
  <si>
    <t>V10368</t>
  </si>
  <si>
    <t>AK.54210</t>
  </si>
  <si>
    <t>AK.55110</t>
  </si>
  <si>
    <t>V10422</t>
  </si>
  <si>
    <t>AK.56110</t>
  </si>
  <si>
    <t>AK.63110</t>
  </si>
  <si>
    <t>V10533</t>
  </si>
  <si>
    <t>V10453</t>
  </si>
  <si>
    <t>AK.64110</t>
  </si>
  <si>
    <t>AK.65110</t>
  </si>
  <si>
    <t>V10451</t>
  </si>
  <si>
    <t>AK.66110</t>
  </si>
  <si>
    <t>V10793</t>
  </si>
  <si>
    <t>AK.71110</t>
  </si>
  <si>
    <t>V10454</t>
  </si>
  <si>
    <t>AK.72220HN</t>
  </si>
  <si>
    <t>AK.73110</t>
  </si>
  <si>
    <t>AK.74110</t>
  </si>
  <si>
    <t>AK.75110</t>
  </si>
  <si>
    <t>AK.76110</t>
  </si>
  <si>
    <t>AK.77110</t>
  </si>
  <si>
    <t>V10354</t>
  </si>
  <si>
    <t>AK.81310</t>
  </si>
  <si>
    <t>AK.82110</t>
  </si>
  <si>
    <t>V10506</t>
  </si>
  <si>
    <t>AK.82210</t>
  </si>
  <si>
    <t>AK.83111</t>
  </si>
  <si>
    <t>V10730</t>
  </si>
  <si>
    <t>AK.84322</t>
  </si>
  <si>
    <t>V10708</t>
  </si>
  <si>
    <t>AK.85111</t>
  </si>
  <si>
    <t>V10701</t>
  </si>
  <si>
    <t>AK.91111</t>
  </si>
  <si>
    <t>V10676</t>
  </si>
  <si>
    <t>M0379</t>
  </si>
  <si>
    <t>M0380</t>
  </si>
  <si>
    <t>AK.57110</t>
  </si>
  <si>
    <t>V10748</t>
  </si>
  <si>
    <t>AK.61110</t>
  </si>
  <si>
    <t>V10203</t>
  </si>
  <si>
    <t>AK.62110</t>
  </si>
  <si>
    <t>AK.72110</t>
  </si>
  <si>
    <t>AK.81110</t>
  </si>
  <si>
    <t>M0497</t>
  </si>
  <si>
    <t>AK.92111</t>
  </si>
  <si>
    <t>V10353</t>
  </si>
  <si>
    <t>AK.93111</t>
  </si>
  <si>
    <t>V10599</t>
  </si>
  <si>
    <t>AK.94111</t>
  </si>
  <si>
    <t>V10554</t>
  </si>
  <si>
    <t>AK.95111</t>
  </si>
  <si>
    <t>AK.96110</t>
  </si>
  <si>
    <t>AK.97110</t>
  </si>
  <si>
    <t>AK.98110</t>
  </si>
  <si>
    <t>V10291</t>
  </si>
  <si>
    <t>AL.11111</t>
  </si>
  <si>
    <t>V10125</t>
  </si>
  <si>
    <t>M0498</t>
  </si>
  <si>
    <t>AL.12111</t>
  </si>
  <si>
    <t>V10127</t>
  </si>
  <si>
    <t>141,81</t>
  </si>
  <si>
    <t>AL.14113</t>
  </si>
  <si>
    <t>AL.15111</t>
  </si>
  <si>
    <t>V10268</t>
  </si>
  <si>
    <t>AL.16111</t>
  </si>
  <si>
    <t>V10013</t>
  </si>
  <si>
    <t>M0591</t>
  </si>
  <si>
    <t>AL.17111</t>
  </si>
  <si>
    <t>AL.18111</t>
  </si>
  <si>
    <t>V10018</t>
  </si>
  <si>
    <t>AL.21111</t>
  </si>
  <si>
    <t>V10847</t>
  </si>
  <si>
    <t>53,88</t>
  </si>
  <si>
    <t>M0439</t>
  </si>
  <si>
    <t>AL.24112</t>
  </si>
  <si>
    <t>M0512</t>
  </si>
  <si>
    <t>AL.25111</t>
  </si>
  <si>
    <t>V10456</t>
  </si>
  <si>
    <t>AL.31110</t>
  </si>
  <si>
    <t>AL.41340</t>
  </si>
  <si>
    <t>V10617</t>
  </si>
  <si>
    <t>AL.51110</t>
  </si>
  <si>
    <t>M0411</t>
  </si>
  <si>
    <t>AL.52220</t>
  </si>
  <si>
    <t>AL.53111</t>
  </si>
  <si>
    <t>M0345</t>
  </si>
  <si>
    <t>M0344</t>
  </si>
  <si>
    <t>M0316</t>
  </si>
  <si>
    <t>AL.54110</t>
  </si>
  <si>
    <t>AL.55110</t>
  </si>
  <si>
    <t>V10149</t>
  </si>
  <si>
    <t>M0549</t>
  </si>
  <si>
    <t>AL.61110</t>
  </si>
  <si>
    <t>AL.71110</t>
  </si>
  <si>
    <t>AL.72110</t>
  </si>
  <si>
    <t>M0031</t>
  </si>
  <si>
    <t>AL.13111</t>
  </si>
  <si>
    <t>157,67</t>
  </si>
  <si>
    <t>AL.14111</t>
  </si>
  <si>
    <t>AL.22111</t>
  </si>
  <si>
    <t>V10497</t>
  </si>
  <si>
    <t>M0511</t>
  </si>
  <si>
    <t>AL.23111</t>
  </si>
  <si>
    <t>V10003</t>
  </si>
  <si>
    <t>M0464</t>
  </si>
  <si>
    <t>M0382</t>
  </si>
  <si>
    <t>AL.24111</t>
  </si>
  <si>
    <t>AL.41110</t>
  </si>
  <si>
    <t>M0335</t>
  </si>
  <si>
    <t>M0564</t>
  </si>
  <si>
    <t>AL.73110</t>
  </si>
  <si>
    <t>AL.74110</t>
  </si>
  <si>
    <t>AL.75110</t>
  </si>
  <si>
    <t>AL.76110</t>
  </si>
  <si>
    <t>AL.81101</t>
  </si>
  <si>
    <t>AL.82111</t>
  </si>
  <si>
    <t>4,88</t>
  </si>
  <si>
    <t>ZZ.9999</t>
  </si>
  <si>
    <t>BA.12203</t>
  </si>
  <si>
    <t>M0504a</t>
  </si>
  <si>
    <t>V39999</t>
  </si>
  <si>
    <t>BA.13101</t>
  </si>
  <si>
    <t>V30900</t>
  </si>
  <si>
    <t>BA.14202</t>
  </si>
  <si>
    <t>BA.15101</t>
  </si>
  <si>
    <t>V31434</t>
  </si>
  <si>
    <t>BA.16101</t>
  </si>
  <si>
    <t>V30817</t>
  </si>
  <si>
    <t>BA.17101</t>
  </si>
  <si>
    <t>V30020</t>
  </si>
  <si>
    <t>BA.18101</t>
  </si>
  <si>
    <t>V30538</t>
  </si>
  <si>
    <t>BA.19103</t>
  </si>
  <si>
    <t>V30918</t>
  </si>
  <si>
    <t>BA.20101</t>
  </si>
  <si>
    <t>V30316</t>
  </si>
  <si>
    <t>M0484</t>
  </si>
  <si>
    <t>BB.11101</t>
  </si>
  <si>
    <t>V31168</t>
  </si>
  <si>
    <t>101,5</t>
  </si>
  <si>
    <t>C</t>
  </si>
  <si>
    <t>P</t>
  </si>
  <si>
    <t>BA.11101</t>
  </si>
  <si>
    <t>V31553</t>
  </si>
  <si>
    <t>BA.12101</t>
  </si>
  <si>
    <t>BA.14101</t>
  </si>
  <si>
    <t>BA.19101</t>
  </si>
  <si>
    <t>V31555</t>
  </si>
  <si>
    <t>100,5</t>
  </si>
  <si>
    <t>BB.12101</t>
  </si>
  <si>
    <t>V31431</t>
  </si>
  <si>
    <t>BB.13101</t>
  </si>
  <si>
    <t>V31279</t>
  </si>
  <si>
    <t>BB.13202</t>
  </si>
  <si>
    <t>BB.11508</t>
  </si>
  <si>
    <t>BB.14110</t>
  </si>
  <si>
    <t>BB.15101</t>
  </si>
  <si>
    <t>V31439</t>
  </si>
  <si>
    <t>100,2</t>
  </si>
  <si>
    <t>M0108</t>
  </si>
  <si>
    <t>BB.16101</t>
  </si>
  <si>
    <t>V31166</t>
  </si>
  <si>
    <t>BB.14101</t>
  </si>
  <si>
    <t>M0203</t>
  </si>
  <si>
    <t>BB.17102</t>
  </si>
  <si>
    <t>M0054</t>
  </si>
  <si>
    <t>M0563</t>
  </si>
  <si>
    <t>BB.18108</t>
  </si>
  <si>
    <t>V31899</t>
  </si>
  <si>
    <t>BB.19101</t>
  </si>
  <si>
    <t>V31392</t>
  </si>
  <si>
    <t>M0532</t>
  </si>
  <si>
    <t>BB.18101</t>
  </si>
  <si>
    <t>BB.20101</t>
  </si>
  <si>
    <t>V31402</t>
  </si>
  <si>
    <t>100,01</t>
  </si>
  <si>
    <t>BB.21101</t>
  </si>
  <si>
    <t>V31731</t>
  </si>
  <si>
    <t>M0529</t>
  </si>
  <si>
    <t>BB.22104</t>
  </si>
  <si>
    <t>BB.23101</t>
  </si>
  <si>
    <t>V30350</t>
  </si>
  <si>
    <t>BB.22101</t>
  </si>
  <si>
    <t>BB.24101</t>
  </si>
  <si>
    <t>V30440</t>
  </si>
  <si>
    <t>BB.23203</t>
  </si>
  <si>
    <t>BB.25101</t>
  </si>
  <si>
    <t>V30472</t>
  </si>
  <si>
    <t>BB.26101</t>
  </si>
  <si>
    <t>V30492</t>
  </si>
  <si>
    <t>BB.26102</t>
  </si>
  <si>
    <t>BB.27107</t>
  </si>
  <si>
    <t>BB.28101</t>
  </si>
  <si>
    <t>V30512</t>
  </si>
  <si>
    <t>BB.24221</t>
  </si>
  <si>
    <t>BB.29101</t>
  </si>
  <si>
    <t>V30414</t>
  </si>
  <si>
    <t>BB.30123</t>
  </si>
  <si>
    <t>V30628</t>
  </si>
  <si>
    <t>BB.31107</t>
  </si>
  <si>
    <t>BB.30101</t>
  </si>
  <si>
    <t>BB.32307</t>
  </si>
  <si>
    <t>M0505</t>
  </si>
  <si>
    <t>BB.33113</t>
  </si>
  <si>
    <t>V30249</t>
  </si>
  <si>
    <t>BB.32101</t>
  </si>
  <si>
    <t>BB.33104</t>
  </si>
  <si>
    <t>M0196</t>
  </si>
  <si>
    <t>BB.34101</t>
  </si>
  <si>
    <t>V31904</t>
  </si>
  <si>
    <t>BB.36105</t>
  </si>
  <si>
    <t>BB.37104</t>
  </si>
  <si>
    <t>V30274</t>
  </si>
  <si>
    <t>BB.38101</t>
  </si>
  <si>
    <t>V31124</t>
  </si>
  <si>
    <t>BB.35101</t>
  </si>
  <si>
    <t>V30912</t>
  </si>
  <si>
    <t>BB.36101</t>
  </si>
  <si>
    <t>BB.37101</t>
  </si>
  <si>
    <t>BB.39101</t>
  </si>
  <si>
    <t>V31026</t>
  </si>
  <si>
    <t>M0495</t>
  </si>
  <si>
    <t>BB.40101</t>
  </si>
  <si>
    <t>V31933</t>
  </si>
  <si>
    <t>M0667</t>
  </si>
  <si>
    <t>M0431</t>
  </si>
  <si>
    <t>BB.41101</t>
  </si>
  <si>
    <t>V30802</t>
  </si>
  <si>
    <t>BB.42101</t>
  </si>
  <si>
    <t>V31898</t>
  </si>
  <si>
    <t>M0504</t>
  </si>
  <si>
    <t>BB.43101</t>
  </si>
  <si>
    <t>V30089</t>
  </si>
  <si>
    <t>BC.13106</t>
  </si>
  <si>
    <t>V30203</t>
  </si>
  <si>
    <t>BC.14103</t>
  </si>
  <si>
    <t>V31200</t>
  </si>
  <si>
    <t>BD.11101</t>
  </si>
  <si>
    <t>V30925</t>
  </si>
  <si>
    <t>M0558</t>
  </si>
  <si>
    <t>BD.12105</t>
  </si>
  <si>
    <t>M0388</t>
  </si>
  <si>
    <t>V30303</t>
  </si>
  <si>
    <t>BD.12502</t>
  </si>
  <si>
    <t>BC.11101</t>
  </si>
  <si>
    <t>V30204</t>
  </si>
  <si>
    <t>BC.12101</t>
  </si>
  <si>
    <t>V30206</t>
  </si>
  <si>
    <t>BC.13101</t>
  </si>
  <si>
    <t>BC.14101</t>
  </si>
  <si>
    <t>M0559</t>
  </si>
  <si>
    <t>BD.13103</t>
  </si>
  <si>
    <t>BD.14103</t>
  </si>
  <si>
    <t>V30306</t>
  </si>
  <si>
    <t>V30198</t>
  </si>
  <si>
    <t>BD.15101</t>
  </si>
  <si>
    <t>BD.16101</t>
  </si>
  <si>
    <t>BD.17202</t>
  </si>
  <si>
    <t>BD.18101</t>
  </si>
  <si>
    <t>BD.13101</t>
  </si>
  <si>
    <t>BD.14101</t>
  </si>
  <si>
    <t>BD.17101</t>
  </si>
  <si>
    <t>BD.19101</t>
  </si>
  <si>
    <t>BD.20101</t>
  </si>
  <si>
    <t>BD.21101</t>
  </si>
  <si>
    <t>BD.22102</t>
  </si>
  <si>
    <t>BD.22202</t>
  </si>
  <si>
    <t>BD.23102</t>
  </si>
  <si>
    <t>CA.02101</t>
  </si>
  <si>
    <t>N2407</t>
  </si>
  <si>
    <t>N1407x</t>
  </si>
  <si>
    <t>V20272</t>
  </si>
  <si>
    <t>V20341</t>
  </si>
  <si>
    <t>V20143</t>
  </si>
  <si>
    <t>V29999</t>
  </si>
  <si>
    <t>CA.03101</t>
  </si>
  <si>
    <t>V20330</t>
  </si>
  <si>
    <t>M0673</t>
  </si>
  <si>
    <t>M0383</t>
  </si>
  <si>
    <t>M0249</t>
  </si>
  <si>
    <t>M0674</t>
  </si>
  <si>
    <t>M0672</t>
  </si>
  <si>
    <t>M0482</t>
  </si>
  <si>
    <t>M0681</t>
  </si>
  <si>
    <t>M0668</t>
  </si>
  <si>
    <t>CB.01101</t>
  </si>
  <si>
    <t>V20221</t>
  </si>
  <si>
    <t>V20247</t>
  </si>
  <si>
    <t>CC.01101</t>
  </si>
  <si>
    <t>V20225</t>
  </si>
  <si>
    <t>M0670</t>
  </si>
  <si>
    <t>BD.23101</t>
  </si>
  <si>
    <t>BD.24101</t>
  </si>
  <si>
    <t>V31564</t>
  </si>
  <si>
    <t>BD.25101</t>
  </si>
  <si>
    <t>M0153</t>
  </si>
  <si>
    <t>BD.26101</t>
  </si>
  <si>
    <t>V30816</t>
  </si>
  <si>
    <t>CA.01101</t>
  </si>
  <si>
    <t>CC.02101</t>
  </si>
  <si>
    <t>V20264</t>
  </si>
  <si>
    <t>CD.01101</t>
  </si>
  <si>
    <t>CE.01102</t>
  </si>
  <si>
    <t>V20262</t>
  </si>
  <si>
    <t>V20096</t>
  </si>
  <si>
    <t>CE.02301</t>
  </si>
  <si>
    <t>CE.03101</t>
  </si>
  <si>
    <t>CF.01202</t>
  </si>
  <si>
    <t>CF.02101</t>
  </si>
  <si>
    <t>CF.03101</t>
  </si>
  <si>
    <t>CG.01101</t>
  </si>
  <si>
    <t>V20218</t>
  </si>
  <si>
    <t>M0675</t>
  </si>
  <si>
    <t>CG.02101</t>
  </si>
  <si>
    <t>CH.01100</t>
  </si>
  <si>
    <t>V20268</t>
  </si>
  <si>
    <t>CK.01101</t>
  </si>
  <si>
    <t>V20296</t>
  </si>
  <si>
    <t>M0698</t>
  </si>
  <si>
    <t>M0687</t>
  </si>
  <si>
    <t>M0688</t>
  </si>
  <si>
    <t>M0689</t>
  </si>
  <si>
    <t>CK.02101</t>
  </si>
  <si>
    <t>CK.03102</t>
  </si>
  <si>
    <t>V20342</t>
  </si>
  <si>
    <t>CK.04101</t>
  </si>
  <si>
    <t>CL.01104</t>
  </si>
  <si>
    <t>M0690</t>
  </si>
  <si>
    <t>V20168</t>
  </si>
  <si>
    <t>CL.02101</t>
  </si>
  <si>
    <t>CL.03101</t>
  </si>
  <si>
    <t>CM.01202</t>
  </si>
  <si>
    <t>M0692</t>
  </si>
  <si>
    <t>M0693</t>
  </si>
  <si>
    <t>V20067</t>
  </si>
  <si>
    <t>V20011</t>
  </si>
  <si>
    <t>CM.02101</t>
  </si>
  <si>
    <t>CM.03101</t>
  </si>
  <si>
    <t>CM.04101</t>
  </si>
  <si>
    <t>CM.05103</t>
  </si>
  <si>
    <t>CK.03101</t>
  </si>
  <si>
    <t>CL.01101</t>
  </si>
  <si>
    <t>CM.01101</t>
  </si>
  <si>
    <t>CM.05101</t>
  </si>
  <si>
    <t>CM.06101</t>
  </si>
  <si>
    <t>CM.07301</t>
  </si>
  <si>
    <t>M0794</t>
  </si>
  <si>
    <t>M0796</t>
  </si>
  <si>
    <t>M0795</t>
  </si>
  <si>
    <t>CN.02101</t>
  </si>
  <si>
    <t>CN.03101</t>
  </si>
  <si>
    <t>CN.04103</t>
  </si>
  <si>
    <t>CN.05105</t>
  </si>
  <si>
    <t>CN.06201</t>
  </si>
  <si>
    <t>26,7</t>
  </si>
  <si>
    <t>CO.01101</t>
  </si>
  <si>
    <t>V20220</t>
  </si>
  <si>
    <t>CM.07101</t>
  </si>
  <si>
    <t>CN.04102</t>
  </si>
  <si>
    <t>CN.05101</t>
  </si>
  <si>
    <t>CN.06101</t>
  </si>
  <si>
    <t>CO.02101</t>
  </si>
  <si>
    <t>V20068</t>
  </si>
  <si>
    <t>V20178</t>
  </si>
  <si>
    <t>M0691</t>
  </si>
  <si>
    <t>M0724</t>
  </si>
  <si>
    <t>M0723</t>
  </si>
  <si>
    <t>M0733</t>
  </si>
  <si>
    <t>M0725</t>
  </si>
  <si>
    <t>M0721</t>
  </si>
  <si>
    <t>M0714</t>
  </si>
  <si>
    <t>M0718</t>
  </si>
  <si>
    <t>M0732</t>
  </si>
  <si>
    <t>M0753</t>
  </si>
  <si>
    <t>0,0013</t>
  </si>
  <si>
    <t>M0717</t>
  </si>
  <si>
    <t>V20080</t>
  </si>
  <si>
    <t>CP.06101</t>
  </si>
  <si>
    <t>V20102</t>
  </si>
  <si>
    <t>M0731</t>
  </si>
  <si>
    <t>M0730</t>
  </si>
  <si>
    <t>M0740</t>
  </si>
  <si>
    <t>M0726</t>
  </si>
  <si>
    <t>M0734</t>
  </si>
  <si>
    <t>M0752</t>
  </si>
  <si>
    <t>CP.07101</t>
  </si>
  <si>
    <t>V20217</t>
  </si>
  <si>
    <t>M0739</t>
  </si>
  <si>
    <t>M0699</t>
  </si>
  <si>
    <t>CP.08101</t>
  </si>
  <si>
    <t>V20005</t>
  </si>
  <si>
    <t>M0713</t>
  </si>
  <si>
    <t>CP.09101</t>
  </si>
  <si>
    <t>M0729</t>
  </si>
  <si>
    <t>CQ.05101</t>
  </si>
  <si>
    <t>V20033</t>
  </si>
  <si>
    <t>M0682</t>
  </si>
  <si>
    <t>CQ.06101</t>
  </si>
  <si>
    <t>V20039</t>
  </si>
  <si>
    <t>M0412</t>
  </si>
  <si>
    <t>CQ.07101</t>
  </si>
  <si>
    <t>V20325</t>
  </si>
  <si>
    <t>CQ.08101</t>
  </si>
  <si>
    <t>V20322</t>
  </si>
  <si>
    <t>CQ.09101</t>
  </si>
  <si>
    <t>V20052</t>
  </si>
  <si>
    <t>CQ.11001</t>
  </si>
  <si>
    <t>M0477</t>
  </si>
  <si>
    <t>CQ.16002</t>
  </si>
  <si>
    <t>V20015</t>
  </si>
  <si>
    <t>CQ.17001</t>
  </si>
  <si>
    <t>V20048</t>
  </si>
  <si>
    <t>M0707</t>
  </si>
  <si>
    <t>CQ.18001</t>
  </si>
  <si>
    <t>V20338</t>
  </si>
  <si>
    <t>M0709</t>
  </si>
  <si>
    <t>CQ.19001</t>
  </si>
  <si>
    <t>M0702</t>
  </si>
  <si>
    <t>CR.01112</t>
  </si>
  <si>
    <t>V20116</t>
  </si>
  <si>
    <t>M0710</t>
  </si>
  <si>
    <t>CR.03202</t>
  </si>
  <si>
    <t>M0685</t>
  </si>
  <si>
    <t>CR.04101</t>
  </si>
  <si>
    <t>M0686</t>
  </si>
  <si>
    <t>CS.01101</t>
  </si>
  <si>
    <t>V20049</t>
  </si>
  <si>
    <t>M0701</t>
  </si>
  <si>
    <t>M0114</t>
  </si>
  <si>
    <t>CS.03102</t>
  </si>
  <si>
    <t>CS.04101</t>
  </si>
  <si>
    <t>CS.05101</t>
  </si>
  <si>
    <t>CP.01101</t>
  </si>
  <si>
    <t>V20027</t>
  </si>
  <si>
    <t>M0754</t>
  </si>
  <si>
    <t>M0719</t>
  </si>
  <si>
    <t>M0767</t>
  </si>
  <si>
    <t>M0766</t>
  </si>
  <si>
    <t>CP.02101</t>
  </si>
  <si>
    <t>M0735</t>
  </si>
  <si>
    <t>CP.04101</t>
  </si>
  <si>
    <t>V20082</t>
  </si>
  <si>
    <t>M0738</t>
  </si>
  <si>
    <t>M0736</t>
  </si>
  <si>
    <t>M0765</t>
  </si>
  <si>
    <t>CP.05101</t>
  </si>
  <si>
    <t>V20292</t>
  </si>
  <si>
    <t>M0715</t>
  </si>
  <si>
    <t>M0742</t>
  </si>
  <si>
    <t>CQ.01101</t>
  </si>
  <si>
    <t>V20227</t>
  </si>
  <si>
    <t>M0678</t>
  </si>
  <si>
    <t>M0676</t>
  </si>
  <si>
    <t>CQ.02101</t>
  </si>
  <si>
    <t>V20051</t>
  </si>
  <si>
    <t>0,00015</t>
  </si>
  <si>
    <t>M0679</t>
  </si>
  <si>
    <t>CQ.03101</t>
  </si>
  <si>
    <t>V20228</t>
  </si>
  <si>
    <t>M0680</t>
  </si>
  <si>
    <t>CQ.04101</t>
  </si>
  <si>
    <t>V20255</t>
  </si>
  <si>
    <t>M0671</t>
  </si>
  <si>
    <t>CQ.12001</t>
  </si>
  <si>
    <t>V20151</t>
  </si>
  <si>
    <t>M0432</t>
  </si>
  <si>
    <t>M0741</t>
  </si>
  <si>
    <t>CQ.13101</t>
  </si>
  <si>
    <t>V20280</t>
  </si>
  <si>
    <t>CQ.14101</t>
  </si>
  <si>
    <t>V20100</t>
  </si>
  <si>
    <t>CQ.15001</t>
  </si>
  <si>
    <t>V20295</t>
  </si>
  <si>
    <t>CQ.16001</t>
  </si>
  <si>
    <t>CR.03101</t>
  </si>
  <si>
    <t>CS.02101</t>
  </si>
  <si>
    <t>CS.06101</t>
  </si>
  <si>
    <t>CS.07101</t>
  </si>
  <si>
    <t>CS.08101</t>
  </si>
  <si>
    <t>CS.09101</t>
  </si>
  <si>
    <t>TT1</t>
  </si>
  <si>
    <t>VLTT1</t>
  </si>
  <si>
    <t>TT2</t>
  </si>
  <si>
    <t>VLTT2</t>
  </si>
  <si>
    <t>TT3</t>
  </si>
  <si>
    <t>VLTT3.1</t>
  </si>
  <si>
    <t>TT4</t>
  </si>
  <si>
    <t>TT5</t>
  </si>
  <si>
    <t>MTT5</t>
  </si>
  <si>
    <t>TT6</t>
  </si>
  <si>
    <t>TT7</t>
  </si>
  <si>
    <t>VLTT7</t>
  </si>
  <si>
    <t>TT8</t>
  </si>
  <si>
    <t>VLTT8</t>
  </si>
  <si>
    <t>TT9</t>
  </si>
  <si>
    <t>MH</t>
  </si>
  <si>
    <t>LM_TB</t>
  </si>
  <si>
    <t>M0001</t>
  </si>
  <si>
    <t>M0002</t>
  </si>
  <si>
    <t>M0005</t>
  </si>
  <si>
    <t>M0007</t>
  </si>
  <si>
    <t>M0008</t>
  </si>
  <si>
    <t>M0011</t>
  </si>
  <si>
    <t>M0013</t>
  </si>
  <si>
    <t>M0014</t>
  </si>
  <si>
    <t>M0016</t>
  </si>
  <si>
    <t>M0017</t>
  </si>
  <si>
    <t>M0018</t>
  </si>
  <si>
    <t>M0019</t>
  </si>
  <si>
    <t>M0020</t>
  </si>
  <si>
    <t>M0021</t>
  </si>
  <si>
    <t>M0022</t>
  </si>
  <si>
    <t>M0023</t>
  </si>
  <si>
    <t>M0024</t>
  </si>
  <si>
    <t>M0025</t>
  </si>
  <si>
    <t>M0026</t>
  </si>
  <si>
    <t>M0027</t>
  </si>
  <si>
    <t>M0028</t>
  </si>
  <si>
    <t>M0039</t>
  </si>
  <si>
    <t>M0041</t>
  </si>
  <si>
    <t>M0042</t>
  </si>
  <si>
    <t>M0043</t>
  </si>
  <si>
    <t>M0044</t>
  </si>
  <si>
    <t>(Gầu đào  thi công móng cọc, tường barrette)</t>
  </si>
  <si>
    <t>M0045</t>
  </si>
  <si>
    <t>Máy xúc chuyên dùng trong hầm  0,90 m3</t>
  </si>
  <si>
    <t>M0046</t>
  </si>
  <si>
    <t>Máy xúc chuyên dùng trong hầm  1,65 m3</t>
  </si>
  <si>
    <t>M0047</t>
  </si>
  <si>
    <t>Máy xúc chuyên dùng trong hầm  4,20 m3</t>
  </si>
  <si>
    <t>Máy cào đá, động cơ địên, năng suất 2 m3/ph</t>
  </si>
  <si>
    <t>M0049</t>
  </si>
  <si>
    <t>Máy cào đá, động cơ địên, năng suất 3 m3/ph</t>
  </si>
  <si>
    <t>M0050</t>
  </si>
  <si>
    <t>Máy cào đá, động cơ địên, năng suất 8 m3/ph</t>
  </si>
  <si>
    <t>M0051</t>
  </si>
  <si>
    <t>M0052</t>
  </si>
  <si>
    <t>M0056</t>
  </si>
  <si>
    <t>M0058</t>
  </si>
  <si>
    <t>M0061</t>
  </si>
  <si>
    <t>M0063</t>
  </si>
  <si>
    <t>Thùng cạp + đầu kéo bánh xích, dung tích thùng 2,50 m3</t>
  </si>
  <si>
    <t>M0064</t>
  </si>
  <si>
    <t>Thùng cạp + đầu kéo bánh xích, dung tích thùng 2,75 m3</t>
  </si>
  <si>
    <t>M0065</t>
  </si>
  <si>
    <t>Thùng cạp + đầu kéo bánh xích, dung tích thùng 3,00 m3</t>
  </si>
  <si>
    <t>M0066</t>
  </si>
  <si>
    <t>Thùng cạp + đầu kéo bánh xích, dung tích thùng 4,50 m3</t>
  </si>
  <si>
    <t>M0067</t>
  </si>
  <si>
    <t>Thùng cạp + đầu kéo bánh xích, dung tích thùng 5,00 m3</t>
  </si>
  <si>
    <t>M0068</t>
  </si>
  <si>
    <t>Thùng cạp + đầu kéo bánh xích, dung tích thùng  8,0 m3</t>
  </si>
  <si>
    <t>M0069</t>
  </si>
  <si>
    <t>Thùng cạp + đầu kéo bánh xích, dung tích thùng  9,0 m3</t>
  </si>
  <si>
    <t>Máy cạp tự hành, dung tích thùng 9,0m3</t>
  </si>
  <si>
    <t>M0071</t>
  </si>
  <si>
    <t>Máy cạp tự hành, dung tích thùng 10,0m3</t>
  </si>
  <si>
    <t>Máy cạp tự hành, dung tích thùng 16,0m3</t>
  </si>
  <si>
    <t>M0073</t>
  </si>
  <si>
    <t>Máy cạp tự hành, dung tích thùng 25,0m3</t>
  </si>
  <si>
    <t>M0074</t>
  </si>
  <si>
    <t>M0075</t>
  </si>
  <si>
    <t>M0077</t>
  </si>
  <si>
    <t>M0078</t>
  </si>
  <si>
    <t>M0079</t>
  </si>
  <si>
    <t>Máy đầm cóc, trọng lượng 50 kg</t>
  </si>
  <si>
    <t>M0081</t>
  </si>
  <si>
    <t>M0082</t>
  </si>
  <si>
    <t>M0083</t>
  </si>
  <si>
    <t>M0084</t>
  </si>
  <si>
    <t>M0085</t>
  </si>
  <si>
    <t>M0086</t>
  </si>
  <si>
    <t>M0087</t>
  </si>
  <si>
    <t>M0090</t>
  </si>
  <si>
    <t>M0092</t>
  </si>
  <si>
    <t>M0093</t>
  </si>
  <si>
    <t>M0096</t>
  </si>
  <si>
    <t>M0097</t>
  </si>
  <si>
    <t>M0100</t>
  </si>
  <si>
    <t>M0101</t>
  </si>
  <si>
    <t>M0102</t>
  </si>
  <si>
    <t>M0103</t>
  </si>
  <si>
    <t>M0105</t>
  </si>
  <si>
    <t>M0107</t>
  </si>
  <si>
    <t>M0109</t>
  </si>
  <si>
    <t>M0111</t>
  </si>
  <si>
    <t>M0112</t>
  </si>
  <si>
    <t>M0113</t>
  </si>
  <si>
    <t>M0116</t>
  </si>
  <si>
    <t>M0117</t>
  </si>
  <si>
    <t>M0118</t>
  </si>
  <si>
    <t>M0120</t>
  </si>
  <si>
    <t>M0122</t>
  </si>
  <si>
    <t>M0126</t>
  </si>
  <si>
    <t>M0128</t>
  </si>
  <si>
    <t>M0129</t>
  </si>
  <si>
    <t>M0130</t>
  </si>
  <si>
    <t>M0131</t>
  </si>
  <si>
    <t>M0132</t>
  </si>
  <si>
    <t>M0133</t>
  </si>
  <si>
    <t>M0134</t>
  </si>
  <si>
    <t>M0135</t>
  </si>
  <si>
    <t>M0136</t>
  </si>
  <si>
    <t>M0137</t>
  </si>
  <si>
    <t>M0138</t>
  </si>
  <si>
    <t>M0139</t>
  </si>
  <si>
    <t>M0140</t>
  </si>
  <si>
    <t>Ô tô chuyển trộn bê tông, dung tích thùng trộn 5,0 m3</t>
  </si>
  <si>
    <t>Ô tô chuyển trộn bê tông, dung tích thùng trộn 6,0 m3</t>
  </si>
  <si>
    <t>M0142</t>
  </si>
  <si>
    <t>Ô tô chuyển trộn bê tông, dung tích thùng trộn 8,0 m3</t>
  </si>
  <si>
    <t>M0143</t>
  </si>
  <si>
    <t>Ô tô chuyển trộn bê tông, dung tích thùng trộn 8,7 m3</t>
  </si>
  <si>
    <t>Ô tô chuyển trộn bê tông, dung tích thùng trộn 10,7 m3</t>
  </si>
  <si>
    <t>Ô tô chuyển trộn bê tông, dung tích thùng trộn 14,5 m3</t>
  </si>
  <si>
    <t>M0146</t>
  </si>
  <si>
    <t>M0148</t>
  </si>
  <si>
    <t>M0149</t>
  </si>
  <si>
    <t>M0151</t>
  </si>
  <si>
    <t>M0152</t>
  </si>
  <si>
    <t>Xe bồn hút bùn, hút mùn khoan, dung tích 2m3 (3T)</t>
  </si>
  <si>
    <t>Xe bồn hút bùn, hút mùn khoan, dung tích 3m3 (4.5T)</t>
  </si>
  <si>
    <t>M0154</t>
  </si>
  <si>
    <t>Xe ép rác, trọng tải 1,2 T</t>
  </si>
  <si>
    <t>M0155</t>
  </si>
  <si>
    <t>Xe ép rác, trọng tải 1,5 T</t>
  </si>
  <si>
    <t>M0156</t>
  </si>
  <si>
    <t>Xe ép rác, trọng tải 2,0 T</t>
  </si>
  <si>
    <t>M0157</t>
  </si>
  <si>
    <t>Xe ép rác, trọng tải 4,0 T</t>
  </si>
  <si>
    <t>M0158</t>
  </si>
  <si>
    <t>Xe ép rác, trọng tải 7,0 T</t>
  </si>
  <si>
    <t>M0159</t>
  </si>
  <si>
    <t>Xe ép rác, trọng tải 10 T</t>
  </si>
  <si>
    <t>M0160</t>
  </si>
  <si>
    <t>Xe ép kín (xe hôklip)</t>
  </si>
  <si>
    <t>M0161</t>
  </si>
  <si>
    <t>Xe tải thùng kín, tải trọng 1,5 T</t>
  </si>
  <si>
    <t>M0162</t>
  </si>
  <si>
    <t>Xe nhặt rác</t>
  </si>
  <si>
    <t>M0163</t>
  </si>
  <si>
    <t>Ô tô tải có gắn cần trục, trọng tải xe 5,0 T</t>
  </si>
  <si>
    <t>M0164</t>
  </si>
  <si>
    <t>Ô tô tải có gắn cần trục, trọng tải xe 6,0 T</t>
  </si>
  <si>
    <t>M0165</t>
  </si>
  <si>
    <t>Ô tô tải có gắn cần trục, trọng tải xe 7,0 T</t>
  </si>
  <si>
    <t>M0166</t>
  </si>
  <si>
    <t>Ô tô tải có gắn cần trục, trọng tải xe 10,0 T</t>
  </si>
  <si>
    <t>M0167</t>
  </si>
  <si>
    <t>Ô tô bán tải, trọng tải 1,5 T</t>
  </si>
  <si>
    <t>M0168</t>
  </si>
  <si>
    <t>Rơ mooc, trọng tải 2 T</t>
  </si>
  <si>
    <t>M0169</t>
  </si>
  <si>
    <t>Rơ mooc, trọng tải 4 T</t>
  </si>
  <si>
    <t>M0170</t>
  </si>
  <si>
    <t>Rơ mooc, trọng tải 7,5 T</t>
  </si>
  <si>
    <t>M0171</t>
  </si>
  <si>
    <t>Rơ mooc, trọng tải 14 T</t>
  </si>
  <si>
    <t>M0172</t>
  </si>
  <si>
    <t>Rơ mooc, trọng tải 15 T</t>
  </si>
  <si>
    <t>M0173</t>
  </si>
  <si>
    <t>Rơ mooc, trọng tải 21 T</t>
  </si>
  <si>
    <t>M0174</t>
  </si>
  <si>
    <t>Rơ mooc, trọng tải 40 T</t>
  </si>
  <si>
    <t>M0175</t>
  </si>
  <si>
    <t>Rơ mooc, trọng tải 100 T</t>
  </si>
  <si>
    <t>M0176</t>
  </si>
  <si>
    <t>Rơ mooc, trọng tải 125 T</t>
  </si>
  <si>
    <t>M0177</t>
  </si>
  <si>
    <t>Máy kéo bánh xích, công suất 45,0 CV</t>
  </si>
  <si>
    <t>M0178</t>
  </si>
  <si>
    <t>Máy kéo bánh xích, công suất 54,0 CV</t>
  </si>
  <si>
    <t>M0179</t>
  </si>
  <si>
    <t>Máy kéo bánh xích, công suất 75,0 CV</t>
  </si>
  <si>
    <t>M0180</t>
  </si>
  <si>
    <t>Máy kéo bánh xích, công suất 110,0 CV</t>
  </si>
  <si>
    <t>M0181</t>
  </si>
  <si>
    <t>Máy kéo bánh xích, công suất 130,0 CV</t>
  </si>
  <si>
    <t>M0182</t>
  </si>
  <si>
    <t>Máy kéo bánh hơi, công suất 28,0 CV</t>
  </si>
  <si>
    <t>M0183</t>
  </si>
  <si>
    <t>Máy kéo bánh hơi, công suất 40,0 CV</t>
  </si>
  <si>
    <t>M0184</t>
  </si>
  <si>
    <t>Máy kéo bánh hơi, công suất 50,0 CV</t>
  </si>
  <si>
    <t>M0185</t>
  </si>
  <si>
    <t>Máy kéo bánh hơi, công suất 60,0 CV</t>
  </si>
  <si>
    <t>M0186</t>
  </si>
  <si>
    <t>Máy kéo bánh hơi, công suất 80,0 CV</t>
  </si>
  <si>
    <t>M0187</t>
  </si>
  <si>
    <t>Máy kéo bánh hơi, công suất 165,0 CV</t>
  </si>
  <si>
    <t>M0188</t>
  </si>
  <si>
    <t>Máy kéo bánh hơi, công suất 215,0 CV</t>
  </si>
  <si>
    <t>Tời ma tơ -13 kW</t>
  </si>
  <si>
    <t>Xe goòng 3T</t>
  </si>
  <si>
    <t>Xe goòng 5,8 m3</t>
  </si>
  <si>
    <t>M0192</t>
  </si>
  <si>
    <t>Đầu kéo 30T</t>
  </si>
  <si>
    <t>Quang lật 360 T/h</t>
  </si>
  <si>
    <t>M0194</t>
  </si>
  <si>
    <t>Cần trục máy kéo, sức nâng 5 T</t>
  </si>
  <si>
    <t>M0195</t>
  </si>
  <si>
    <t>Cần trục máy kéo, sức nâng 6 T</t>
  </si>
  <si>
    <t>Cần trục máy kéo, sức nâng 7 T</t>
  </si>
  <si>
    <t>M0197</t>
  </si>
  <si>
    <t>Cần trục máy kéo, sức nâng 8 T</t>
  </si>
  <si>
    <t>M05198</t>
  </si>
  <si>
    <t>Máy đặt đường ống, cần trục to -12-24- sức nâng 15T</t>
  </si>
  <si>
    <t>M05199</t>
  </si>
  <si>
    <t>Máy đặt đường ống, tời kéo ống trên xe xích- sức kéo 7,5T</t>
  </si>
  <si>
    <t>M0200</t>
  </si>
  <si>
    <t>M0201</t>
  </si>
  <si>
    <t>M0202</t>
  </si>
  <si>
    <t>M0206</t>
  </si>
  <si>
    <t>M0207</t>
  </si>
  <si>
    <t>M0208</t>
  </si>
  <si>
    <t>M0209</t>
  </si>
  <si>
    <t>M0210</t>
  </si>
  <si>
    <t>M0211</t>
  </si>
  <si>
    <t>M0212</t>
  </si>
  <si>
    <t>M0213</t>
  </si>
  <si>
    <t>M0216</t>
  </si>
  <si>
    <t>M0217</t>
  </si>
  <si>
    <t>M0218</t>
  </si>
  <si>
    <t>M0219</t>
  </si>
  <si>
    <t>M0220</t>
  </si>
  <si>
    <t>M0221</t>
  </si>
  <si>
    <t>M0222</t>
  </si>
  <si>
    <t>M0223</t>
  </si>
  <si>
    <t>M0228</t>
  </si>
  <si>
    <t>M0231</t>
  </si>
  <si>
    <t>M0232</t>
  </si>
  <si>
    <t>M0233</t>
  </si>
  <si>
    <t>M0234</t>
  </si>
  <si>
    <t>M0235</t>
  </si>
  <si>
    <t>M0236</t>
  </si>
  <si>
    <t>M0237</t>
  </si>
  <si>
    <t>M0238</t>
  </si>
  <si>
    <t>M0239</t>
  </si>
  <si>
    <t>M0240</t>
  </si>
  <si>
    <t>M0241</t>
  </si>
  <si>
    <t>M0247</t>
  </si>
  <si>
    <t>Cẩu tháp MD 999</t>
  </si>
  <si>
    <t>Cần cẩu nổi, kéo theo, sức nâng 30 T</t>
  </si>
  <si>
    <t>Cần cẩu nổi tự hành, sức nâng 100 T</t>
  </si>
  <si>
    <t>Cẩu lao dầm, cẩu K33 -60</t>
  </si>
  <si>
    <t>M0251</t>
  </si>
  <si>
    <t>Cổng trục, sức nâng 10 T</t>
  </si>
  <si>
    <t>M0252</t>
  </si>
  <si>
    <t>Cổng trục, sức nâng 25 T</t>
  </si>
  <si>
    <t>Cổng trục, sức nâng 30 T</t>
  </si>
  <si>
    <t>M0254</t>
  </si>
  <si>
    <t>Cổng trục, sức nâng 60 T</t>
  </si>
  <si>
    <t>M0255</t>
  </si>
  <si>
    <t>Cầu trục, sức nâng 30 T</t>
  </si>
  <si>
    <t>M0256</t>
  </si>
  <si>
    <t>Cầu trục, sức nâng 40 T</t>
  </si>
  <si>
    <t>M0257</t>
  </si>
  <si>
    <t>Cầu trục, sức nâng 50 T</t>
  </si>
  <si>
    <t>M0258</t>
  </si>
  <si>
    <t>Cầu trục, sức nâng 60 T</t>
  </si>
  <si>
    <t>M0259</t>
  </si>
  <si>
    <t>Cầu trục, sức nâng 90 T</t>
  </si>
  <si>
    <t>M0260</t>
  </si>
  <si>
    <t>Cầu trục, sức nâng 110 T</t>
  </si>
  <si>
    <t>M0261</t>
  </si>
  <si>
    <t>Cầu trục, sức nâng 125 T</t>
  </si>
  <si>
    <t>M0262</t>
  </si>
  <si>
    <t>Cầu trục, sức nâng 180 T</t>
  </si>
  <si>
    <t>M0263</t>
  </si>
  <si>
    <t>Cầu trục, sức nâng 250 T</t>
  </si>
  <si>
    <t>M0264</t>
  </si>
  <si>
    <t>M0265</t>
  </si>
  <si>
    <t>M0267</t>
  </si>
  <si>
    <t>M0270</t>
  </si>
  <si>
    <t>Cần trục thiếu nhi, sức nâng  0,5t</t>
  </si>
  <si>
    <t>M0271</t>
  </si>
  <si>
    <t>M0272</t>
  </si>
  <si>
    <t>M0274</t>
  </si>
  <si>
    <t>M0275</t>
  </si>
  <si>
    <t>M0278</t>
  </si>
  <si>
    <t>Bộ thiết bị trượt (60 kích loại 6t)</t>
  </si>
  <si>
    <t>M0283</t>
  </si>
  <si>
    <t>Bộ kích lắp dựng tháo dỡ ván khuôn 50- 60T</t>
  </si>
  <si>
    <t>Kích nâng 10 T</t>
  </si>
  <si>
    <t>Kích nâng 30 T</t>
  </si>
  <si>
    <t>Kích nâng 50 T</t>
  </si>
  <si>
    <t>M0287</t>
  </si>
  <si>
    <t>Kích nâng 100 T</t>
  </si>
  <si>
    <t>Kích nâng 200 T</t>
  </si>
  <si>
    <t>Kích nâng 250 T</t>
  </si>
  <si>
    <t>Kích nâng 500 T</t>
  </si>
  <si>
    <t>M0291</t>
  </si>
  <si>
    <t>Kích thông tâm YCW -150T</t>
  </si>
  <si>
    <t>M0292</t>
  </si>
  <si>
    <t>Kích thông tâm YCW -250T</t>
  </si>
  <si>
    <t>M0293</t>
  </si>
  <si>
    <t>Kích đẩy liên tục tự động ZLD -60 (60T,6C)</t>
  </si>
  <si>
    <t>M0294</t>
  </si>
  <si>
    <t>Kích thông tâm YCW 500T</t>
  </si>
  <si>
    <t>M0295</t>
  </si>
  <si>
    <t>Kích sợi đơn YDC, 500T</t>
  </si>
  <si>
    <t>M0308</t>
  </si>
  <si>
    <t>Xe nâng hàng, sức nâng 5,0 T</t>
  </si>
  <si>
    <t>Máy nâng phục vụ thi công hầm, công suất  135 CV</t>
  </si>
  <si>
    <t>M0310</t>
  </si>
  <si>
    <t>M0311</t>
  </si>
  <si>
    <t>M0312</t>
  </si>
  <si>
    <t>M0314</t>
  </si>
  <si>
    <t>M0317</t>
  </si>
  <si>
    <t>M0318</t>
  </si>
  <si>
    <t>M0332</t>
  </si>
  <si>
    <t>Trạm trộn bê tông, năng suất 75m3/h</t>
  </si>
  <si>
    <t>Trạm trộn bê tông, năng suất 125m3/h</t>
  </si>
  <si>
    <t>Trạm trộn bê tông, năng suất 160m3/h</t>
  </si>
  <si>
    <t>Máy bơm vữa, năng suất 2,0m3/h</t>
  </si>
  <si>
    <t>Máy bơm vữa, năng suất 4,0m3/h</t>
  </si>
  <si>
    <t>Máy bơm vữa, năng suất 6,0m3/h</t>
  </si>
  <si>
    <t>Máy bơm vữa, năng suất 9,0m3/h</t>
  </si>
  <si>
    <t>M0339</t>
  </si>
  <si>
    <t>Máy bơm vữa, năng suất 32-50m3/h</t>
  </si>
  <si>
    <t>Xe bơm bê tông tự hành, năng suất 50m3/h</t>
  </si>
  <si>
    <t>M0341</t>
  </si>
  <si>
    <t>Xe bơm bê tông tự hành, năng suất 60m3/h</t>
  </si>
  <si>
    <t>Máy bơm bê tông, năng suất 40-60 m3/h</t>
  </si>
  <si>
    <t>Máy khoan ngang UDB -4</t>
  </si>
  <si>
    <t>Máy khoan tạo lỗ neo gia cố mái ta luy máy khoan YG 60</t>
  </si>
  <si>
    <t>M0565</t>
  </si>
  <si>
    <t>Búa diezel tự hành, bánh xích, trọng lượng đầu búa 0,6 T</t>
  </si>
  <si>
    <t>M0566</t>
  </si>
  <si>
    <t>Búa diezel tự hành, bánh xích, trọng lượng đầu búa 1,2 T</t>
  </si>
  <si>
    <t>M0567</t>
  </si>
  <si>
    <t>Búa diezel tự hành, bánh xích, trọng lượng đầu búa 1,8T</t>
  </si>
  <si>
    <t>M0568</t>
  </si>
  <si>
    <t>Búa diezel tự hành, bánh xích, trọng lượng đầu búa 3,5 T</t>
  </si>
  <si>
    <t>M0569</t>
  </si>
  <si>
    <t>Búa diezel tự hành, bánh xích, trọng lượng đầu búa 4,5 T</t>
  </si>
  <si>
    <t>Búa diezel chạy trên ray -trọng lượng đầu búa 1,2 T</t>
  </si>
  <si>
    <t>Búa diezel chạy trên ray -trọng lượng đầu búa 1,8 T</t>
  </si>
  <si>
    <t>M0572</t>
  </si>
  <si>
    <t>Búa diezel chạy trên ray -trọng lượng đầu búa 2,2 T</t>
  </si>
  <si>
    <t>Búa diezel chạy trên ray -trọng lượng đầu búa 2,5 T</t>
  </si>
  <si>
    <t>M0296</t>
  </si>
  <si>
    <t>Kích thông tâm RRH, 100T</t>
  </si>
  <si>
    <t>M0297</t>
  </si>
  <si>
    <t>Kích thông tâm RRH, 300T</t>
  </si>
  <si>
    <t>Máy luồn cáp, công suất  15kW</t>
  </si>
  <si>
    <t>M0299</t>
  </si>
  <si>
    <t>Máy cắt cáp, công suất 1,0kW</t>
  </si>
  <si>
    <t>Máy cắt cáp, công suất 10,0 kW</t>
  </si>
  <si>
    <t>M0301</t>
  </si>
  <si>
    <t>Trạm bơm dầu áp lực, công suất 40 MPA(HCP-400)</t>
  </si>
  <si>
    <t>M0302</t>
  </si>
  <si>
    <t>Trạm bơm dầu áp lực, công suất 50MPA (ZB4-500)</t>
  </si>
  <si>
    <t>M0303</t>
  </si>
  <si>
    <t>Xe nâng hàng, sức nâng 1,5 T</t>
  </si>
  <si>
    <t>M0304</t>
  </si>
  <si>
    <t>Xe nâng hàng, sức nâng 2,0 T</t>
  </si>
  <si>
    <t>M0305</t>
  </si>
  <si>
    <t>Xe nâng hàng, sức nâng 3,0 T</t>
  </si>
  <si>
    <t>M0306</t>
  </si>
  <si>
    <t>Xe nâng hàng, sức nâng 3,2 T</t>
  </si>
  <si>
    <t>M0307</t>
  </si>
  <si>
    <t>Xe nâng hàng, sức nâng 3,5 T</t>
  </si>
  <si>
    <t>M0320</t>
  </si>
  <si>
    <t>Máy trộn vữa, dung tích 110 lít</t>
  </si>
  <si>
    <t>M0321</t>
  </si>
  <si>
    <t>Máy trộn vữa, dung tích 150 lít</t>
  </si>
  <si>
    <t>M0322</t>
  </si>
  <si>
    <t>Máy trộn vữa, dung tích 200 lít</t>
  </si>
  <si>
    <t>M0323</t>
  </si>
  <si>
    <t>Máy trộn vữa, dung tích 250 lít</t>
  </si>
  <si>
    <t>M0324</t>
  </si>
  <si>
    <t>Máy trộn vữa, dung tích 325lít</t>
  </si>
  <si>
    <t>Trạm trộn bê tông, năng suất 16m3/h</t>
  </si>
  <si>
    <t>M0326</t>
  </si>
  <si>
    <t>Trạm trộn bê tông, năng suất 20m3/h</t>
  </si>
  <si>
    <t>M0327</t>
  </si>
  <si>
    <t>Trạm trộn bê tông, năng suất 22m3/h</t>
  </si>
  <si>
    <t>Trạm trộn bê tông, năng suất 25m3/h</t>
  </si>
  <si>
    <t>Trạm trộn bê tông, năng suất 30m3/h</t>
  </si>
  <si>
    <t>Trạm trộn bê tông, năng suất 50m3/h</t>
  </si>
  <si>
    <t>M0331</t>
  </si>
  <si>
    <t>Trạm trộn bê tông, năng suất 60m3/h</t>
  </si>
  <si>
    <t>M0343</t>
  </si>
  <si>
    <t>Máy bơm bê tông, năng suất 60-90 m3/h</t>
  </si>
  <si>
    <t>Máy phun vẩy, năng suất 9m3/h (AL 285)</t>
  </si>
  <si>
    <t>Máy phun vẩy, năng suất 16m3/h (AL 500)</t>
  </si>
  <si>
    <t>Máy trải bê tông SP 500</t>
  </si>
  <si>
    <t>M0347</t>
  </si>
  <si>
    <t>M0348</t>
  </si>
  <si>
    <t>M0349</t>
  </si>
  <si>
    <t>M0351</t>
  </si>
  <si>
    <t>M0352</t>
  </si>
  <si>
    <t>M0353</t>
  </si>
  <si>
    <t>M0354</t>
  </si>
  <si>
    <t>M0356</t>
  </si>
  <si>
    <t>M0358</t>
  </si>
  <si>
    <t>Máy sàng rửa đá, sỏi, năng suất 11,0m3/h</t>
  </si>
  <si>
    <t>M0359</t>
  </si>
  <si>
    <t>Máy sàng rửa đá, sỏi, năng suất 35,0m3/h</t>
  </si>
  <si>
    <t>M0360</t>
  </si>
  <si>
    <t>Máy sàng rửa đá, sỏi, năng suất 45,0m3/h</t>
  </si>
  <si>
    <t>M0361</t>
  </si>
  <si>
    <t>Máy nghiền sàng đá di động, năng suất 6,0m3/h</t>
  </si>
  <si>
    <t>M0362</t>
  </si>
  <si>
    <t>Máy nghiền sàng đá di động, năng suất 20,0m3/h</t>
  </si>
  <si>
    <t>M0363</t>
  </si>
  <si>
    <t>Máy nghiền sàng đá di động, năng suất 25,0m3/h</t>
  </si>
  <si>
    <t>M0364</t>
  </si>
  <si>
    <t>Máy nghiền sàng đá di động, năng suất 125,0m3/h</t>
  </si>
  <si>
    <t>M0365</t>
  </si>
  <si>
    <t>Máy nghiền đá thô, năng suất 14,0m3/h</t>
  </si>
  <si>
    <t>M0366</t>
  </si>
  <si>
    <t>Máy nghiền đá thô, năng suất 200,0m3/h</t>
  </si>
  <si>
    <t>Trạm trộn bê tông át phan, năng suất (chưa tính chi phí nhiên liệu) 25 t/h (140t/ca)</t>
  </si>
  <si>
    <t>M0368</t>
  </si>
  <si>
    <t>Trạm trộn bê tông át phan, năng suất (chưa tính chi phí nhiên liệu) 30 t/h (156t/ca)</t>
  </si>
  <si>
    <t>M0369</t>
  </si>
  <si>
    <t>Trạm trộn bê tông át phan, năng suất (chưa tính chi phí nhiên liệu) 40 t/h (176t/ca)</t>
  </si>
  <si>
    <t>M0370</t>
  </si>
  <si>
    <t>Trạm trộn bê tông át phan, năng suất (chưa tính chi phí nhiên liệu) 50 t/h (200t/ca)</t>
  </si>
  <si>
    <t>Trạm trộn bê tông át phan, năng suất (chưa tính chi phí nhiên liệu) 60t/h (216t/ca)</t>
  </si>
  <si>
    <t>Trạm trộn bê tông át phan, năng suất (chưa tính chi phí nhiên liệu) 80 t/h (256t/ca)</t>
  </si>
  <si>
    <t>Máy phun nhựa đường, công suất 190 cv</t>
  </si>
  <si>
    <t>M0374</t>
  </si>
  <si>
    <t>Máy rải hỗn hợp bê tông nhựa , năng suất 65 t/h</t>
  </si>
  <si>
    <t>Máy rải hỗn hợp bê tông nhựa , năng suất 20 t/h</t>
  </si>
  <si>
    <t>M0375</t>
  </si>
  <si>
    <t>Máy rải hỗn hợp bê tông nhựa , năng suất 100 t/h</t>
  </si>
  <si>
    <t>Máy rải hỗn hợp bê tông nhựa , năng suất 130 cv đến 140 cv</t>
  </si>
  <si>
    <t>Máy rải cấp phối đá dăm, năng suất  60m3/h</t>
  </si>
  <si>
    <t>Máy cào bóc đường Wirtgen -1000c</t>
  </si>
  <si>
    <t>Thiết bị kẻ sơn YHK 10A</t>
  </si>
  <si>
    <t>Lò nấu sơn YHK 3A</t>
  </si>
  <si>
    <t>Nồi nấu nhựa</t>
  </si>
  <si>
    <t>Thiết bị đun rót Mátic</t>
  </si>
  <si>
    <t>Máy bơm b48 (0,46 kW)</t>
  </si>
  <si>
    <t>M0384</t>
  </si>
  <si>
    <t>Máy bơm nước, động cơ điện. công suất 0,55 kW</t>
  </si>
  <si>
    <t>M0385</t>
  </si>
  <si>
    <t>Máy bơm nước, động cơ điện. công suất 0,75 kW</t>
  </si>
  <si>
    <t>Máy bơm nước, động cơ điện. công suất 1,1 kW</t>
  </si>
  <si>
    <t>M0387</t>
  </si>
  <si>
    <t>Máy bơm nước, động cơ điện. công suất 1,5 kW</t>
  </si>
  <si>
    <t>Máy bơm nước, động cơ điện. công suất 2 kW</t>
  </si>
  <si>
    <t>M0389</t>
  </si>
  <si>
    <t>Máy bơm nước, động cơ điện. công suất 2,8 kW</t>
  </si>
  <si>
    <t>M0390</t>
  </si>
  <si>
    <t>Máy bơm nước, động cơ điện. công suất 4,0 kW</t>
  </si>
  <si>
    <t>M0391</t>
  </si>
  <si>
    <t>Máy bơm nước, động cơ điện. công suất 4,5 kW</t>
  </si>
  <si>
    <t>M0392</t>
  </si>
  <si>
    <t>Máy bơm nước, động cơ điện. công suất 7 kW</t>
  </si>
  <si>
    <t>M0393</t>
  </si>
  <si>
    <t>Máy bơm nước, động cơ điện. công suất 10 kW</t>
  </si>
  <si>
    <t>Máy bơm nước, động cơ điện. công suất 14 kW</t>
  </si>
  <si>
    <t>Máy bơm nước, động cơ điện. công suất 20 kW</t>
  </si>
  <si>
    <t>M0396</t>
  </si>
  <si>
    <t>Máy bơm nước, động cơ điện. công suất 22kW</t>
  </si>
  <si>
    <t>M0397</t>
  </si>
  <si>
    <t>Máy bơm nước, động cơ điện. công suất 28kW</t>
  </si>
  <si>
    <t>M0398</t>
  </si>
  <si>
    <t>Máy bơm nước, động cơ điện. công suất 30 kW</t>
  </si>
  <si>
    <t>M0399</t>
  </si>
  <si>
    <t>Máy bơm nước, động cơ điện. công suất 40 kW</t>
  </si>
  <si>
    <t>M0400</t>
  </si>
  <si>
    <t>Máy bơm nước, động cơ điện. công suất 50 kW</t>
  </si>
  <si>
    <t>M0401</t>
  </si>
  <si>
    <t>Máy bơm nước, động cơ điện. công suất 55 kW</t>
  </si>
  <si>
    <t>Máy bơm nước, động cơ điện. công suất 75 kW</t>
  </si>
  <si>
    <t>M0403</t>
  </si>
  <si>
    <t>Máy bơm xói 4mc (75kW)</t>
  </si>
  <si>
    <t>M0404</t>
  </si>
  <si>
    <t>Máy bơm nước, động cơ điện. công suất 113 kW</t>
  </si>
  <si>
    <t>Máy bơm nước,động cơ điezen, công suất 5,0 CV</t>
  </si>
  <si>
    <t>M0406</t>
  </si>
  <si>
    <t>Máy bơm nước,động cơ điezen, công suất 5,5 CV</t>
  </si>
  <si>
    <t>M0407</t>
  </si>
  <si>
    <t>Máy bơm nước,động cơ điezen, công suất 7,0 CV</t>
  </si>
  <si>
    <t>M0408</t>
  </si>
  <si>
    <t>Máy bơm nước,động cơ điezen, công suất 7,5 CV</t>
  </si>
  <si>
    <t>M0409</t>
  </si>
  <si>
    <t>Máy bơm nước,động cơ điezen, công suất 10,0 CV</t>
  </si>
  <si>
    <t>M0410</t>
  </si>
  <si>
    <t>Máy bơm nước,động cơ điezen, công suất 15 CV</t>
  </si>
  <si>
    <t>Máy bơm nước,động cơ điezen, công suất 20 CV</t>
  </si>
  <si>
    <t>Máy bơm 250/50, b100 (25 cv)</t>
  </si>
  <si>
    <t>M0413</t>
  </si>
  <si>
    <t>Máy bơm nước,động cơ điezen, công suất 37 CV</t>
  </si>
  <si>
    <t>M0414</t>
  </si>
  <si>
    <t>Máy bơm nước,động cơ điezen, công suất 45 CV</t>
  </si>
  <si>
    <t>M0415</t>
  </si>
  <si>
    <t>Máy bơm nước,động cơ điezen, công suất 75 CV</t>
  </si>
  <si>
    <t>M0416</t>
  </si>
  <si>
    <t>Máy bơm nước,động cơ điezen, công suất 100 CV</t>
  </si>
  <si>
    <t>M0417</t>
  </si>
  <si>
    <t>Máy bơm nước,động cơ điezen, công suất 150 CV</t>
  </si>
  <si>
    <t>M0418</t>
  </si>
  <si>
    <t>Máy bơm áp lực xói nước đầu cọc (300 cv)</t>
  </si>
  <si>
    <t>M0419</t>
  </si>
  <si>
    <t>Máy bơm nước, động cơ xăng, công suất  3,0CV</t>
  </si>
  <si>
    <t>M0420</t>
  </si>
  <si>
    <t>Máy bơm nước, động cơ xăng, công suất  4,0 CV</t>
  </si>
  <si>
    <t>M0421</t>
  </si>
  <si>
    <t>Máy bơm nước, động cơ xăng, công suất  6,0 CV</t>
  </si>
  <si>
    <t>M0422</t>
  </si>
  <si>
    <t>Máy bơm nước, động cơ xăng, công suất  7,0 CV</t>
  </si>
  <si>
    <t>M0423</t>
  </si>
  <si>
    <t>Máy bơm nước, động cơ xăng, công suất  8,0 CV</t>
  </si>
  <si>
    <t>M0424</t>
  </si>
  <si>
    <t>Máy bơm rửa đường ống, công suất 300 CV(AH151)</t>
  </si>
  <si>
    <t>M0425</t>
  </si>
  <si>
    <t>Máy bơm rửa đường ống, công suất 280 CV(A 206)</t>
  </si>
  <si>
    <t>M0426</t>
  </si>
  <si>
    <t>Máy bơm rửa đường ống, công suất 90 CV(AH -2)</t>
  </si>
  <si>
    <t>M0427</t>
  </si>
  <si>
    <t>Máy nén thử đường ống, công suất 75 CV(AHO -201)</t>
  </si>
  <si>
    <t>M0428</t>
  </si>
  <si>
    <t>Máy nén thử đường ống, công suất 170 CV ( lắp trên Xezil -130))</t>
  </si>
  <si>
    <t>M0429</t>
  </si>
  <si>
    <t>Máy hút chân không thử đường hàn</t>
  </si>
  <si>
    <t>M0430</t>
  </si>
  <si>
    <t>Máy siêu âm kiểm tra mối hàn đường ống</t>
  </si>
  <si>
    <t>Vi kế đo áp lực đường ống</t>
  </si>
  <si>
    <t>Máy phát điện lưu động, công suất máy phát điện 2,5-3,0kW</t>
  </si>
  <si>
    <t>M0433</t>
  </si>
  <si>
    <t>M0434</t>
  </si>
  <si>
    <t>M0435</t>
  </si>
  <si>
    <t>M0436</t>
  </si>
  <si>
    <t>M0437</t>
  </si>
  <si>
    <t>M0438</t>
  </si>
  <si>
    <t>M0440</t>
  </si>
  <si>
    <t>M0441</t>
  </si>
  <si>
    <t>M0443</t>
  </si>
  <si>
    <t>M0445</t>
  </si>
  <si>
    <t>M0446</t>
  </si>
  <si>
    <t>M0447</t>
  </si>
  <si>
    <t>M0448</t>
  </si>
  <si>
    <t>M0449</t>
  </si>
  <si>
    <t>M0450</t>
  </si>
  <si>
    <t>M0451</t>
  </si>
  <si>
    <t>M0452</t>
  </si>
  <si>
    <t>M0453</t>
  </si>
  <si>
    <t>M0454</t>
  </si>
  <si>
    <t>M0455</t>
  </si>
  <si>
    <t>M0456</t>
  </si>
  <si>
    <t>M0457</t>
  </si>
  <si>
    <t>M0458</t>
  </si>
  <si>
    <t>M0459</t>
  </si>
  <si>
    <t>M0461</t>
  </si>
  <si>
    <t>M0468</t>
  </si>
  <si>
    <t>M0469</t>
  </si>
  <si>
    <t>M0470</t>
  </si>
  <si>
    <t>M0471</t>
  </si>
  <si>
    <t>M0472</t>
  </si>
  <si>
    <t>M0473</t>
  </si>
  <si>
    <t>M0474</t>
  </si>
  <si>
    <t>M0475</t>
  </si>
  <si>
    <t>M0476</t>
  </si>
  <si>
    <t>M0478</t>
  </si>
  <si>
    <t>M0479</t>
  </si>
  <si>
    <t>M0480</t>
  </si>
  <si>
    <t>M0481</t>
  </si>
  <si>
    <t>M0483</t>
  </si>
  <si>
    <t>M0486</t>
  </si>
  <si>
    <t>M0487</t>
  </si>
  <si>
    <t>M0488</t>
  </si>
  <si>
    <t>M0489</t>
  </si>
  <si>
    <t>M0490</t>
  </si>
  <si>
    <t>M0491</t>
  </si>
  <si>
    <t>M0492</t>
  </si>
  <si>
    <t>M0493</t>
  </si>
  <si>
    <t>M0494</t>
  </si>
  <si>
    <t>M0496</t>
  </si>
  <si>
    <t>Máy phun sơn (chưa tính khí nén) năng suất  400 m2/h</t>
  </si>
  <si>
    <t>Máy phun cát (chưa tính khí nén)</t>
  </si>
  <si>
    <t>M0506</t>
  </si>
  <si>
    <t>M0507</t>
  </si>
  <si>
    <t>Máy cắt gạch đá, công suất 1,7 kW</t>
  </si>
  <si>
    <t>M0510</t>
  </si>
  <si>
    <t>Máy cắt bê tông, công suất 1,5 kW</t>
  </si>
  <si>
    <t>Máy cắt bê tông, công suất 7,5 kW</t>
  </si>
  <si>
    <t>Máy cắt bê tông, công suất 12 cv (MCD 218)</t>
  </si>
  <si>
    <t>M0513</t>
  </si>
  <si>
    <t>Búa căn khí nén (chưa tính khí nén), tiêu hao khí nén 1,5 m3/ph</t>
  </si>
  <si>
    <t>Búa căn khí nén (chưa tính khí nén), tiêu hao khí nén 3,0 m3/ph</t>
  </si>
  <si>
    <t>Máy uốn ống, công suất  2,8 kW</t>
  </si>
  <si>
    <t>M0517</t>
  </si>
  <si>
    <t>Máy cắt tôn, công suất  5,0 kW</t>
  </si>
  <si>
    <t>Máy cắt tôn, công suất  15,0 kW</t>
  </si>
  <si>
    <t>Máy cắt thép Plaxma</t>
  </si>
  <si>
    <t>Máy lốc tôn, công suất 5,0 kW</t>
  </si>
  <si>
    <t>Máy cắt đột, công suât  2,8 kW</t>
  </si>
  <si>
    <t>M0523</t>
  </si>
  <si>
    <t>Máy cưa kim loại, công suất 1,7 kW</t>
  </si>
  <si>
    <t>Máy cưa kim loại, công suất 2,7 kW</t>
  </si>
  <si>
    <t>M0525</t>
  </si>
  <si>
    <t>Máy tiện, công suất 4,5 kW</t>
  </si>
  <si>
    <t>Máy tiện, công suất 10,0 kW</t>
  </si>
  <si>
    <t>Máy bào thép, công suất 7,5kW</t>
  </si>
  <si>
    <t>Máy phay, công suất 7,0 kW</t>
  </si>
  <si>
    <t>Máy ghép mí, công suất 1,1kW</t>
  </si>
  <si>
    <t>Máy mài, công suất 1,0kW</t>
  </si>
  <si>
    <t>Máy mài, công suất 2,7 kW</t>
  </si>
  <si>
    <t>Máy hàn nhiệt</t>
  </si>
  <si>
    <t>M0533</t>
  </si>
  <si>
    <t>Máy cưa gỗ cầm tay, công suất 1,3kW</t>
  </si>
  <si>
    <t>M0534</t>
  </si>
  <si>
    <t>Máy cắt cỏ cầm tay, công suất  0,8 kW</t>
  </si>
  <si>
    <t>M0535</t>
  </si>
  <si>
    <t>Máy khoan đất đá, cầm tay, công suất  d&lt;=42mm (động cơ điện 1,2 kW)</t>
  </si>
  <si>
    <t>Máy khoan đất đá, cầm tay, công suất  d&lt;=42mm (truyền động khí nén, chưa tính khí nén)</t>
  </si>
  <si>
    <t>M0537</t>
  </si>
  <si>
    <t>Máy khoan đất đá, cầm tay, công suất  d&lt;=42mm (khoan sig, chưa tính khí nén)</t>
  </si>
  <si>
    <t>M0538</t>
  </si>
  <si>
    <t>Búa chèn (truyền động khí nén, chưa tính khí nén)</t>
  </si>
  <si>
    <t>M0539</t>
  </si>
  <si>
    <t>Máy khoan xoay đập tự hành, khí nén (chưa tính khí nén)-đường kính khoan d 75 -95 mm</t>
  </si>
  <si>
    <t>Máy khoan xoay đập tự hành, khí nén (chưa tính khí nén)-đường kính khoan d 105 -110mm</t>
  </si>
  <si>
    <t>M0541</t>
  </si>
  <si>
    <t>Máy khoan đập tự hành, động cơ điện, đường kính khoan  d150(56kW)</t>
  </si>
  <si>
    <t>M0542</t>
  </si>
  <si>
    <t>Máy khoan đập cáp, đường kính khoan d 200 -260 (20 kW)</t>
  </si>
  <si>
    <t>M0543</t>
  </si>
  <si>
    <t>Máy khoan đập xoay tự hành, động cơ điện, đường kính khoan  d 160-200 (90 kW)</t>
  </si>
  <si>
    <t>Máy khoan đập xoay tự hành, động cơ lít diezel- đường kính khoan  d 51, 76 (310 CV)</t>
  </si>
  <si>
    <t>M0545</t>
  </si>
  <si>
    <t>Máy khoan đập xoay tự hành, động cơ lít diezel- đường kính khoan  d76, 89 (145 CV)</t>
  </si>
  <si>
    <t>M0546</t>
  </si>
  <si>
    <t>Máy khoan đập xoay tự hành, động cơ lít diezel- đường kính khoan  d 89 -102 (220 CV)</t>
  </si>
  <si>
    <t>M0547</t>
  </si>
  <si>
    <t>Máy khoan đập xoay tự hành, động cơ lít diezel- đường kính khoan  d 102, 115 (300 CV)</t>
  </si>
  <si>
    <t>M0548</t>
  </si>
  <si>
    <t>Máy khoan đập xoay tự hành, động cơ lít diezel- đường kính khoan  d115 -127 (144 CV)</t>
  </si>
  <si>
    <t>Máy khoan đập xoay tự hành, động cơ lít diezel- đường kính khoan  d127 -  152 (335 CV)</t>
  </si>
  <si>
    <t>M0550</t>
  </si>
  <si>
    <t>Máy khoan  xoay cầu, động cơ điện- đường kính khoan  d243, 269 (322 kW)</t>
  </si>
  <si>
    <t>M0551</t>
  </si>
  <si>
    <t>Máy khoan  xoay cầu, động cơ lít diezel, đường kính khoan  d152- 228 (450 CV)</t>
  </si>
  <si>
    <t>Máy khoan hầm tự hành, động cơ lít diezel, đường kính khoan d 45 ( hai cần -147 CV)</t>
  </si>
  <si>
    <t>M0553</t>
  </si>
  <si>
    <t>Máy khoan hầm tự hành, động cơ lít diezel, đường kính khoan  d 45 (ba cần -255 CV)</t>
  </si>
  <si>
    <t>M0554</t>
  </si>
  <si>
    <t>Máy khoan néo, độ sâu khoan  h&lt;=3,5m (80CV)</t>
  </si>
  <si>
    <t>M0555</t>
  </si>
  <si>
    <t>Máy khoan ngược (toàn tiết diện), đường kính khoan d 2,4m (250 kW)</t>
  </si>
  <si>
    <t>Tổ hợp dàn khoan leo, công suất  9,0 kW</t>
  </si>
  <si>
    <t>Máy khoan giếng khai thác nước ngầm, khoan đập cáp, công suất  40 kW</t>
  </si>
  <si>
    <t>Máy khoan giếng khai thác nước ngầm, khoan xoay, công suất  54 CV</t>
  </si>
  <si>
    <t>Máy khoan giếng khai thác nước ngầm, khoan xoay, công suất  300 CV</t>
  </si>
  <si>
    <t>Máy khoan ngầm có định hướng</t>
  </si>
  <si>
    <t>Hệ số STS (phục vụ khoan ngầm có định hướng khi khoan qua sông nước)</t>
  </si>
  <si>
    <t>M0562</t>
  </si>
  <si>
    <t>Bộ thiết bị khoan đặt đường ống ngầm đường kính ống ngầm &lt;=600 mm</t>
  </si>
  <si>
    <t>Búa diezel chạy trên ray -trọng lượng đầu búa 3,5 T</t>
  </si>
  <si>
    <t>M0575</t>
  </si>
  <si>
    <t>Búa diezel chạy trên ray -trọng lượng đầu búa 4,5T</t>
  </si>
  <si>
    <t>M0576</t>
  </si>
  <si>
    <t>Búa diezel chạy trên ray -trọng lượng đầu búa 5,5 T</t>
  </si>
  <si>
    <t>Búa rung cọc cát, tự hành, bánh xích -công suất  60 kW</t>
  </si>
  <si>
    <t>M0578</t>
  </si>
  <si>
    <t>Búa rung, công suất  40 kW</t>
  </si>
  <si>
    <t>Búa rung, công suất  50 kW</t>
  </si>
  <si>
    <t>Búa rung, công suất  170 kW</t>
  </si>
  <si>
    <t>Búa đóng cọc nổi (cả xà lan và máy phụ trợ)- trọng lượng búa  &lt;=1,8 T</t>
  </si>
  <si>
    <t>Búa đóng cọc nổi (cả xà lan và máy phụ trợ)- trọng lượng búa  &lt;=2,5 T</t>
  </si>
  <si>
    <t>Búa đóng cọc nổi (cả xà lan và máy phụ trợ)- trọng lượng búa  &lt;=3,5 T</t>
  </si>
  <si>
    <t>M0584</t>
  </si>
  <si>
    <t>Tàu đóng cọc c96,búa thuỷ lực, trọng lượng đầu búa  7,5T</t>
  </si>
  <si>
    <t>M0585</t>
  </si>
  <si>
    <t>Máy ép cọc trước, lực ép  60 T</t>
  </si>
  <si>
    <t>M0586</t>
  </si>
  <si>
    <t>Máy ép cọc trước, lực ép  100 T</t>
  </si>
  <si>
    <t>Máy ép cọc trước, lực ép  150 T</t>
  </si>
  <si>
    <t>Máy ép cọc trước, lực ép  200 T</t>
  </si>
  <si>
    <t>Máy ép cọc sau</t>
  </si>
  <si>
    <t>Máy ép thuỷ lực (kgk, 130 c4), lực ép 130 t</t>
  </si>
  <si>
    <t>Máy cắm bấc thấm</t>
  </si>
  <si>
    <t>Búa khoan vrm 1500/800 HD</t>
  </si>
  <si>
    <t>Bộ thiết bị khoan nhồi TRC-15</t>
  </si>
  <si>
    <t>M0594</t>
  </si>
  <si>
    <t>Máy khoan cọc nhồi GPS 15</t>
  </si>
  <si>
    <t>Máy khoan cọc nhồi ED</t>
  </si>
  <si>
    <t>Máy khoan cọc nhồi QJ 250</t>
  </si>
  <si>
    <t>Máy khoan cọc nhồi VRM2000</t>
  </si>
  <si>
    <t>Máy khoan có mô nen xoay&gt;200knm</t>
  </si>
  <si>
    <t>Máy trộn dung dịch khoan, dung tích  &lt;750 lít</t>
  </si>
  <si>
    <t>M0600</t>
  </si>
  <si>
    <t>Máy trộn dung dịch khoan, dung tích  1000 lít</t>
  </si>
  <si>
    <t>Máy sàng lọc ben tonit be100, năng suất  100m3/h</t>
  </si>
  <si>
    <t>M0602</t>
  </si>
  <si>
    <t>Xà lan công trình, trọng tải 100 T</t>
  </si>
  <si>
    <t>Xà lan công trình, trọng tải 200 T</t>
  </si>
  <si>
    <t>Xà lan công trình, trọng tải 250 T</t>
  </si>
  <si>
    <t>Xà lan công trình, trọng tải 300 T</t>
  </si>
  <si>
    <t>Xà lan công trình, trọng tải 400 T</t>
  </si>
  <si>
    <t>Xà lan công trình, trọng tải 600T</t>
  </si>
  <si>
    <t>Xà lan công trình, trọng tải 800T</t>
  </si>
  <si>
    <t>M0609</t>
  </si>
  <si>
    <t>Xà lan công trình, trọng tải 1000 T</t>
  </si>
  <si>
    <t>M0610</t>
  </si>
  <si>
    <t>Phà chuyên dùng, trọng tải  250 T</t>
  </si>
  <si>
    <t>M0611</t>
  </si>
  <si>
    <t>Phao thép trọng tải 10 T</t>
  </si>
  <si>
    <t>M0612</t>
  </si>
  <si>
    <t>Phao thép trọng tải 15 T</t>
  </si>
  <si>
    <t>Phao thép trọng tải 60 T</t>
  </si>
  <si>
    <t>Phao thép trọng tải 200T</t>
  </si>
  <si>
    <t>Phao thép trọng tải 250T</t>
  </si>
  <si>
    <t>M0616</t>
  </si>
  <si>
    <t>Ca nô, công suất 15 CV</t>
  </si>
  <si>
    <t>Ca nô, công suất 23CV</t>
  </si>
  <si>
    <t>Ca nô, công suất 30 CV</t>
  </si>
  <si>
    <t>Ca nô, công suất 55 CV</t>
  </si>
  <si>
    <t>Ca nô, công suất 75 CV</t>
  </si>
  <si>
    <t>M0621</t>
  </si>
  <si>
    <t>Ca nô, công suất 90 CV</t>
  </si>
  <si>
    <t>M0622</t>
  </si>
  <si>
    <t>Ca nô, công suất 120 CV</t>
  </si>
  <si>
    <t>Ca nô, công suất 150 CV</t>
  </si>
  <si>
    <t>M0624</t>
  </si>
  <si>
    <t>Tàu công tác sông, công suất  12 CV</t>
  </si>
  <si>
    <t>M0625</t>
  </si>
  <si>
    <t>Tàu công tác sông, công suất  25 CV</t>
  </si>
  <si>
    <t>M0626</t>
  </si>
  <si>
    <t>Tàu công tác sông, công suất  33CV</t>
  </si>
  <si>
    <t>M0627</t>
  </si>
  <si>
    <t>Tàu công tác sông, công suất  50 CV</t>
  </si>
  <si>
    <t>M0628</t>
  </si>
  <si>
    <t>Tàu công tác sông, công suất  90 CV</t>
  </si>
  <si>
    <t>M0629</t>
  </si>
  <si>
    <t>Tàu công tác sông, công suất  150 CV</t>
  </si>
  <si>
    <t>M0630</t>
  </si>
  <si>
    <t>Tàu công tác sông, công suất  190 CV</t>
  </si>
  <si>
    <t>M0631</t>
  </si>
  <si>
    <t>Xuồng cao tốc -công suất  25 CV</t>
  </si>
  <si>
    <t>M0632</t>
  </si>
  <si>
    <t>Xuồng cao tốc -công suất  50 CV</t>
  </si>
  <si>
    <t>M0633</t>
  </si>
  <si>
    <t>Xuồng cao tốc -công suất  120 CV</t>
  </si>
  <si>
    <t>M0634</t>
  </si>
  <si>
    <t>Xuồng cao tốc -công suất  225 CV</t>
  </si>
  <si>
    <t>Thiết bị lăn</t>
  </si>
  <si>
    <t>M0636</t>
  </si>
  <si>
    <t>Xuồng vớt rác, công suất 4 CV</t>
  </si>
  <si>
    <t>M0637</t>
  </si>
  <si>
    <t>Xuồng vớt rác, công suất 24 CV</t>
  </si>
  <si>
    <t>M0638</t>
  </si>
  <si>
    <t>Lò đốt rác y tế bằng gaz (chưa tính gaz), công suất  7 tấn/ ngày</t>
  </si>
  <si>
    <t>Tàu kéo và phục vụ thi công thuỷ (làm neo, cấp dầu ), công suất 75 CV</t>
  </si>
  <si>
    <t>Tàu kéo và phục vụ thi công thuỷ (làm neo, cấp dầu ), công suất 150 CV</t>
  </si>
  <si>
    <t>Tàu kéo và phục vụ thi công thuỷ (làm neo, cấp dầu ), công suất 360CV</t>
  </si>
  <si>
    <t>Tàu kéo và phục vụ thi công thuỷ (làm neo, cấp dầu ), công suất 600 CV</t>
  </si>
  <si>
    <t>Tàu kéo và phục vụ thi công thuỷ (làm neo, cấp dầu ), công suất 1200 CV</t>
  </si>
  <si>
    <t>M0644</t>
  </si>
  <si>
    <t>Xe nâng, chiều cao nâng 12m</t>
  </si>
  <si>
    <t>M0645</t>
  </si>
  <si>
    <t>Xe nâng, chiều cao nâng 18m</t>
  </si>
  <si>
    <t>M0646</t>
  </si>
  <si>
    <t>Xe nâng, chiều cao nâng 24m</t>
  </si>
  <si>
    <t>M0647</t>
  </si>
  <si>
    <t>Xe thang, chiều cao thang 9m</t>
  </si>
  <si>
    <t>M0648</t>
  </si>
  <si>
    <t>Xe thang, chiều cao thang 12m</t>
  </si>
  <si>
    <t>M0649</t>
  </si>
  <si>
    <t>Xe thang, chiều cao thang 18m</t>
  </si>
  <si>
    <t>M0650</t>
  </si>
  <si>
    <t>Bộ phao thả kè, loại trọng tải, cự ly  95 TL &lt; 30m</t>
  </si>
  <si>
    <t>M0651</t>
  </si>
  <si>
    <t>Bộ phao thả kè, loại trọng tải, cự ly  137 T- 30 &lt; L&lt;70m</t>
  </si>
  <si>
    <t>M0652</t>
  </si>
  <si>
    <t>Bộ phao thả kè, loại trọng tải, cự ly  190 T- L&gt;70m</t>
  </si>
  <si>
    <t>Tàu cuốc sông, công suất   495 CV</t>
  </si>
  <si>
    <t>Tàu cuốc biển- công suất   2085 CV</t>
  </si>
  <si>
    <t>M0655</t>
  </si>
  <si>
    <t>Tàu hút bùn, công suất  150 CV</t>
  </si>
  <si>
    <t>M0656</t>
  </si>
  <si>
    <t>Tàu hút bùn, công suất  300 CV</t>
  </si>
  <si>
    <t>Tàu hút bùn, công suất  585 CV</t>
  </si>
  <si>
    <t>M0658</t>
  </si>
  <si>
    <t>Tàu hút bùn, công suất  900 CV</t>
  </si>
  <si>
    <t>Tàu hút bùn, công suất  1200CV</t>
  </si>
  <si>
    <t>Tàu hút bùn, công suất  4170CV</t>
  </si>
  <si>
    <t>Tàu hút bụng tự hành công suất 1390CV</t>
  </si>
  <si>
    <t>Tàu hút bụng tự hành công suất 5945CV</t>
  </si>
  <si>
    <t>Tàu ngoạm (có tính năng phá đá ngầm), công suất 3170 cv  17 m3</t>
  </si>
  <si>
    <t>M0664</t>
  </si>
  <si>
    <t>Xáng cạp 0,65 m3</t>
  </si>
  <si>
    <t>M0665</t>
  </si>
  <si>
    <t>Xáng cạp 1,0 m3</t>
  </si>
  <si>
    <t>Xáng cạp 1,25 m3</t>
  </si>
  <si>
    <t>Máy quạt gió, công suất  2,5 kW</t>
  </si>
  <si>
    <t>Máy quạt gió, công suất  4,5 kW (CBM -5)</t>
  </si>
  <si>
    <t>Bộ khoan tay</t>
  </si>
  <si>
    <t>Bộ máy khoan CBY -150- ZUB</t>
  </si>
  <si>
    <t>Bộ nén ngang GA</t>
  </si>
  <si>
    <t>Búa căn MO , 10 (chưa tính khí nén)</t>
  </si>
  <si>
    <t>Búa khoan tay P30 (2,02kW)</t>
  </si>
  <si>
    <t>Thùng trục 0,5 m3</t>
  </si>
  <si>
    <t>Máy khoan F-60L</t>
  </si>
  <si>
    <t>Máy xuyên động RA, 50</t>
  </si>
  <si>
    <t>M0677</t>
  </si>
  <si>
    <t>Bộ dụng cụ đo độ xuyên động hình côn DCP</t>
  </si>
  <si>
    <t>Máy xuyên tĩnh Gouda</t>
  </si>
  <si>
    <t>Thiết bị đo ngẫu lực</t>
  </si>
  <si>
    <t>Bộ dụng cụ thí nghiệm SPT</t>
  </si>
  <si>
    <t>Biến thế thắp sáng</t>
  </si>
  <si>
    <t>Máy nén khí dk9</t>
  </si>
  <si>
    <t>M0683</t>
  </si>
  <si>
    <t>Máy nén khí 660m3/h</t>
  </si>
  <si>
    <t>M0684</t>
  </si>
  <si>
    <t>Máy nén khí 1260m3/h</t>
  </si>
  <si>
    <t>Máy UJ, 18</t>
  </si>
  <si>
    <t>Máy MF-2-1100</t>
  </si>
  <si>
    <t>Theo 020</t>
  </si>
  <si>
    <t>Theo 010</t>
  </si>
  <si>
    <t>Đitomát</t>
  </si>
  <si>
    <t>Ni 030</t>
  </si>
  <si>
    <t>Ni 004</t>
  </si>
  <si>
    <t>Dalta 020</t>
  </si>
  <si>
    <t>Bộ đomia bala</t>
  </si>
  <si>
    <t>M0694</t>
  </si>
  <si>
    <t>Máy thuỷ bình na 720</t>
  </si>
  <si>
    <t>M0695</t>
  </si>
  <si>
    <t>Máy toàn đạc điện tử</t>
  </si>
  <si>
    <t>M0696</t>
  </si>
  <si>
    <t>Bộ thiết bị không chế mặt bằng gps (3 máy)</t>
  </si>
  <si>
    <t>M0697</t>
  </si>
  <si>
    <t>Xe chuyên dùng (pajero)</t>
  </si>
  <si>
    <t>Ống nhòm</t>
  </si>
  <si>
    <t>Kính hiển vi</t>
  </si>
  <si>
    <t>M0700</t>
  </si>
  <si>
    <t>Kính hiển vi điện tử quét</t>
  </si>
  <si>
    <t>Máy ảnh</t>
  </si>
  <si>
    <t>Cần belkenman</t>
  </si>
  <si>
    <t>M0703</t>
  </si>
  <si>
    <t>Thiết bị đếm phóng xạ</t>
  </si>
  <si>
    <t>M0704</t>
  </si>
  <si>
    <t>Trl pro file beam</t>
  </si>
  <si>
    <t>M0705</t>
  </si>
  <si>
    <t>Máy FWD</t>
  </si>
  <si>
    <t>M0706</t>
  </si>
  <si>
    <t>Thiết bị đo phản ứng Romdas</t>
  </si>
  <si>
    <t>Bộ thiết bị pit (đo biến dạng nhỏ)</t>
  </si>
  <si>
    <t>M0708</t>
  </si>
  <si>
    <t>Bộ thiết bị đo pda (đo biến dạng lớn)</t>
  </si>
  <si>
    <t>Bộ thiết bị siêu âm</t>
  </si>
  <si>
    <t>Máy, thiết bị thăm dò địa chấn  loại 1 mạch (ES -125)</t>
  </si>
  <si>
    <t>M0711</t>
  </si>
  <si>
    <t>Máy, thiết bị thăm dò địa chấn  loại 12 mạch (TRIOSX, 12)</t>
  </si>
  <si>
    <t>M0712</t>
  </si>
  <si>
    <t>Máy, thiết bị thăm dò địa chấn  loại 24 mạch (TRIOSX, 24)</t>
  </si>
  <si>
    <t>Cân điện tử</t>
  </si>
  <si>
    <t>Cân phân tích</t>
  </si>
  <si>
    <t>Cân bàn</t>
  </si>
  <si>
    <t>M0716</t>
  </si>
  <si>
    <t>Cân thuỷ tĩnh</t>
  </si>
  <si>
    <t>Lò nung</t>
  </si>
  <si>
    <t>Tủ sấy</t>
  </si>
  <si>
    <t>Tủ hút độc</t>
  </si>
  <si>
    <t>M0720</t>
  </si>
  <si>
    <t>Tủ lạnh</t>
  </si>
  <si>
    <t>Máy hút chân không</t>
  </si>
  <si>
    <t>M0722</t>
  </si>
  <si>
    <t>Máy hút ẩm Oais, Ameriac</t>
  </si>
  <si>
    <t>Bếp điện (0,6 kW)</t>
  </si>
  <si>
    <t>Bếp cát</t>
  </si>
  <si>
    <t>Máy chưng cất nước</t>
  </si>
  <si>
    <t>Máy trộn đất</t>
  </si>
  <si>
    <t>M0727</t>
  </si>
  <si>
    <t>Máy trộn xi măng</t>
  </si>
  <si>
    <t>M0728</t>
  </si>
  <si>
    <t>Máy trộn dung tích lỏng (máy đo độ rung vữa)</t>
  </si>
  <si>
    <t>Máy đầm tiêu chuẩn (đầm rung)</t>
  </si>
  <si>
    <t>Máy cắt đất</t>
  </si>
  <si>
    <t>Máy cắt mẫu lớn (30x30cm)</t>
  </si>
  <si>
    <t>Máy cắt ứng biến</t>
  </si>
  <si>
    <t>Máy ép 3 trục</t>
  </si>
  <si>
    <t>Máy ép litvinôp</t>
  </si>
  <si>
    <t>Kích tháo mẫu</t>
  </si>
  <si>
    <t>Máy ép mẫu đá, bê tông</t>
  </si>
  <si>
    <t>M0737</t>
  </si>
  <si>
    <t>Máy cắt mẫu vật liệu (bê tông, gạch, đá)</t>
  </si>
  <si>
    <t>Máy khoan mẫu đá</t>
  </si>
  <si>
    <t>Máy mài thử độ mài mòn</t>
  </si>
  <si>
    <t>Máy nén một trục</t>
  </si>
  <si>
    <t>Máy nén marshall</t>
  </si>
  <si>
    <t>Máy CBR</t>
  </si>
  <si>
    <t>M0743</t>
  </si>
  <si>
    <t>Máy thí nghiệm thuỷ lực quay tay</t>
  </si>
  <si>
    <t>M0744</t>
  </si>
  <si>
    <t>Máy nén 4t quay tay</t>
  </si>
  <si>
    <t>M0745</t>
  </si>
  <si>
    <t>Máy nén thuỷ lực 10T</t>
  </si>
  <si>
    <t>M0746</t>
  </si>
  <si>
    <t>Máy nén thuỷ lực 50T</t>
  </si>
  <si>
    <t>M0747</t>
  </si>
  <si>
    <t>Máy nén thuỷ lực 125T</t>
  </si>
  <si>
    <t>M0748</t>
  </si>
  <si>
    <t>Máy kéo nén thuỷ lực 100T</t>
  </si>
  <si>
    <t>M0749</t>
  </si>
  <si>
    <t>Máy kéo nén uốn thuỷ lực 25T</t>
  </si>
  <si>
    <t>M0750</t>
  </si>
  <si>
    <t>Máy kéo nén uốn thuỷ lực100T</t>
  </si>
  <si>
    <t>M0751</t>
  </si>
  <si>
    <t>Máy gia tải 20T</t>
  </si>
  <si>
    <t>Máy cagrang (làm thí nghiệm chảy)</t>
  </si>
  <si>
    <t>Máy xác định hệ số thấm</t>
  </si>
  <si>
    <t>Máy đo ph</t>
  </si>
  <si>
    <t>M0755</t>
  </si>
  <si>
    <t>Máy đo âm thanh</t>
  </si>
  <si>
    <t>M0756</t>
  </si>
  <si>
    <t>Máy đo chiều dày màng sơn</t>
  </si>
  <si>
    <t>M0757</t>
  </si>
  <si>
    <t>Máy đo điện thế thí nghiệm ăn mòn cốt thép trong bê tông</t>
  </si>
  <si>
    <t>M0758</t>
  </si>
  <si>
    <t>Máy đo vết nứt</t>
  </si>
  <si>
    <t>M0759</t>
  </si>
  <si>
    <t>Máy đo tốc độ ăn mòn cốt thép  trong cốt thép</t>
  </si>
  <si>
    <t>M0760</t>
  </si>
  <si>
    <t>Máy đo độ thấm của ion clo</t>
  </si>
  <si>
    <t>M0761</t>
  </si>
  <si>
    <t>Dụng cụ đo độ cháy của than</t>
  </si>
  <si>
    <t>M0762</t>
  </si>
  <si>
    <t>Máy đo gia tốc</t>
  </si>
  <si>
    <t>M0763</t>
  </si>
  <si>
    <t>Máy ghi nhiệt ổn định</t>
  </si>
  <si>
    <t>M0764</t>
  </si>
  <si>
    <t>Máy đo chuyển vị</t>
  </si>
  <si>
    <t>Máy xác định mô đun</t>
  </si>
  <si>
    <t>Máy so màu ngọn lửa</t>
  </si>
  <si>
    <t>Máy so màu quang điện</t>
  </si>
  <si>
    <t>M0768</t>
  </si>
  <si>
    <t>Máy đo độ giãn dài bitum</t>
  </si>
  <si>
    <t>M0769</t>
  </si>
  <si>
    <t>Máy chiết ngựa (xốc lét)</t>
  </si>
  <si>
    <t>M0770</t>
  </si>
  <si>
    <t>Bộ thí nghiệm co ngót, trương nở</t>
  </si>
  <si>
    <t>M0771</t>
  </si>
  <si>
    <t>Thiết bị thử tỷ diện</t>
  </si>
  <si>
    <t>M0772</t>
  </si>
  <si>
    <t>Bàn dằn</t>
  </si>
  <si>
    <t>M0773</t>
  </si>
  <si>
    <t>Bàn rung</t>
  </si>
  <si>
    <t>M0774</t>
  </si>
  <si>
    <t>Máy khuấy bằng từ</t>
  </si>
  <si>
    <t>M0775</t>
  </si>
  <si>
    <t>Máy khuấy cầm tay nag2</t>
  </si>
  <si>
    <t>M0776</t>
  </si>
  <si>
    <t>Máy nghiền bi sứ le1</t>
  </si>
  <si>
    <t>M0777</t>
  </si>
  <si>
    <t>Máy phaân tích lazer</t>
  </si>
  <si>
    <t>M0778</t>
  </si>
  <si>
    <t>Máy phân tích vi nhiệt</t>
  </si>
  <si>
    <t>M0779</t>
  </si>
  <si>
    <t>Tenxômét</t>
  </si>
  <si>
    <t>M0780</t>
  </si>
  <si>
    <t>Máy đo độ giãn nở bê tông</t>
  </si>
  <si>
    <t>M0781</t>
  </si>
  <si>
    <t>Máy đo hệ số dẫn nhiệt</t>
  </si>
  <si>
    <t>M0782</t>
  </si>
  <si>
    <t>Máy nhiễu xạ rơnghen (phân tích thành phần hoá lý của vật liệu</t>
  </si>
  <si>
    <t>M0783</t>
  </si>
  <si>
    <t>Cần ép mẫu thử gạch chịu lửa</t>
  </si>
  <si>
    <t>M0784</t>
  </si>
  <si>
    <t>Côn thử độ sụt</t>
  </si>
  <si>
    <t>M0785</t>
  </si>
  <si>
    <t>Dụng cụ  xác định độ chịu lực va đập xung kích gạch lát xi măng (viên bi sắt)</t>
  </si>
  <si>
    <t>M0786</t>
  </si>
  <si>
    <t>Dụng cụ xác định giới hạn bền liên kết</t>
  </si>
  <si>
    <t>M0787</t>
  </si>
  <si>
    <t>Chén bạch kim</t>
  </si>
  <si>
    <t>M0788</t>
  </si>
  <si>
    <t>Kẹp niken</t>
  </si>
  <si>
    <t>M0789</t>
  </si>
  <si>
    <t>Máy siêu âm đo chiều dày kim loại</t>
  </si>
  <si>
    <t>M0790</t>
  </si>
  <si>
    <t>Máy dò vị trí cốt thép</t>
  </si>
  <si>
    <t>M0791</t>
  </si>
  <si>
    <t>Máy siêu âm đo kiểm tra chất lượng mối hàn</t>
  </si>
  <si>
    <t>M0792</t>
  </si>
  <si>
    <t>Máy siêu âm kiểm tra cường độ bê tông của cấu kiện bê tông, bê tông cốt thép tại hiện trường</t>
  </si>
  <si>
    <t>M0793</t>
  </si>
  <si>
    <t>súng bi</t>
  </si>
  <si>
    <t>Máy scanner (khổ a0)</t>
  </si>
  <si>
    <t>Máy vẽ plotter</t>
  </si>
  <si>
    <t>Máy vi tính</t>
  </si>
  <si>
    <t>M0797</t>
  </si>
  <si>
    <t>Máy tính xách tay</t>
  </si>
  <si>
    <t>M0798</t>
  </si>
  <si>
    <t>Bộ tạo nguồn 3 fa</t>
  </si>
  <si>
    <t>M0799</t>
  </si>
  <si>
    <t>Bộ tạo nguồn AC-DC</t>
  </si>
  <si>
    <t>M0800</t>
  </si>
  <si>
    <t>Công tơ mẫu xách tay</t>
  </si>
  <si>
    <t>M0801</t>
  </si>
  <si>
    <t>Hộp bộ đo tgd Delta</t>
  </si>
  <si>
    <t>M0802</t>
  </si>
  <si>
    <t>Hộp bộ đo lường</t>
  </si>
  <si>
    <t>M0803</t>
  </si>
  <si>
    <t>Hộp bộ phân tích hàm lượng khí</t>
  </si>
  <si>
    <t>M0804</t>
  </si>
  <si>
    <t>Hộp bộ thí nghiệm cao áp</t>
  </si>
  <si>
    <t>M0805</t>
  </si>
  <si>
    <t>Hộp bộ thí nghiệm rơle</t>
  </si>
  <si>
    <t>M0806</t>
  </si>
  <si>
    <t>Máy điều chỉnh điện áp 1 fa</t>
  </si>
  <si>
    <t>M0807</t>
  </si>
  <si>
    <t>Máy đo độ Axit</t>
  </si>
  <si>
    <t>M0808</t>
  </si>
  <si>
    <t>Máy đo độ chớp nháy kín</t>
  </si>
  <si>
    <t>M0809</t>
  </si>
  <si>
    <t>Máy đo độ nhớt</t>
  </si>
  <si>
    <t>M0810</t>
  </si>
  <si>
    <t>Máy đo điện áp xuyên thủng</t>
  </si>
  <si>
    <t>M0811</t>
  </si>
  <si>
    <t>Máy đo điện trở 1 chiều</t>
  </si>
  <si>
    <t>M0812</t>
  </si>
  <si>
    <t>Máy đo điện trở tiếp địa</t>
  </si>
  <si>
    <t>M0813</t>
  </si>
  <si>
    <t>Máy đo điện trở tiếp xúc</t>
  </si>
  <si>
    <t>M0814</t>
  </si>
  <si>
    <t>Cầu đo tang dầu cách điện</t>
  </si>
  <si>
    <t>M0815</t>
  </si>
  <si>
    <t>Máy đo tỷ trọng</t>
  </si>
  <si>
    <t>M0816</t>
  </si>
  <si>
    <t>Máy đo van  năng</t>
  </si>
  <si>
    <t>M0817</t>
  </si>
  <si>
    <t>Máy chụp sóng</t>
  </si>
  <si>
    <t>M0818</t>
  </si>
  <si>
    <t>Máy đo độ tra độ ổn định ô xy hóa dầu</t>
  </si>
  <si>
    <t>M0819</t>
  </si>
  <si>
    <t>Máy phát tần số</t>
  </si>
  <si>
    <t>M0820</t>
  </si>
  <si>
    <t>Máy phân tích độ ẩm khí SF6</t>
  </si>
  <si>
    <t>M0821</t>
  </si>
  <si>
    <t>M0822</t>
  </si>
  <si>
    <t>Máy đo vi lượng ẩm</t>
  </si>
  <si>
    <t>M0823</t>
  </si>
  <si>
    <t>Mê gôm mét</t>
  </si>
  <si>
    <t>M0824</t>
  </si>
  <si>
    <t>Thiết bị kiểm tra áp lực</t>
  </si>
  <si>
    <t>M0825</t>
  </si>
  <si>
    <t>Thiết bị tạo dòng điện</t>
  </si>
  <si>
    <t>M0826</t>
  </si>
  <si>
    <t>Ô tô chứa nhiên liệu 2,5 tấn</t>
  </si>
  <si>
    <t>M0827</t>
  </si>
  <si>
    <t>Ô tô tưới nhựa 7 tấn (máy phun nhựa đường)</t>
  </si>
  <si>
    <t>M0828</t>
  </si>
  <si>
    <t>Cần cẩu 10 tấn phục vụ đầm chùm</t>
  </si>
  <si>
    <t>M0829</t>
  </si>
  <si>
    <t>Cẩu Long Môn</t>
  </si>
  <si>
    <t>M0830</t>
  </si>
  <si>
    <t>Giá Long Môn</t>
  </si>
  <si>
    <t>M0831</t>
  </si>
  <si>
    <t>Lò nung keo</t>
  </si>
  <si>
    <t>M0832</t>
  </si>
  <si>
    <t>Máy khoan 1,7Kw</t>
  </si>
  <si>
    <t>M0833</t>
  </si>
  <si>
    <t>Máy khoan T2W 300CV</t>
  </si>
  <si>
    <t>M0834</t>
  </si>
  <si>
    <t>Máy khoan xoay đập tự hành D105</t>
  </si>
  <si>
    <t>M0835</t>
  </si>
  <si>
    <t>Máy trắc đạc</t>
  </si>
  <si>
    <t>M0836</t>
  </si>
  <si>
    <t>Máy xúc 1,6m3</t>
  </si>
  <si>
    <t>M0837</t>
  </si>
  <si>
    <t>Quả đầm 16T</t>
  </si>
  <si>
    <t>M0838</t>
  </si>
  <si>
    <t>Máy đột dập</t>
  </si>
  <si>
    <t>M0839</t>
  </si>
  <si>
    <t>Máy bơm vữa 32/63-40Kw</t>
  </si>
  <si>
    <t>M0840</t>
  </si>
  <si>
    <t>Máy cán tôn</t>
  </si>
  <si>
    <t>M0841</t>
  </si>
  <si>
    <t>Máy khoan ROBBIN</t>
  </si>
  <si>
    <t>M0842</t>
  </si>
  <si>
    <t>Tàu hút 600CV</t>
  </si>
  <si>
    <t>M0843</t>
  </si>
  <si>
    <t>Tàu hút phun, hút bụng tự hành 3958CV</t>
  </si>
  <si>
    <t>M0844</t>
  </si>
  <si>
    <t>Máy nén khí B10</t>
  </si>
  <si>
    <t>M0845</t>
  </si>
  <si>
    <t>Máy bơm d 100</t>
  </si>
  <si>
    <t>M0846</t>
  </si>
  <si>
    <t>Máy cắt</t>
  </si>
  <si>
    <t>M0847</t>
  </si>
  <si>
    <t>Máy hàn 15 Kw</t>
  </si>
  <si>
    <t>M0848</t>
  </si>
  <si>
    <t>Máy khoan giếng</t>
  </si>
  <si>
    <t>M0849</t>
  </si>
  <si>
    <t>Khoan cầm tay 0,5 Kw</t>
  </si>
  <si>
    <t>TCV</t>
  </si>
  <si>
    <t>DVT</t>
  </si>
  <si>
    <t>NC</t>
  </si>
  <si>
    <t>MTC</t>
  </si>
  <si>
    <t>MAYTC</t>
  </si>
  <si>
    <t>Phát rừng loại I bằng thủ công, mật độ cây tiêu chuẩn trên 100m2: 0 cây</t>
  </si>
  <si>
    <t>Chặt cây ở mặt đất bằng phẳng, đường kính gốc cây ≤20cm</t>
  </si>
  <si>
    <t>Đào gốc cây, đường kính gốc cây ≤20cm</t>
  </si>
  <si>
    <t>Phá dỡ kết cấu gạch đá, phá dỡ tường gạch, bằng thủ công</t>
  </si>
  <si>
    <t>Phá dỡ kết cấu bê tông có cốt thép bằng búa căn</t>
  </si>
  <si>
    <t>m3</t>
  </si>
  <si>
    <t>Vận chuyển phế thải tiếp 1000m bằng ôtô 7 tấn, chiều dày lớp cắt ≤3cm</t>
  </si>
  <si>
    <t>Tháo dỡ kết cấu gỗ bằng thủ công, chiều cao ≤4m</t>
  </si>
  <si>
    <t>tấn</t>
  </si>
  <si>
    <t>Tháo dỡ sàn cầu tạm (Eiffel, Bailey, dàn T66, N64) bằng máy hàn</t>
  </si>
  <si>
    <t>Đào bùn đặc trong mọi điều kiện, bằng thủ công</t>
  </si>
  <si>
    <t>Phá đá bằng thủ công, chiều dày lớp đá ≤0,5m, đá cấp I</t>
  </si>
  <si>
    <t>Đắp đất nền móng công trình, bằng thủ công, độ chặt yêu cầu K=0,85</t>
  </si>
  <si>
    <t>Đào san đất tạo mặt bằng, bằng máy đào ≤0,4m3 + máy ủi ≤110CV, đất cấp I</t>
  </si>
  <si>
    <t>Đào san đất tạo mặt bằng, bằng máy ủi ≤75CV, phạm vi ≤50m, đất cấp I</t>
  </si>
  <si>
    <t>Đào san đất tạo mặt bằng, bằng máy cạp 9m3, phạm vi ≤300m, đất cấp I</t>
  </si>
  <si>
    <t>Đào xúc đất để đắp hoặc đổ ra bãi thải, bãi tập kết, bằng máy đào ≤0,4m3 + máy ủi ≤110CV, phạm vi 30m, đất cấp I</t>
  </si>
  <si>
    <t>Đào móng công trình, chiều rộng móng ≤6m, bằng máy đào ≤0,8m3, đất cấp I</t>
  </si>
  <si>
    <t>Đào móng công trình trên nền đất mềm, yếu, bằng phương pháp đào chuyển tổ hợp 2 máy đào 0,8m3</t>
  </si>
  <si>
    <t>Đào kênh mương, chiều rộng ≤6m, bằng máy đào ≤0,8m3, đất cấp I</t>
  </si>
  <si>
    <t>Đào kênh mương trên nền đất mềm, yếu, bằng phương pháp đào chuyển, tổ hợp 2 máy đào 0,8m3</t>
  </si>
  <si>
    <t>Đào nền đường bằng máy đào ≤0,4m3 + máy ủi ≤110CV, đổ lên phương tiện vận chuyển, đất cấp I</t>
  </si>
  <si>
    <t>Đào nền đường bằng máy ủi ≤75CV, vận chuyển trong phạm vi ≤50m, đất cấp I</t>
  </si>
  <si>
    <t>Xây các bộ phận, kết cấu phức tạp khác bằng gạch 2 lỗ 6x10,5x22, chiều cao &gt;50m, vữa XM mác 50</t>
  </si>
  <si>
    <t>Xây tường bằng gạch rỗng 6 lỗ 10x15x22, chiều dày ≤10cm, chiều cao ≤4m, vữa XM mác 25</t>
  </si>
  <si>
    <t>Bê tông đá dăm sản xuất bằng máy trộn, đổ bằng thủ công, bê tông móng, mố, trụ cầu trên cạn, vữa bê tông đá 2x4 mác 200</t>
  </si>
  <si>
    <t>Bê tông đá dăm sản xuất bằng máy trộn, đổ bằng thủ công, bê tông buồng xoắn, vữa bê tông đá 1x2 mác 150</t>
  </si>
  <si>
    <t>Sản xuất, lắp dựng tháo dỡ ván khuôn thép cho bê tông đổ tại chỗ, cây chống gỗ, ván khuôn tường, cột vuông (chữ nhật), xà dầm, giằng, chiều cao &gt;50m</t>
  </si>
  <si>
    <t>Sản xuất, lắp dựng tháo dỡ ván khuôn sàn mái bằng ván ép công nghiệp không có khung xương, xà gồ gỗ + cột chống bằng hệ giáo ống, chiều cao ≤16m</t>
  </si>
  <si>
    <t>Sản xuất, lắp dựng tháo dỡ ván khuôn thép, khung xương thép + cột chống bằng giáo ống, ván khuôn sàn mái, chiều cao ≤16m</t>
  </si>
  <si>
    <t>Lắp dựng, tháo dỡ kết cấu thép, hệ ván khuôn ngoài dầm cầu đúc đẩy</t>
  </si>
  <si>
    <t>Lắp đặt ống bê tông ly tâm, nối bằng gioăng cao su đoạn ống dài 6m, đường kính ống 1100mm</t>
  </si>
  <si>
    <t>Lắp đặt ống gang miệng bát, bằng gioăng cao su đoạn ống dài 6m, đường kính ống 75mm</t>
  </si>
  <si>
    <t>Lắp đặt cút thép, nối bằng phương pháp hàn, đường kính 800mm</t>
  </si>
  <si>
    <t>Lắp đặt côn thép không rỉ, nối bằng phương pháp hàn, đường kính 15mm</t>
  </si>
  <si>
    <t>Nối ống kết cấu giếng, bằng phương pháp nối ren, máy khoan đập cáp 40kw, đường kính 108mm</t>
  </si>
  <si>
    <t>m</t>
  </si>
  <si>
    <t>Thổi rửa giếng khoan độ sâu giếng &lt;100m, máy khoan đập cáp 40kw, đường kính ống lọc &lt;219mm</t>
  </si>
  <si>
    <t>Chèn sỏi bằng máy khoan đập cáp 40kW</t>
  </si>
  <si>
    <t>Vận chuyển mùn khoan, cự ly vận chuyển ≤0,5km</t>
  </si>
  <si>
    <t>Đào nền đường bằng máy cạp 9m3, vận chuyển trong phạm vi ≤300m, đất cấp I</t>
  </si>
  <si>
    <t>San đất bãi thải, bãi trữ, bãi gia tải bằng máy ủi 110CV</t>
  </si>
  <si>
    <t>Đào đất trong khung vây phòng nước các trụ trên cạn</t>
  </si>
  <si>
    <t>Xói hút bùn trong khung vây phòng nước, các trụ trên cạn</t>
  </si>
  <si>
    <t>Vận chuyển đất bằng ôtô tự đổ 5 tấn trong phạm vi ≤300m, đất cấp I</t>
  </si>
  <si>
    <t>Vận chuyển đất 1000m tiếp theo, cự ly vận chuyển ≤2km bằng ôtô tự đổ 5 tấn, đất cấp I</t>
  </si>
  <si>
    <t>Đào phá đá, chiều dày ≤0,5m bằng búa căn, đá cấp I</t>
  </si>
  <si>
    <t>Xúc đá hỗn hợp tại bãi trữ lên phương tiện vận chuyển bằng máy đào dung tích gầu ≤1,25m3</t>
  </si>
  <si>
    <t>Vận chuyển đá hỗn hợp lấp sông bằng ô tô tự đổ 12 tấn trong phạm vi ≤300m</t>
  </si>
  <si>
    <t>Vận chuyển tiếp 1000m đá hỗn hợp lấp sông bằng ô tô tự đổ 12 tấn, cự ly ≤2km</t>
  </si>
  <si>
    <t>Đắp đất, cát mặt bằng công trình bằng tàu hút 600CV, cự ly ≤500m</t>
  </si>
  <si>
    <t>San đầm đất mặt bằng, bằng máy đầm 9 tấn, độ chặt yêu cầu K=0,85</t>
  </si>
  <si>
    <t>Đắp đê, đập, kênh mương bằng máy đầm 9 tấn, dung trọng ≤1,65T/m3</t>
  </si>
  <si>
    <t>Đắp nền đường máy đầm 9 tấn, độ chặt yêu cầu K=0,85</t>
  </si>
  <si>
    <t>Đắp đất công trình bằng máy đầm cóc, độ chặt yêu cầu K=0,85</t>
  </si>
  <si>
    <t>Đắp cát công trình bằng máy đầm 9 tấn, độ chặt yêu cầu K=0,85</t>
  </si>
  <si>
    <t>Đắp đá lớp đệm dưới lớp bê tông bản mặt bằng đá có Dmax ≤80mm</t>
  </si>
  <si>
    <t>Nạo vét bằng tàu hút công suất ≤1000CV, chiều sâu nạo vét ≤6m, chiều cao ống xả ≤3m, chiều dài ống xả ≤300m, đất phù sa bùn lỏng</t>
  </si>
  <si>
    <t>Nạo vét bằng tàu cuốc sông TC 82 495CV (hoặc tương tự), đất phù sa bùn lỏng</t>
  </si>
  <si>
    <t>Nạo vét bằng tàu hút bụng tự hành công suất ≤2500CV, độ sâu hạ gầu từ 4 đến 6m, cự ly vận chuyển đất ≤6km, đất phù sa bùn lỏng</t>
  </si>
  <si>
    <t>Nạo vét kênh mương bằng máy đào gầu dây ≤0,4m3, chiều cao đổ đất ≤3m, bùn đặc, đất sỏi lắng đọng dưới 3 năm</t>
  </si>
  <si>
    <t>Vận chuyển đất, cát đổ đi bằng tàu kéo 360CV + xà lan 400 tấn, vận chuyển 1km đầu</t>
  </si>
  <si>
    <t>Vận chuyển đất, cát đổ đi 1km tiếp theo ngoài 6km đầu, trong phạm vi 6 đến 20km bằng tàu hút bụng tự hành, công suất &lt;2500CV</t>
  </si>
  <si>
    <t>Đóng cọc tre, bằng thủ công, chiều dài cọc ngập đất ≤2,5m, đất bùn</t>
  </si>
  <si>
    <t>Đóng cọc gỗ bằng máy trên mặt đất, cọc dài ≤10m, đất cấp I</t>
  </si>
  <si>
    <t>Đóng cọc BTCT trên mặt đất, chiều dài cọc ≤24m, bằng búa máy có trọng lượng đầu búa ≤1,2 tấn, đất cấp I, kích thước cọc 20x20cm</t>
  </si>
  <si>
    <t>Đóng cọc BTCT trên mặt đất, chiều dài cọc ≤24m, bằng búa máy có trọng lượng đầu búa ≤1,8 tấn, đất cấp I, kích thước cọc 20x20cm</t>
  </si>
  <si>
    <t>Đóng cọc BTCT trên mặt đất, chiều dài cọc ≤24m, bằng búa máy có trọng lượng đầu búa ≤2,5 tấn, đất cấp I, kích thước cọc 25x25cm</t>
  </si>
  <si>
    <t>Đóng cọc BTCT trên mặt đất, chiều dài cọc ≤24m, bằng búa máy có trọng lượng đầu búa ≤3,5 tấn, đất cấp I, kích thước cọc 30x30cm</t>
  </si>
  <si>
    <t>Đóng cọc BTCT trên mặt nước, chiều dài cọc ≤24m, bằng tàu đóng cọc trọng lượng đầu búa ≤1,8 tấn, kích thước cọc 30x30cm</t>
  </si>
  <si>
    <t>Đóng cọc BTCT trên mặt nước, chiều dài cọc ≤24m, bằng tàu đóng cọc trọng lượng đầu búa ≤2,5 tấn, kích thước cọc 30x30cm</t>
  </si>
  <si>
    <t>Đóng cọc BTCT trên mặt nước, chiều dài cọc ≤24m, bằng tàu đóng cọc trọng lượng đầu búa ≤3,5 tấn, kích thước cọc 30x30cm</t>
  </si>
  <si>
    <t>Đóng cọc ống BTCT trên cạn, bằng máy đóng cọc hoặc búa rung, đường kính cọc ≤550mm</t>
  </si>
  <si>
    <t>Đóng cọc ván thép (cọc Larsen) trên mặt đất, chiều dài cọc ≤12m, đất cấp I</t>
  </si>
  <si>
    <t>Nhổ cọc thép hình, thép ống làm tường chắn đất, sàn thao tác trên cạn</t>
  </si>
  <si>
    <t>Ép trước cọc BTCT, kích thước cọc 15x15cm, chiều dài đoạn cọc ≤4m, đất cấp I</t>
  </si>
  <si>
    <t>Ép trước cọc BTCT, kích thước cọc 30x30cm, chiều dài đoạn cọc ≤4m, đất cấp I</t>
  </si>
  <si>
    <t>Nhổ cọc cừ Larsen bằng máy ép thủy lực</t>
  </si>
  <si>
    <t>Ép sau cọc BTCT, kích thước cọc 10x10cm, chiều dài đoạn cọc ≤4m, đất cấp I</t>
  </si>
  <si>
    <t>Nối cọc ván thép Larsen trên cạn</t>
  </si>
  <si>
    <t>Khoan tạo lỗ bằng phương pháp khoan lắc có ống vách, khoan vào đất trên cạn, bằng máy khoan VRM HĐ, Lepper (hoặc tương tự), đường kính lỗ khoan 800mm</t>
  </si>
  <si>
    <t>Khoan tạo lỗ bằng phương pháp khoan xoay phản tuần hoàn (có sử dụng dung dịch khoan), khoan vào đất trên cạn, bằng máy khoan TRC-15 (hoặc tương tự), đường kính lỗ khoan 800mm</t>
  </si>
  <si>
    <t>Khoan tạo lỗ bằng phương pháp khoan xoay, khoan vào đất trên cạn, bằng máy khoan T2W 300CV (hoặc tương tự), đường kính lỗ khoan 600mm</t>
  </si>
  <si>
    <t>Đào tạo lỗ cọc, tường barette, kích thước đào 0,5x1,2m</t>
  </si>
  <si>
    <t>Làm móng đường đá ba, đá hộc, chiều dày lớp móng đã lèn ép ≤20cm</t>
  </si>
  <si>
    <t>Làm lớp móng cát vàng gia cố xi măng, trạm trộn 20-25m3/h, tỷ lệ xi măng 6%</t>
  </si>
  <si>
    <t>Làm mặt đường đá dăm nước lớp trên, chiều dày mặt đường đã lèn ép 8cm</t>
  </si>
  <si>
    <t>Làm mặt đường đá 4x6 chèn đá dăm, chiều dày mặt đường đã lèn ép 10cm</t>
  </si>
  <si>
    <t>Rải thảm mặt đường đá dăm đen, chiều dày mặt đường đã lèn ép 3cm</t>
  </si>
  <si>
    <t>Láng nhựa mặt đường 1 lớp nhựa dày 1,5cm, tiêu chuẩn nhựa 1,8kg/m2</t>
  </si>
  <si>
    <t>Cày xới mặt đường cũ, mặt đường đá dăm hoặc láng nhựa</t>
  </si>
  <si>
    <t>Sản xuất đá dăm đen bằng trạm trộn ≤25T/h</t>
  </si>
  <si>
    <t>Vận chuyển hỗn hợp cát mịn, cát vàng gia cố xi măng từ trạm trộn đến vị trí đổ bằng ôtô 5 tấn, cự ly 0,5km</t>
  </si>
  <si>
    <t>Làm cọc tiêu bê tông cốt thép 0,12x0,12x1,025m</t>
  </si>
  <si>
    <t>Sản xuất, lắp đặt trụ đỡ bảng tên đường, bảng lưu thông bằng sắt L50x50x5</t>
  </si>
  <si>
    <t>Gắn viên phản quang trên mặt bê tông</t>
  </si>
  <si>
    <t>Sản xuất phao tiêu báo hiệu đường sông, đường kính 0,8m</t>
  </si>
  <si>
    <t>Lắp đặt phao tiêu đường sông, đường kính 0,8m</t>
  </si>
  <si>
    <t>Xây móng bằng đá hộc, chiều dày ≤60cm, vữa XM mác 50</t>
  </si>
  <si>
    <t>Xếp đá khan không chít mạch, mặt bằng</t>
  </si>
  <si>
    <t>Xây móng bằng gạch chỉ đặc 6,5x10,5x22, chiều dày ≤33cm, vữa XM mác 25</t>
  </si>
  <si>
    <t>Xây tường thẳng bằng gạch chỉ đặc 6,5x10,5x22, chiều dày ≤11cm, chiều cao ≤4m, vữa XM mác 25</t>
  </si>
  <si>
    <t>Xây cột, trụ bằng gạch chỉ đặc 6,5x10,5x22, chiều cao ≤4m, vữa XM mác 25</t>
  </si>
  <si>
    <t>Xây tường cong nghiêng vặn vỏ đỗ bằng gạch chỉ đặc 6,5x10,5x22, chiều dày ≤33cm, chiều cao ≤4m, vữa XM mác 25</t>
  </si>
  <si>
    <t>Xây cống cuốn cong bằng gạch chỉ đặc 6,5x10,5x22, vữa XM mác 50</t>
  </si>
  <si>
    <t>Xây bể chứa bằng gạch chỉ đặc 6,5x10,5x22, vữa XM mác 25</t>
  </si>
  <si>
    <t>Xây bể chứa hóa chất, bể chống ăn mòn bằng gạch chỉ đặc 6,5x10,5x22</t>
  </si>
  <si>
    <t>Xây tường gạch bê tông rỗng 20x20x40cm, tường dày ≤30cm, vữa XM mác 25</t>
  </si>
  <si>
    <t>Bê tông sản xuất qua dây chuyền trạm trộn tại hiện trường hoặc vữa bê tông thương phẩm từ các cơ sở sản xuất tập trung và đổ bằng cần cẩu, bê tông móng, chiều rộng móng &gt;250cm, vữa bê tông đá 1x2 mác 200</t>
  </si>
  <si>
    <t>Bê tông sản xuất qua dây chuyền trạm trộn tại hiện trường hoặc vữa bê tông thương phẩm từ các cơ sở sản xuất tập trung và đổ bằng cần cẩu, bê tông tường dày ≤45cm, chiều cao ≤4m, vữa bê tông đá 1x2 mác 150</t>
  </si>
  <si>
    <t>Xây tường bằng gạch thông gió 20x20cm, vữa XM mác 25</t>
  </si>
  <si>
    <t>Xây ống khói bằng gạch chịu lửa</t>
  </si>
  <si>
    <t>Xây tường lò nung bằng gạch chịu lửa</t>
  </si>
  <si>
    <t>Bê tông đá dăm sản xuất bằng máy trộn, đổ bằng thủ công, bê tông lót móng rộng ≤250cm, vữa bê tông đá 4x6 mác 100</t>
  </si>
  <si>
    <t>Bê tông đá dăm sản xuất bằng máy trộn, đổ bằng thủ công, bê tông tường dày ≤45cm, chiều cao ≤4m, vữa bê tông đá 1x2 mác 150</t>
  </si>
  <si>
    <t>Bê tông đá dăm sản xuất bằng máy trộn, đổ bằng thủ công, bê tông giếng nước, giếng cáp, vữa bê tông đá 1x2 mác 150</t>
  </si>
  <si>
    <t>Bê tông đá dăm sản xuất bằng máy trộn, đổ bằng thủ công, bê tông bể chứa dạng thành thẳng, vữa bê tông đá 1x2 mác 150</t>
  </si>
  <si>
    <t>Bê tông đá dăm sản xuất bằng máy trộn, đổ bằng thủ công, bê tông máng thu nước và phân phối trên khu xử lý (dạng chữ V, hình bán nguyệt và đa giác), vữa bê tông đá 1x2 mác 150</t>
  </si>
  <si>
    <t>Bê tông sản xuất qua dây chuyền trạm trộn tại hiện trường hoặc vữa bê tông thương phẩm từ các cơ sở sản xuất tập trung và đổ bằng cần cẩu, bê tông móng, mố trụ cầu trên cạn, vữa bê tông đá 1x2 mác 150</t>
  </si>
  <si>
    <t>Bê tông sản xuất qua dây chuyền trạm trộn tại hiện trường hoặc vữa bê tông thương phẩm từ các cơ sở sản xuất tập trung và đổ bằng cần cẩu, bê tông mối nối bản dầm dọc cầu cảng, vữa bê tông đá 1x2 mác 200</t>
  </si>
  <si>
    <t>Bê tông sản xuất qua dây chuyền trạm trộn tại hiện trường hoặc vữa bê tông thương phẩm từ các cơ sở sản xuất tập trung và đổ bằng cần cẩu, bê tông cọc nhồi trên cạn, đường kính ≤1000mm, vữa bê tông đá 1x2 mác 200</t>
  </si>
  <si>
    <t>Bê tông sản xuất qua dây chuyền trạm trộn tại hiện trường hoặc vữa bê tông thương phẩm từ các cơ sở sản xuất tập trung và đổ bằng cần cẩu, bê tông bể chứa dạng thành thẳng, vữa bê tông đá 1x2 mác 200</t>
  </si>
  <si>
    <t>Bê tông sản xuất qua dây chuyền trạm trộn tại hiện trường hoặc vữa bê tông thương phẩm từ các cơ sở sản xuất tập trung và đổ bằng cần cẩu, bê tông trượt lồng thang máy, vữa bê tông đá 1x2 mác 200</t>
  </si>
  <si>
    <t>Làm lớp vữa XM mác 100 bảo vệ mái đập</t>
  </si>
  <si>
    <t>Bê tông sản xuất qua dây chuyền trạm trộn tại hiện trường hoặc vữa bê tông thương phẩm từ các cơ sở sản xuất tập trung và đổ bằng máy bơm bê tông tự hành, bê tông móng, rộng ≤250cm, vữa bê tông đá 1x2 mác 150</t>
  </si>
  <si>
    <t>Bê tông sản xuất qua dây chuyền trạm trộn tại hiện trường hoặc vữa bê tông thương phẩm từ các cơ sở sản xuất tập trung và đổ bằng máy bơm bê tông tự hành, bê tông tường, dày ≤45cm, chiều cao ≤4m, vữa bê tông đá 1x2 mác 150</t>
  </si>
  <si>
    <t>Bê tông sản xuất qua dây chuyền trạm trộn tại hiện trường hoặc vữa bê tông thương phẩm từ các cơ sở sản xuất tập trung và đổ bằng máy bơm bê tông tự hành, bê tông móng, mố, trụ cầu trên cạn, vữa bê tông đá 1x2 mác 150</t>
  </si>
  <si>
    <t>Bê tông sản xuất qua dây chuyền trạm trộn tại hiện trường hoặc vữa bê tông thương phẩm từ các cơ sở sản xuất tập trung và đổ bằng máy bơm bê tông tự hành, bê tông mối nối bản dầm dọc cầu cảng, vữa bê tông đá 1x2 mác 200</t>
  </si>
  <si>
    <t>Bê tông sản xuất qua dây chuyền trạm trộn tại hiện trường hoặc vữa bê tông thương phẩm từ các cơ sở sản xuất tập trung và đổ bằng máy bơm bê tông tự hành, bê tông cọc nhồi trên cạn, đường kính ≤1000mm, vữa bê tông đá 1x2 mác 200</t>
  </si>
  <si>
    <t>Bê tông sản xuất qua dây chuyền trạm trộn tại hiện trường và đổ bằng máy bơm bê tông, bê tông toàn tiết diện hầm ngang, vữa bê tông đá 1x2 mác 200</t>
  </si>
  <si>
    <t>Bê tông sản xuất qua dây chuyền trạm trộn tại hiện trường hoặc vữa bê tông thương phẩm từ các cơ sở sản xuất tập trung và đổ bằng máy bơm bê tông tự hành, bê tông bịt đáy trong khung vây trên cạn, vữa bê tông đá 1x2 mác 200</t>
  </si>
  <si>
    <t>Bê tông thủy công lót móng, lấp đầy, đổ bằng cần cẩu 16 tấn, vữa bê tông đá 2x4 mác 100</t>
  </si>
  <si>
    <t>Sản xuất cấu kiện bê tông đúc sẵn bằng vữa bê tông sản xuất qua dây chuyền trạm trộn tại hiện trường hoặc vữa bê tông thương phẩm, bê tông dầm hộp T (bản rỗng), đổ bằng cần cẩu, vữa bê tông đá 1x2 mác 300</t>
  </si>
  <si>
    <t>Sản xuất, lắp đặt cốt thép bê tông đúc sẵn cột, cọc, cừ, xà dầm, giằng, đường kính ≤10mm</t>
  </si>
  <si>
    <t>Sản xuất vữa bê tông qua dây chuyền trạm trộn ≤16m3/h tại hiện trường</t>
  </si>
  <si>
    <t>Vận chuyển vữa bê tông bằng ô tô chuyển trộn 6m3, trong phạm vi ≤0,5km</t>
  </si>
  <si>
    <t>Sản xuất, lắp dựng cốt thép móng, đường kính ≤10mm</t>
  </si>
  <si>
    <t>Sản xuất, lắp dựng cốt thép lồng thang máy, đường kính ≤10mm</t>
  </si>
  <si>
    <t>Sản xuất, lắp dựng cốt thép giếng nước, giếng cáp, đường kính ≤10mm</t>
  </si>
  <si>
    <t>Sản xuất, lắp dựng cốt thép cầu máng thường, đường kính ≤10mm</t>
  </si>
  <si>
    <t>Sản xuất, lắp dựng cốt thép móng, mố, trụ, mũ mố, mũ trụ cầu trên cạn, đường kính ≤10mm</t>
  </si>
  <si>
    <t>Sản xuất, lắp dựng cáp thép dự ứng lực dầm cầu đúc hẫng (kéo sau) trên cạn</t>
  </si>
  <si>
    <t>Sản xuất, lắp dựng cốt thép cọc khoan nhồi, cọc, tường barette trên cạn, đường kính ≤18mm</t>
  </si>
  <si>
    <t>Sản xuất cốt thép bê tông hầm, đường kính ≤18mm</t>
  </si>
  <si>
    <t>Sản xuất, lắp dựng cốt thép móng, nền, bản đáy công trình thủy công, đường kính ≤10mm, bằng cần cẩu 16 tấn</t>
  </si>
  <si>
    <t>Sản xuất, lắp dựng tháo dỡ ván khuôn cho bê tông đổ tại chỗ, ván khuôn gỗ móng dài, bệ máy</t>
  </si>
  <si>
    <t>Sản xuất hệ ván khuôn, hệ khung đỡ ván khuôn hầm bằng kim loại</t>
  </si>
  <si>
    <t>Sản xuất cấu kiện bê tông đúc sẵn, bê tông cọc, cột, vữa bê tông đá 1x2 mác 150</t>
  </si>
  <si>
    <t>Lắp dựng tấm tường 3D-SG, chiều dày lõi mốp xốp 5cm</t>
  </si>
  <si>
    <t>Sản xuất, lắp dựng tháo dỡ ván khuôn gỗ, ván khuôn panen</t>
  </si>
  <si>
    <t>Sản xuất, lắp dựng tháo dỡ ván khuôn kim loại, ván khuôn dầm cầu bản</t>
  </si>
  <si>
    <t>Lắp dựng các loại cấu kiện bê tông đúc sẵn bằng máy, lắp cột, trọng lượng cấu kiện ≤2,5 tấn</t>
  </si>
  <si>
    <t>Lắp các loại cấu kiện bê tông đúc sẵn bằng thủ công, trọng lượng cấu kiện ≤50kg</t>
  </si>
  <si>
    <t>Lắp, tổ hợp dầm dàn cầu thép tại bãi</t>
  </si>
  <si>
    <t>Lao lắp dầm bê tông bằng cẩu lao dầm hoặc cẩu long môn, chiều dài dầm ≤30m</t>
  </si>
  <si>
    <t>Di chuyển dầm cầu, chiều dài dầm ≤30m</t>
  </si>
  <si>
    <t>Sản xuất, lắp dựng vì kèo gỗ mái ngói khẩu độ ≤6,9m</t>
  </si>
  <si>
    <t>Sản xuất, lắp dựng giằng vì kèo theo thanh đứng gian giữa khẩu độ ≤6,9m</t>
  </si>
  <si>
    <t>Sản xuất, lắp dựng xà gồ gỗ mái thẳng</t>
  </si>
  <si>
    <t>Sản xuất, lắp dựng dầm cầu gỗ chiều dài cầu ≤6m</t>
  </si>
  <si>
    <t>Lắp dựng khuôn cửa đơn</t>
  </si>
  <si>
    <t>Lắp dựng cửa vào khuôn</t>
  </si>
  <si>
    <t>Sản xuất vì kèo thép hình khẩu độ lớn (18-24)m</t>
  </si>
  <si>
    <t>Sản xuất cấu kiện thép đặt sẵn trong bê tông, khối lượng ≤10kg/cấu kiện</t>
  </si>
  <si>
    <t>Sản xuất cấu kiện dầm thép dàn kín, thanh má hạ, má thượng, thanh đầu dàn cầu thép</t>
  </si>
  <si>
    <t>Sản xuất cấu kiện dầm thép, dầm chủ</t>
  </si>
  <si>
    <t>Sản xuất cửa van phẳng</t>
  </si>
  <si>
    <t>Sản xuất kết cấu thép thành bình, bể thùng tháp dạng hình vuông, chữ nhật</t>
  </si>
  <si>
    <t>Sản xuất mặt bích đặc, khối lượng ≤10kg</t>
  </si>
  <si>
    <t>Lắp dựng cột thép các loại</t>
  </si>
  <si>
    <t>Lắp dựng dầm cầu thép các loại trên cạn</t>
  </si>
  <si>
    <t>Lắp dựng các loại cửa sắt xếp, cửa cuốn</t>
  </si>
  <si>
    <t>Lắp đặt kết cấu thép thành bình, bể dạng hình vuông, chữ nhật</t>
  </si>
  <si>
    <t>Lắp đặt cửa van phẳng, độ cao đóng mở ≤5m</t>
  </si>
  <si>
    <t>Lợp mái ngói 22v/m2, chiều cao ≤4m</t>
  </si>
  <si>
    <t>Lợp mái, che tường bằng fibrô xi măng</t>
  </si>
  <si>
    <t>Dán ngói mũi hài 75v/m2 trên mái nghiêng bê tông</t>
  </si>
  <si>
    <t>Trát tường ngoài, chiều dày trát 1cm, vữa XM mác 25</t>
  </si>
  <si>
    <t>Trát trụ cột, lam đứng, cầu thang, chiều dày trát 1cm, vữa XM mác 25</t>
  </si>
  <si>
    <t>Trát xà dầm, vữa XM mác 25</t>
  </si>
  <si>
    <t>Trát sênô, mái hắt, lam ngang, vữa XM mác 50</t>
  </si>
  <si>
    <t>Trát granitô gờ chỉ, gờ lồi, đố tường, vữa XM mác 50</t>
  </si>
  <si>
    <t>Trát đá rửa tường, vữa XM mác 50</t>
  </si>
  <si>
    <t>Ốp tường, trụ, cột, kích thước gạch 200x250mm</t>
  </si>
  <si>
    <t>Ốp đá granít tự nhiên vào tường, có chốt bằng inox</t>
  </si>
  <si>
    <t>m2</t>
  </si>
  <si>
    <t>Láng nền sàn không đánh mầu, chiều dày 2cm, vữa XM mác 50</t>
  </si>
  <si>
    <t>Láng sênô, mái hắt, máng nước dày 1cm, vữa XM mác 50</t>
  </si>
  <si>
    <t>Láng granitô nền sàn</t>
  </si>
  <si>
    <t>Láng gắn sỏi nền, sân, hè đường, chiều dày 1,5cm</t>
  </si>
  <si>
    <t>Lát gạch chỉ 6,5x10,5x21cm</t>
  </si>
  <si>
    <t>Lát gạch granít nhân tạo bậc tam cấp</t>
  </si>
  <si>
    <t>Lát gạch chống nóng 6 lỗ 22x15x10,5cm</t>
  </si>
  <si>
    <t>Lát gạch sân, nền đường, vỉa hè bằng gạch xi măng</t>
  </si>
  <si>
    <t>Lát nền, sàn đá cẩm thạch tiết diện đá ≤0,16m2</t>
  </si>
  <si>
    <t>Bó vỉa thẳng hè, đường bằng tấm bê tông đúc sẵn 18x22x100cm</t>
  </si>
  <si>
    <t>Làm trần cót ép</t>
  </si>
  <si>
    <t>Làm trần gỗ dán (ván ép) có tấm cách âm bằng tấm acostic</t>
  </si>
  <si>
    <t>Làm trần ván ép bọc simili, mút dầy 3÷5cm nẹp phân ô bằng gỗ</t>
  </si>
  <si>
    <t>Làm trần bằng tấm thạch cao hoa văn 50x50cm</t>
  </si>
  <si>
    <t>Làm trần lambris gỗ dày 1cm</t>
  </si>
  <si>
    <t>Làm trần phẳng bằng tấm thạch cao Elephant Brand, khung xương Rondo</t>
  </si>
  <si>
    <t>Làm vách ngăn bằng ván ép</t>
  </si>
  <si>
    <t>Gia công và đóng chân tường bằng gỗ, kích thước 2x10cm</t>
  </si>
  <si>
    <t>Gia công lắp dựng khung gỗ để đóng lưới, vách ngăn</t>
  </si>
  <si>
    <t>Làm mặt sàn gỗ, gỗ ván dày 2cm</t>
  </si>
  <si>
    <t>Làm tường lambris dày 1cm</t>
  </si>
  <si>
    <t>Gia công và đóng mắt cáo bằng nẹp gỗ 3x1cm, lỗ 5x5cm</t>
  </si>
  <si>
    <t>Dán foocmica vào kết cấu dạng tấm</t>
  </si>
  <si>
    <t>Bả xi măng vào tường</t>
  </si>
  <si>
    <t>Sơn cửa kính 2 nước</t>
  </si>
  <si>
    <t>Sơn tạo gai tường 1 nước lót + 1 nước phủ bằng sơn Super Ata</t>
  </si>
  <si>
    <t>Sơn kẻ đường bằng sơn dẻo nhiệt (công nghệ sơn nóng), chiều dày lớp sơn 1mm</t>
  </si>
  <si>
    <t>Quét flinkote chống thấm mái, sê nô, ô văng...</t>
  </si>
  <si>
    <t>Đánh vécni colalt</t>
  </si>
  <si>
    <t>Quét nhựa bitum nóng vào tường</t>
  </si>
  <si>
    <t>Quét nhựa đường chống thấm và mối nối ống cống, đường kính 0,75m</t>
  </si>
  <si>
    <t>Làm tầng lọc cát</t>
  </si>
  <si>
    <t>Miết mạch tường đá loại lõm</t>
  </si>
  <si>
    <t>Làm lớp đá đệm móng, loại đá dmax ≤4</t>
  </si>
  <si>
    <t>Tẩy rỉ kết cấu thép bằng phun cát, loại dầm, dàn mới</t>
  </si>
  <si>
    <t>Làm móng đường thoát nước, ngập nước ≤1,5m bằng cát hạt nhỏ</t>
  </si>
  <si>
    <t>Làm móng cầu bến ngập nước, móng cát sâu ≤1,5m không có tường vây</t>
  </si>
  <si>
    <t>Làm lớp lót móng trong khung vây bằng đá hộc</t>
  </si>
  <si>
    <t>Làm và thả rọ đá, loại rọ 2x1x1m dưới nước</t>
  </si>
  <si>
    <t>Cấy bấc thấm bằng máy</t>
  </si>
  <si>
    <t>Trồng cỏ mái kênh mương, đê, đập, mái taluy nền đường</t>
  </si>
  <si>
    <t>Trồng cỏ vetiver gia cố mái taluy dương</t>
  </si>
  <si>
    <t>AL.19111</t>
  </si>
  <si>
    <t>Bảo trì cỏ kỹ thuật trên đê</t>
  </si>
  <si>
    <t>Làm khe co 1x4 đường lăn, sân đỗ</t>
  </si>
  <si>
    <t>Cắt khe 1x4 đường lăn, sân đỗ</t>
  </si>
  <si>
    <t>Trám khe 1x4 đường lăn, sân đỗ bằng mastic</t>
  </si>
  <si>
    <t>Làm khe co sân, bãi, mặt đường bê tông</t>
  </si>
  <si>
    <t>Lắp đặt gối cầu bằng thép</t>
  </si>
  <si>
    <t>Làm cầu máng vỏ mỏng dày 3cm bằng vữa XM mác 100 và lưới thép</t>
  </si>
  <si>
    <t>Làm khớp nối bằng thép, kiểu I</t>
  </si>
  <si>
    <t>Khoan lỗ để phun xi măng gia cố nền đập, màng chống thấm và khoan lỗ kiểm tra nền đập, màng chống thấm, chiều sâu lỗ khoan ≤10m</t>
  </si>
  <si>
    <t>Đục cạy dọn nền hầm đá bằng máy búa căn trước khi đổ bê tông</t>
  </si>
  <si>
    <t>Khoan kiểm tra, xử lý đáy cọc khoan nhồi, đường kính lỗ khoan ≤80mm</t>
  </si>
  <si>
    <t>Lắp dựng dàn giáo ngoài, chiều cao ≤16m</t>
  </si>
  <si>
    <t>Bốc xếp và vận chuyển lên cao cát các loại, than xỉ</t>
  </si>
  <si>
    <t>Bốc xếp và vận chuyển lên gạch xây các loại</t>
  </si>
  <si>
    <t>Bốc xếp và vận chuyển lên cao vôi, than xỉ các loại</t>
  </si>
  <si>
    <t>Bốc xếp và vận chuyển lên cao vật tư và các loại phụ kiện cấp thoát nước, vệ sinh trong nhà</t>
  </si>
  <si>
    <t>Bốc xếp và vận chuyển lên cao cửa các loại</t>
  </si>
  <si>
    <t>Bốc xếp và vận chuyển lên cao vật liệu phụ các loại</t>
  </si>
  <si>
    <t>Lắp đặt quạt điện - quạt trần</t>
  </si>
  <si>
    <t>Lắp đặt máy điều hòa 1 cục (dây điện theo thiết kế)</t>
  </si>
  <si>
    <t>Lắp đặt các loại đèn có chao chụp - đèn thường</t>
  </si>
  <si>
    <t>Lắp đặt ống kim loại đặt nổi bảo hộ dây dẫn, đường kính ≤26mm</t>
  </si>
  <si>
    <t>Lắp đặt ống sứ luồn qua tường gạch, chiều dài ống ≤150mm</t>
  </si>
  <si>
    <t>Kéo rải các loại dây dẫn, lắp đặt dây đơn 1x0,3mm2</t>
  </si>
  <si>
    <t>Lắp đặt bảng gỗ 90x150mm vào tường gạch</t>
  </si>
  <si>
    <t>Lắp đặt các thiết bị đóng ngắt, lắp công tắc có số hạt trên 1 công tắc là 1</t>
  </si>
  <si>
    <t>Lắp đặt các thiết bị đo lường bảo vệ, lắp đặt loại đồng hồ Vôn kế</t>
  </si>
  <si>
    <t>Gia công và đóng cọc chống sét</t>
  </si>
  <si>
    <t>Lắp đặt ống thép đen, bằng phương pháp hàn đoạn ống dài 8m, đường kính ống 15mm</t>
  </si>
  <si>
    <t>Lắp đặt ống đồng dẫn ga các loại, bằng phương pháp hàn, đoạn ống dài 2m, đường kính ống 6,4mm</t>
  </si>
  <si>
    <t>Lắp đặt ống nhựa miệng bát, nối bằng phương pháp dán keo đoạn ống dài 6m, đường kính ống 20mm</t>
  </si>
  <si>
    <t>Lắp đặt ống nhựa nhôm, nối bằng phương pháp măng sông, đoạn ống dài 100m, đường kính ống 12mm</t>
  </si>
  <si>
    <t>Gia công và lắp đặt ống thông gió hộp bằng phương pháp hàn, chu vi ống 0,8m</t>
  </si>
  <si>
    <t>Lắp đặt côn bê tông, nối bằng phương pháp gioăng cao su, đường kính 400mm</t>
  </si>
  <si>
    <t>Lắp đặt côn gang, nối bằng phương pháp gioăng cao su, đường kính 100mm</t>
  </si>
  <si>
    <t>Lắp đặt côn thép tráng kẽm, nối bằng phương pháp măng sông, đường kính 20mm</t>
  </si>
  <si>
    <t>Lắp đặt côn đồng, nối bằng phương pháp hàn, đường kính 6,4mm</t>
  </si>
  <si>
    <t>Lắp đặt côn nhựa miệng bát, nối bằng phương pháp dán keo, đường kính 32mm</t>
  </si>
  <si>
    <t>Lắp đặt côn nhựa gân xoắn HDPE 1 lớp, nối bằng ống nối, đường kính 100mm</t>
  </si>
  <si>
    <t>Khoan giếng bằng máy khoan đập cáp 40kw, độ sâu ≤50m, đường kính lỗ khoan từ 700mm đến &lt;800mm, đất đá cấp III</t>
  </si>
  <si>
    <t>Khoan giếng bằng máy khoan đập cáp 40kw, độ sâu khoan từ 50m đến ≤100m, đường kính lỗ khoan từ 300mm đến &lt;400mm, cấp đất đá I - II</t>
  </si>
  <si>
    <t>Khoan giếng bằng máy khoan xoay tự hành 54CV, độ sâu khoan ≤50m, đường kính lỗ khoan &lt;200mm, đất đá cấp I - III</t>
  </si>
  <si>
    <t>Khoan giếng bằng máy khoan xoay tự hành 54CV, độ sâu khoan 50m đến ≤100m, đường kính lỗ khoan &lt;200mm, đất đá cấp I - III</t>
  </si>
  <si>
    <t>Khoan giếng bằng máy khoan xoay tự hành 54CV, độ sâu khoan 100 m đến ≤150m, đường kính lỗ khoan &lt;200mm, đất đá cấp I - III</t>
  </si>
  <si>
    <t>Gia công, lắp đặt thanh tăng cường cho hệ thống điều hòa không khí</t>
  </si>
  <si>
    <t>Lắp đặt BU đường kính 80mm</t>
  </si>
  <si>
    <t>Lắp đặt trụ cứu hỏa đường kính 100mm</t>
  </si>
  <si>
    <t>Lắp đặt đồng hồ đo lưu lượng đường kính ≤50mm</t>
  </si>
  <si>
    <t>Lắp đặt van mặt bích đường kính 40mm</t>
  </si>
  <si>
    <t>Lắp đặt bích thép đường kính 40mm</t>
  </si>
  <si>
    <t>Lắp đặt nút bịt nhựa nối măng sông, đường kính 15mm</t>
  </si>
  <si>
    <t>Cắt ống HDPE, bằng thủ công, đường kính 100mm</t>
  </si>
  <si>
    <t>Thử áp lực đường ống gang và đường ống thép, đường kính &lt;100mm</t>
  </si>
  <si>
    <t>Lắp đặt chậu rửa 1 vòi</t>
  </si>
  <si>
    <t>Lắp đặt thùng đun nước nóng kiểu thường</t>
  </si>
  <si>
    <t>Lắp đặt bể chứa nước bằng inox, dung tích 0,5m3</t>
  </si>
  <si>
    <t>Bảo ôn ống và phụ tùng thông gió bằng bông khoáng</t>
  </si>
  <si>
    <t>Bảo ôn ống và phụ tùng thông gió bằng bông thủy tinh, lớp bông thủy tinh dày 25mm</t>
  </si>
  <si>
    <t>Bảo ôn đường ống, bằng bông khoáng, lớp bọc 25mm, đường kính 15mm</t>
  </si>
  <si>
    <t>Bảo ôn ống đồng, bằng ống cách nhiệt xốp, đường kính 6,4mm</t>
  </si>
  <si>
    <t>Lắp đặt và tháo dỡ thiết bị khoan giếng, máy khoan đập cáp 40kw</t>
  </si>
  <si>
    <t>Khoan giếng bằng máy khoan xoay tự hành 54CV, độ sâu khoan 150m đến ≤200m, đường kính lỗ khoan &lt;200mm, đất đá cấp I - III</t>
  </si>
  <si>
    <t>Khoan giếng bằng máy khoan xoay tự hành 300CV, độ sâu khoan ≤50m, đường kính lỗ khoan 300mm đến &lt;400mm, đất đá cấp I - III</t>
  </si>
  <si>
    <t>Đo vẽ chi tiết bản đồ ở dưới nước, bản đồ tỷ lệ 1/2000, đồng mức 1m, cấp địa hình II</t>
  </si>
  <si>
    <t>Đo vẽ chi tiết bản đồ ở dưới nước, bản đồ tỷ lệ 1/5000, đồng mức 2m, cấp địa hình I</t>
  </si>
  <si>
    <t>Đo vẽ chi tiết bản đồ ở dưới nước, bản đồ tỷ lệ 1/10.000, đồng mức 2m, cấp địa hình I</t>
  </si>
  <si>
    <t>Khoan giếng bằng máy khoan xoay tự hành 300CV, độ sâu khoan 50m đến ≤100m, đường kính lỗ khoan 300mm đến &lt;400mm, đất đá cấp I - III</t>
  </si>
  <si>
    <t>Khoan giếng bằng máy khoan xoay tự hành 300CV, độ sâu khoan 100 m đến ≤150m, đường kính lỗ khoan 300mm đến &lt;400mm, đất đá cấp I - III</t>
  </si>
  <si>
    <t>Khoan giếng bằng máy khoan xoay tự hành 300CV, độ sâu khoan 150m đến ≤200m, đường kính lỗ khoan 300mm đến &lt;400mm, đất đá cấp I - III</t>
  </si>
  <si>
    <t>Lắp đặt chụp lọc sứ</t>
  </si>
  <si>
    <t>Đào đất đá bằng thủ công, đào không chống, độ sâu từ 0m-2m, đất đá cấp I-III</t>
  </si>
  <si>
    <t>Đào đất đá bằng thủ công, đào có chống, độ sâu từ 0m-2m, đất đá cấp I-III</t>
  </si>
  <si>
    <t>Khoan tay độ sâu hố khoan đến 10m, đất đá cấp I-III</t>
  </si>
  <si>
    <t>Khoan xoay bơm rửa bằng ống mẫu ở trên cạn, độ sâu hố khoan từ 0m-30m, đất đá cấp I-III</t>
  </si>
  <si>
    <t>Bơm cấp nước phục vụ khoan xoay bơm rửa ở trên cạn (khi phải tiếp nước cho các lỗ khoan ở xa nguồn nước &gt;50m hoặc cao hơn nơi lấy nước ≥9m), độ sâu hố khoan đến 30m, đất đá cấp I-III</t>
  </si>
  <si>
    <t>Khoan xoay bơm rửa bằng ống mẫu dưới nước, độ sâu hố khoan từ 0m-30m, đất đá cấp I-III</t>
  </si>
  <si>
    <t>Khoan đường kính lớn, địa hình nền khoan khô ráo, đường kính lỗ khoan đến 400mm, độ sâu hố khoan từ 0m-10m, đất đá cấp I-III</t>
  </si>
  <si>
    <t>Khoan đường kính lớn, địa hình nền khoan khô ráo, đường kính lỗ khoan đến 600mm, độ sâu hố khoan từ 0m-10m, đất đá cấp I-III</t>
  </si>
  <si>
    <t>Đặt ống quan trắc mực nước ngầm trong hố khoan</t>
  </si>
  <si>
    <t>Đo lưới khống chế mặt bằng tam giác hạng 4, trường hợp không dựng tiêu giá, cấp địa hình I</t>
  </si>
  <si>
    <t>Đo lưới khống chế mặt bằng đường chuyền hạng 4, trường hợp không dựng tiêu giá, cấp địa hình I</t>
  </si>
  <si>
    <t>Đo lưới khống chế mặt bằng giải tích cấp 1, trường hợp không dựng tiêu giá, cấp địa hình I</t>
  </si>
  <si>
    <t>Đo lưới khống chế mặt bằng giải tích cấp 2, cấp địa hình I</t>
  </si>
  <si>
    <t>Đo khống chế độ cao thủy chuẩn hạng III, cấp địa hình I</t>
  </si>
  <si>
    <t>Đo khống chế độ cao thủy chuẩn hạng IV, cấp địa hình I</t>
  </si>
  <si>
    <t>Đo khống chế độ cao thủy chuẩn kỹ thuật, cấp địa hình I</t>
  </si>
  <si>
    <t>Đo vẽ chi tiết bản đồ trên cạn, bản đồ tỷ lệ 1/200, đường đồng mức 0,5m, cấp địa hình I</t>
  </si>
  <si>
    <t>Đo vẽ chi tiết bản đồ trên cạn, bản đồ tỷ lệ 1/500, đường đồng mức 0,5m, cấp địa hình I</t>
  </si>
  <si>
    <t>Đo vẽ chi tiết bản đồ trên cạn, bản đồ tỷ lệ 1/1000, đường đồng mức 1m, cấp địa hình I</t>
  </si>
  <si>
    <t>Đo vẽ chi tiết bản đồ trên cạn, bản đồ tỷ lệ 1/2000, đường đồng mức 1m, cấp địa hình I</t>
  </si>
  <si>
    <t>Đo vẽ chi tiết bản đồ trên cạn, bản đồ tỷ lệ 1/5000, đường đồng mức 2m, cấp địa hình I</t>
  </si>
  <si>
    <t>Đo vẽ chi tiết bản đồ trên cạn, bản đồ tỷ lệ 1/10000, đường đồng mức 2m, cấp địa hình I</t>
  </si>
  <si>
    <t>Số hóa bản đồ địa hình, số hóa bản đồ tỷ lệ 1/500, đường đồng mức 0,5m, loại khó khăn I</t>
  </si>
  <si>
    <t>Đo vẽ chi tiết bản đồ ở dưới nước, bản đồ tỷ lệ 1/500, đồng mức 0,5m, cấp địa hình I</t>
  </si>
  <si>
    <t>Đo vẽ chi tiết bản đồ ở dưới nước, bản đồ tỷ lệ 1/1000, đồng mức 1m, cấp địa hình I</t>
  </si>
  <si>
    <t>Đo vẽ mặt cắt dọc tuyến ở trên cạn, cấp địa hình I</t>
  </si>
  <si>
    <t>Đo lún công trình hạng 3 với địa hình cấp III, sổ điểm đo của 1 chu kỳ n ≤10</t>
  </si>
  <si>
    <t>Thí nghiệm xác định các chỉ tiêu lý hóa của mẫu nước toàn phần</t>
  </si>
  <si>
    <t>Thí nghiệm xác định các chỉ tiêu hóa học của mẫu đá</t>
  </si>
  <si>
    <t>Thí nghiệm xác định chỉ tiêu cơ lý của mẫu đất nguyên dạng (cắt, nén bằng phương pháp 1 trục)</t>
  </si>
  <si>
    <t>Thí nghiệm xác định các chỉ tiêu cơ lý của mẫu đá</t>
  </si>
  <si>
    <t>Thí nghiệm mẫu cát - sỏi - vật liệu xây dựng</t>
  </si>
  <si>
    <t>Thí nghiệm mẫu đất dăm sạn lớn</t>
  </si>
  <si>
    <t>Thí nghiệm xác định thành phần vật chất và cấu trúc của đá (lát mỏng thạch học)</t>
  </si>
  <si>
    <t>Thí nghiệm phân tích mẫu clo- trong nguyên liệu làm xi măng</t>
  </si>
  <si>
    <t>Thí nghiệm CBR (xác định chỉ tiêu nén lún California)</t>
  </si>
  <si>
    <t>Thí nghiệm ngoài trời, xuyên tĩnh</t>
  </si>
  <si>
    <t>Thí nghiệm ngoài trời, cắt quay bằng máy</t>
  </si>
  <si>
    <t>Thí nghiệm xuyên tiêu chuẩn (SPT), cấp đá I-III</t>
  </si>
  <si>
    <t>Nén ngang trong lỗ khoan, cấp đá I-III</t>
  </si>
  <si>
    <t>Hút nước thí nghiệm trong lỗ khoan, hút nước và hạ thấp mực nước 1 lần</t>
  </si>
  <si>
    <t>Ép nước thí nghiệm trong lỗ khoan, lượng mất nước đơn vị Q = 1 lít/ phút mét. Độ sâu ép nước ≤50m</t>
  </si>
  <si>
    <t>Đổ nước thí nghiệm trong lỗ khoan, lưu lượng nước tiêu thụ Q ≤1 lít/ phút. Nguồn nước cấp cách vị trí thí nghiệm ≤100m</t>
  </si>
  <si>
    <t>Đổ nước thí nghiệm trong hố đào, lưu lượng nước tiêu thụ Q ≤1 lít/ phút. Nguồn nước cấp cách vị trí thí nghiệm ≤100m</t>
  </si>
  <si>
    <t>Múc nước thí nghiệm trong lỗ khoan</t>
  </si>
  <si>
    <t>Thí nghiệm cơ địa trên bệ bê tông trong hầm ngang</t>
  </si>
  <si>
    <t>Thí nghiệm CBR hiện trường</t>
  </si>
  <si>
    <t>Thí nghiệm xác định độ chặt của nền đường đất hoặc cát đồng nhất - thí nghiệm trên mặt</t>
  </si>
  <si>
    <t>Thí nghiệm đo môdun đàn hồi bằng tấm ép cứng, đường kính bàn nén D=34cm</t>
  </si>
  <si>
    <t>Nén tĩnh thử tải cọc bê tông sử dụng dàn chất tải trọng nén 100÷≤500 tấn</t>
  </si>
  <si>
    <t>Thí nghiệm kiểm tra chất lượng cọc bê tông bằng phương pháp biến dạng nhỏ (PIT)</t>
  </si>
  <si>
    <t>Thí nghiệm kiểm tra chất lượng cọc bê tông bằng phương pháp siêu âm</t>
  </si>
  <si>
    <t>Thí nghiệm đo môđun đàn hồi bằng cần Belkenman</t>
  </si>
  <si>
    <t>Thăm dò địa chấn trên cạn bằng máy ES-125, khoảng cách giữa các cực thu 2m, cấp địa hình I-II</t>
  </si>
  <si>
    <t>Thăm dò địa vật lý điện bằng phương pháp đo mặt cắt điện, cấp địa hình I-II</t>
  </si>
  <si>
    <t>Đo vẽ bản đồ địa chất công trình, bản đồ tỷ lệ 1/10.000, cấp phức tạp I</t>
  </si>
  <si>
    <t>Đo vẽ bản đồ địa chất công trình, bản đồ tỷ lệ 1/5.000, cấp phức tạp I</t>
  </si>
  <si>
    <t>Đo vẽ bản đồ địa chất công trình, bản đồ tỷ lệ 1/2.000, cấp phức tạp I</t>
  </si>
  <si>
    <t>Đo vẽ bản đồ địa chất công trình, bản đồ tỷ lệ 1/1.000, cấp phức tạp I</t>
  </si>
  <si>
    <t>Đo vẽ bản đồ địa chất công trình, bản đồ tỷ lệ 1/500, cấp phức tạp I</t>
  </si>
  <si>
    <t>NMB.0001</t>
  </si>
  <si>
    <t>TBTC.0001</t>
  </si>
  <si>
    <t>Tập kết thiết bị thi công</t>
  </si>
  <si>
    <t>Mốc cao độ</t>
  </si>
  <si>
    <t>KT.00011</t>
  </si>
  <si>
    <t>NHẬT KÝ GIÁM SÁT THI CÔNG XÂY DỰNG</t>
  </si>
  <si>
    <t>6. Ý kiến của Chủ đầu tư (nếu có):</t>
  </si>
  <si>
    <t>TCVN 5637 : 1991</t>
  </si>
  <si>
    <t>Quản lý chất lượng xây lắp công trình xây dựng - Nguyên tắc cơ bản</t>
  </si>
  <si>
    <t>KT.00012</t>
  </si>
  <si>
    <t xml:space="preserve">     + TCVN 5637 : 1991: Quản lý chất lượng xây lắp công trình xây dựng - Nguyên tắc cơ bản</t>
  </si>
  <si>
    <t>Lấy mẫu thí nghiệm cát</t>
  </si>
  <si>
    <t>TCVN4055:2012; TCVN 5637 : 1991; TCVN4453:1995</t>
  </si>
  <si>
    <t>TCVN4055:2012; TCVN 5637 : 1991; TCVN4085:2011</t>
  </si>
  <si>
    <t>TCVN4055:2012; TCVN 5637 : 1991</t>
  </si>
  <si>
    <t>Hạng mục</t>
  </si>
  <si>
    <t>Cán bộ KCS</t>
  </si>
  <si>
    <t>Cần cẩu</t>
  </si>
  <si>
    <t>Máy vận thăng</t>
  </si>
  <si>
    <t>Tời điện</t>
  </si>
  <si>
    <t>Pa lăng xích</t>
  </si>
  <si>
    <t>Máy trộn bê tông</t>
  </si>
  <si>
    <t>Máy trộn vữa</t>
  </si>
  <si>
    <t>Máy đầm bê tông</t>
  </si>
  <si>
    <t>Máy phát điện</t>
  </si>
  <si>
    <t>Máy nén khí</t>
  </si>
  <si>
    <t>Máy hàn</t>
  </si>
  <si>
    <t>Máy khoan đứng</t>
  </si>
  <si>
    <t>Máy cắt sắt cầm tay</t>
  </si>
  <si>
    <t>Máy khoan bê tông cầm tay</t>
  </si>
  <si>
    <t>Máy đào</t>
  </si>
  <si>
    <t>Máy xúc lật</t>
  </si>
  <si>
    <t>Máy ủi</t>
  </si>
  <si>
    <t>Máy san tự hành</t>
  </si>
  <si>
    <t>Máy đầm cóc</t>
  </si>
  <si>
    <t>Đầm bánh hơi</t>
  </si>
  <si>
    <t>Đầm chân cừu</t>
  </si>
  <si>
    <t>Đầm bánh thép</t>
  </si>
  <si>
    <t>Máy lu rung</t>
  </si>
  <si>
    <t>Ô tô</t>
  </si>
  <si>
    <t>Ô tô tưới nước</t>
  </si>
  <si>
    <t>Máy cắt uốn cốt thép</t>
  </si>
  <si>
    <t>Máy cắt ống</t>
  </si>
  <si>
    <t>Khởi công công trình</t>
  </si>
  <si>
    <t>c) Quy trình kiểm tra, giám sát, nghiệm thu đã được thống nhất giữa Chủ đầu tư và nhà thầu;</t>
  </si>
  <si>
    <t>TCXDVN 389 : 2007</t>
  </si>
  <si>
    <t>Sản phẩm bê tông ứng lực trước - Yêu cầu kỹ thuật và nghiệm thu</t>
  </si>
  <si>
    <t>22TCN 247-98</t>
  </si>
  <si>
    <t>Quy trình thi công và nghiệm thu dầm cầu bê tông dự ứng lực</t>
  </si>
  <si>
    <t xml:space="preserve">TCVN 1651 : 2008 </t>
  </si>
  <si>
    <t>Cốt thép cán nóng</t>
  </si>
  <si>
    <t>CP.010036</t>
  </si>
  <si>
    <t>1/</t>
  </si>
  <si>
    <t>Đối tượng nghiệm thu:</t>
  </si>
  <si>
    <t>2/</t>
  </si>
  <si>
    <t>Thành phần nghiệm thu:</t>
  </si>
  <si>
    <t>3/</t>
  </si>
  <si>
    <t>Thời gian nghiệm thu:</t>
  </si>
  <si>
    <t>4/</t>
  </si>
  <si>
    <t>5/</t>
  </si>
  <si>
    <t>Nội dung kiểm tra</t>
  </si>
  <si>
    <t>Kết quả kiểm tra</t>
  </si>
  <si>
    <t>Đạt</t>
  </si>
  <si>
    <t>þ</t>
  </si>
  <si>
    <t>¨</t>
  </si>
  <si>
    <t>Một số vấn đề khác : không</t>
  </si>
  <si>
    <t>Tên bảng</t>
  </si>
  <si>
    <t>BIÊN BẢN KIỂM TRA CỐT THÉP</t>
  </si>
  <si>
    <t>Số hiệu</t>
  </si>
  <si>
    <t>Thi công</t>
  </si>
  <si>
    <t>Số cấu kiện</t>
  </si>
  <si>
    <t>Tổng số thanh</t>
  </si>
  <si>
    <t>Khối lượng</t>
  </si>
  <si>
    <t>Thời gian nghiệm thu</t>
  </si>
  <si>
    <t>4.1. Căn cứ kiểm tra:</t>
  </si>
  <si>
    <t>- Hồ sơ thiết kế BPTC thi công được Chủ đầu tư phê duyệt và đã được chấp thuận.</t>
  </si>
  <si>
    <t>- Tiêu chuẩn kỹ thuật áp dụng cho dự án theo hướng dẫn kỹ thuật.</t>
  </si>
  <si>
    <t>- Chỉ dẫn kỹ thuật của dự án</t>
  </si>
  <si>
    <t>- Các kết quả kiểm tra, thí nghiệm vật liệu, kết quả nén mẫu BT;</t>
  </si>
  <si>
    <t>- Các văn bản khác</t>
  </si>
  <si>
    <t>4.2. Nội dung kiểm tra:</t>
  </si>
  <si>
    <t>Kích thước</t>
  </si>
  <si>
    <t>Độ bằng phẳng</t>
  </si>
  <si>
    <t>Thẳng mép</t>
  </si>
  <si>
    <t>Khe nứt</t>
  </si>
  <si>
    <t>Các khiếm khuyết nhỏ</t>
  </si>
  <si>
    <t>Các vấn đề khác</t>
  </si>
  <si>
    <t>Kết luận:</t>
  </si>
  <si>
    <t>Mac</t>
  </si>
  <si>
    <t>Thoigian</t>
  </si>
  <si>
    <t>CỘNG HOÀ XÃ HỘI CHỦ NGHĨA VIỆT NAM</t>
  </si>
  <si>
    <t>PHIẾU CÔNG TÁC THI CÔNG BÊ TÔNG</t>
  </si>
  <si>
    <t xml:space="preserve">I. Đối tượng kiểm tra: </t>
  </si>
  <si>
    <t>II. Thành phần trực tiếp kiểm tra:</t>
  </si>
  <si>
    <t xml:space="preserve">III. Nội dung kiểm tra: </t>
  </si>
  <si>
    <t>Đơn vị</t>
  </si>
  <si>
    <t>Trong 1m3</t>
  </si>
  <si>
    <t>Trong 1 mẻ  trộn</t>
  </si>
  <si>
    <t xml:space="preserve">     - Xi măng</t>
  </si>
  <si>
    <t>kg</t>
  </si>
  <si>
    <t xml:space="preserve">     - Cát</t>
  </si>
  <si>
    <t xml:space="preserve">     - Nước</t>
  </si>
  <si>
    <t>lít</t>
  </si>
  <si>
    <r>
      <t>5. Số lượng và kiểu dụng cụ đầm:</t>
    </r>
    <r>
      <rPr>
        <i/>
        <sz val="13"/>
        <rFont val="Times New Roman"/>
        <family val="1"/>
      </rPr>
      <t xml:space="preserve"> 02 mấy đầm dùi</t>
    </r>
  </si>
  <si>
    <r>
      <t xml:space="preserve">6. Những điểm khác so với kỹ thuật đổ bê tông đã quy định: </t>
    </r>
    <r>
      <rPr>
        <i/>
        <sz val="13"/>
        <rFont val="Times New Roman"/>
        <family val="1"/>
      </rPr>
      <t>Không</t>
    </r>
  </si>
  <si>
    <r>
      <t xml:space="preserve">7. Có ngưng trệ không: </t>
    </r>
    <r>
      <rPr>
        <i/>
        <sz val="13"/>
        <rFont val="Times New Roman"/>
        <family val="1"/>
      </rPr>
      <t xml:space="preserve">Không   </t>
    </r>
    <r>
      <rPr>
        <sz val="13"/>
        <rFont val="Times New Roman"/>
        <family val="1"/>
      </rPr>
      <t xml:space="preserve">                    Thời gian ngưng trệ: </t>
    </r>
    <r>
      <rPr>
        <i/>
        <sz val="13"/>
        <rFont val="Times New Roman"/>
        <family val="1"/>
      </rPr>
      <t>Không</t>
    </r>
  </si>
  <si>
    <r>
      <t xml:space="preserve">8. Nguyên nhân ngưng trệ: </t>
    </r>
    <r>
      <rPr>
        <i/>
        <sz val="13"/>
        <rFont val="Times New Roman"/>
        <family val="1"/>
      </rPr>
      <t>Không</t>
    </r>
  </si>
  <si>
    <r>
      <t xml:space="preserve">9. Có lấy mẫu bê tông kiểm tra hay không: </t>
    </r>
    <r>
      <rPr>
        <i/>
        <sz val="13"/>
        <rFont val="Times New Roman"/>
        <family val="1"/>
      </rPr>
      <t>Có</t>
    </r>
  </si>
  <si>
    <t>10. Các vấn đề khác: không</t>
  </si>
  <si>
    <t>Thời gian K.tra</t>
  </si>
  <si>
    <t>Ngày kiểm tra</t>
  </si>
  <si>
    <t>Dữ liệu kèm theo</t>
  </si>
  <si>
    <t>Mối  liên hiệ</t>
  </si>
  <si>
    <t>KIỂM TRA KÍCH THƯỚC HÌNH HỌC CỐT THÉP</t>
  </si>
  <si>
    <t xml:space="preserve"> </t>
  </si>
  <si>
    <t>THÀNH PHẦN CẤP PHỐI BÊ TÔNG</t>
  </si>
  <si>
    <t>Mã TK</t>
  </si>
  <si>
    <t>Mác bê tông</t>
  </si>
  <si>
    <t>Loại cốt liệu lớn</t>
  </si>
  <si>
    <t>Số Phiếu TK</t>
  </si>
  <si>
    <t>XM</t>
  </si>
  <si>
    <t>Đ</t>
  </si>
  <si>
    <t>N</t>
  </si>
  <si>
    <t>PG1</t>
  </si>
  <si>
    <t>PG2</t>
  </si>
  <si>
    <t>Dosut</t>
  </si>
  <si>
    <t>Số thanh</t>
  </si>
  <si>
    <t>Tổng chiều dài
(m)</t>
  </si>
  <si>
    <t>Giám sát trưởng</t>
  </si>
  <si>
    <t>Chỉ huy công trường</t>
  </si>
  <si>
    <t>Kỹ thuật thi công</t>
  </si>
  <si>
    <t>6-:-8</t>
  </si>
  <si>
    <t>id</t>
  </si>
  <si>
    <t>label</t>
  </si>
  <si>
    <t>Dulieu1</t>
  </si>
  <si>
    <t>MaCV</t>
  </si>
  <si>
    <t>Sheet3</t>
  </si>
  <si>
    <t>Tiêu chuẩn nghiệm thu</t>
  </si>
  <si>
    <t>Sheet4</t>
  </si>
  <si>
    <t>TCNT</t>
  </si>
  <si>
    <t>Sheet5</t>
  </si>
  <si>
    <t>Mã thí nghiệm</t>
  </si>
  <si>
    <t>Sheet20</t>
  </si>
  <si>
    <t>MaTN</t>
  </si>
  <si>
    <t>Khung giờ nghiệm thu</t>
  </si>
  <si>
    <t>Sheet50</t>
  </si>
  <si>
    <t>Linh tinh</t>
  </si>
  <si>
    <t>Sheet44</t>
  </si>
  <si>
    <t>Tam</t>
  </si>
  <si>
    <t>Sheet1</t>
  </si>
  <si>
    <t>Thongtin</t>
  </si>
  <si>
    <t>Sheet2</t>
  </si>
  <si>
    <t>Dữ liệu vật liệu</t>
  </si>
  <si>
    <t>Sheet48</t>
  </si>
  <si>
    <t>Dữ liệu cốt pha</t>
  </si>
  <si>
    <t>Sheet47</t>
  </si>
  <si>
    <t>Dữ liệu cốt thép</t>
  </si>
  <si>
    <t>Sheet46</t>
  </si>
  <si>
    <t>Dữ liệu KTHH bê tông</t>
  </si>
  <si>
    <t>Sheet35</t>
  </si>
  <si>
    <t>Sheet68</t>
  </si>
  <si>
    <t>Thời tiết thi công</t>
  </si>
  <si>
    <t>DataWeather</t>
  </si>
  <si>
    <t>Trạm quan trắc</t>
  </si>
  <si>
    <t>Tb_Thoitiet</t>
  </si>
  <si>
    <t>Sheet7</t>
  </si>
  <si>
    <t>Nhattrinh</t>
  </si>
  <si>
    <t>List biên bản CV</t>
  </si>
  <si>
    <t>Sheet8</t>
  </si>
  <si>
    <t>ListBBCV</t>
  </si>
  <si>
    <t>List biên bản HT</t>
  </si>
  <si>
    <t>Sheet9</t>
  </si>
  <si>
    <t>ListBBHT</t>
  </si>
  <si>
    <t>List biên bản V.liệu</t>
  </si>
  <si>
    <t>Sheet33</t>
  </si>
  <si>
    <t>List thí nghiệm</t>
  </si>
  <si>
    <t>Sheet10</t>
  </si>
  <si>
    <t>ListTN</t>
  </si>
  <si>
    <t>List BBKT ván khuôn</t>
  </si>
  <si>
    <t>Sheet6</t>
  </si>
  <si>
    <t>List BBKT cốt thép</t>
  </si>
  <si>
    <t>Sheet14</t>
  </si>
  <si>
    <t>Sheet18</t>
  </si>
  <si>
    <t>List BBKT bê tông</t>
  </si>
  <si>
    <t>Sheet19</t>
  </si>
  <si>
    <t>List BBKT điều kiện đổ bê tông</t>
  </si>
  <si>
    <t>Sheet21</t>
  </si>
  <si>
    <t>List BBKT theo dõi đổ bê tông</t>
  </si>
  <si>
    <t>Sheet22</t>
  </si>
  <si>
    <t>List BBKT bề mặt bê tông sau tháo ván khuôn</t>
  </si>
  <si>
    <t>Sheet30</t>
  </si>
  <si>
    <t>Sheet59</t>
  </si>
  <si>
    <t>Sheet60</t>
  </si>
  <si>
    <t>Sheet61</t>
  </si>
  <si>
    <t>Sheet62</t>
  </si>
  <si>
    <t>Sheet63</t>
  </si>
  <si>
    <t>Sheet64</t>
  </si>
  <si>
    <t>Sheet65</t>
  </si>
  <si>
    <t>Sheet66</t>
  </si>
  <si>
    <t>Biên bản NT CVXD</t>
  </si>
  <si>
    <t>Sheet13</t>
  </si>
  <si>
    <t>Biên bản NT HTHM</t>
  </si>
  <si>
    <t>Sheet15</t>
  </si>
  <si>
    <t>Biên bản NT V.liệu</t>
  </si>
  <si>
    <t>Sheet31</t>
  </si>
  <si>
    <t>Biện bản kiểm tra ván khuôn</t>
  </si>
  <si>
    <t>Sheet24</t>
  </si>
  <si>
    <t>BBKT_VK</t>
  </si>
  <si>
    <t>Biên bản kiểm tra cốt thép</t>
  </si>
  <si>
    <t>Sheet23</t>
  </si>
  <si>
    <t>BBKT_CT</t>
  </si>
  <si>
    <t>Sheet53</t>
  </si>
  <si>
    <t>Sheet54</t>
  </si>
  <si>
    <t>Sheet55</t>
  </si>
  <si>
    <t>Sheet56</t>
  </si>
  <si>
    <t>Sheet57</t>
  </si>
  <si>
    <t>Sheet58</t>
  </si>
  <si>
    <t>Sheet67</t>
  </si>
  <si>
    <t>Sheet25</t>
  </si>
  <si>
    <t>Sheet26</t>
  </si>
  <si>
    <t>Biên bản kiểm tra điều kiện đổ bê tông</t>
  </si>
  <si>
    <t>Sheet27</t>
  </si>
  <si>
    <t>BBKT_DKDBT</t>
  </si>
  <si>
    <t>Sheet28</t>
  </si>
  <si>
    <t>Biên bản kiểm tra bề mặt bê tông sau khi tháo ván khuôn</t>
  </si>
  <si>
    <t>Sheet29</t>
  </si>
  <si>
    <t>Danh mục biên bản nghiệm thu</t>
  </si>
  <si>
    <t>Sheet11</t>
  </si>
  <si>
    <t>Group8.2</t>
  </si>
  <si>
    <t>Danh mục biên bản hoàn thành</t>
  </si>
  <si>
    <t>Sheet12</t>
  </si>
  <si>
    <t>Group8.3</t>
  </si>
  <si>
    <t>Danh mục biên bản vật liệu</t>
  </si>
  <si>
    <t>Sheet42</t>
  </si>
  <si>
    <t>Group9.1</t>
  </si>
  <si>
    <t>Group9.2</t>
  </si>
  <si>
    <t>Group9.3</t>
  </si>
  <si>
    <t>Tách list thí nghiệm</t>
  </si>
  <si>
    <t>Group10.1</t>
  </si>
  <si>
    <t>Bìa hồ sơ</t>
  </si>
  <si>
    <t>Sheet38</t>
  </si>
  <si>
    <t>Group10.2</t>
  </si>
  <si>
    <t>Lệnh khởi công</t>
  </si>
  <si>
    <t>Sheet39</t>
  </si>
  <si>
    <t>Group10.3</t>
  </si>
  <si>
    <t>Biên bản bàn giao mặt bằng</t>
  </si>
  <si>
    <t>Sheet32</t>
  </si>
  <si>
    <t>Group10.4</t>
  </si>
  <si>
    <t>Phiếu chấp thuận mỏ vật liệu</t>
  </si>
  <si>
    <t>Sheet40</t>
  </si>
  <si>
    <t>Group10.5</t>
  </si>
  <si>
    <t>Biên bản kiểm tra phòng thí nghiệm</t>
  </si>
  <si>
    <t>Sheet34</t>
  </si>
  <si>
    <t>Group10.6</t>
  </si>
  <si>
    <t>Biên bản kiểm tra nhân lực, thiết bị</t>
  </si>
  <si>
    <t>Sheet41</t>
  </si>
  <si>
    <t>Group10.7</t>
  </si>
  <si>
    <t>Biên bản kiểm tra tim, mốc</t>
  </si>
  <si>
    <t>Sheet36</t>
  </si>
  <si>
    <t>Group10.8</t>
  </si>
  <si>
    <t>Biên bản kiểm tra điều kiện khởi công</t>
  </si>
  <si>
    <t>Sheet37</t>
  </si>
  <si>
    <t>Group10.9</t>
  </si>
  <si>
    <t>Biên bản xử lý kỹ thuật</t>
  </si>
  <si>
    <t>BBXLKT</t>
  </si>
  <si>
    <t>Group10.10</t>
  </si>
  <si>
    <t>Biên bản báo cáo sự cố</t>
  </si>
  <si>
    <t>Group10.11</t>
  </si>
  <si>
    <t>Báo cáo hoàn thành công trình</t>
  </si>
  <si>
    <t>Group10.12</t>
  </si>
  <si>
    <t>Biên bản bàn giao công trình</t>
  </si>
  <si>
    <t>Group11.1</t>
  </si>
  <si>
    <t>Danh mục nhật ký</t>
  </si>
  <si>
    <t>Sheet16</t>
  </si>
  <si>
    <t>DMnhatky</t>
  </si>
  <si>
    <t>Group11.2</t>
  </si>
  <si>
    <t>Sheet17</t>
  </si>
  <si>
    <t>NKchitiet</t>
  </si>
  <si>
    <t>Group11.3</t>
  </si>
  <si>
    <t>Sheet49</t>
  </si>
  <si>
    <t>GhiNhatky</t>
  </si>
  <si>
    <t>Group11.4</t>
  </si>
  <si>
    <t>Sheet51</t>
  </si>
  <si>
    <t>KQTN</t>
  </si>
  <si>
    <t>tbDinhmuc</t>
  </si>
  <si>
    <t>tbGiaCamay</t>
  </si>
  <si>
    <t>tbTHmay</t>
  </si>
  <si>
    <t>Config</t>
  </si>
  <si>
    <t>Sheet52</t>
  </si>
  <si>
    <t>TPCPBT</t>
  </si>
  <si>
    <t>TbVatlieu</t>
  </si>
  <si>
    <t>TbKTHH_HM</t>
  </si>
  <si>
    <t>TbKTHH_Dap</t>
  </si>
  <si>
    <t>TbKTHH_Cp</t>
  </si>
  <si>
    <t>TbKTHH_Ct</t>
  </si>
  <si>
    <t>TbKTHH_BT</t>
  </si>
  <si>
    <t>ListVlieu</t>
  </si>
  <si>
    <t>BienbanVatlieu</t>
  </si>
  <si>
    <t>BBKT_Homong</t>
  </si>
  <si>
    <t>PHIEU_BT</t>
  </si>
  <si>
    <t>THAO_VK</t>
  </si>
  <si>
    <t>ListCVXD(ToWord)</t>
  </si>
  <si>
    <t>ListHTHM(ToWord)</t>
  </si>
  <si>
    <t>Sheet45</t>
  </si>
  <si>
    <t>Thinghiem</t>
  </si>
  <si>
    <t>Bia_Hoso</t>
  </si>
  <si>
    <t>Bia_nhatky</t>
  </si>
  <si>
    <t>Baocaosuco</t>
  </si>
  <si>
    <t>Baocaohoanthanh</t>
  </si>
  <si>
    <t>BB_bangiao</t>
  </si>
  <si>
    <t>InNKTC</t>
  </si>
  <si>
    <t>InNKGS</t>
  </si>
  <si>
    <t>Group2.1</t>
  </si>
  <si>
    <t>Group2.2</t>
  </si>
  <si>
    <t>Group2.3</t>
  </si>
  <si>
    <t>Group2.4</t>
  </si>
  <si>
    <t>Group2.5</t>
  </si>
  <si>
    <t>Group2.6</t>
  </si>
  <si>
    <t>Group2.7</t>
  </si>
  <si>
    <t>Group2.8</t>
  </si>
  <si>
    <t>Group2.9</t>
  </si>
  <si>
    <t>Định mức</t>
  </si>
  <si>
    <t>Danh mục máy thi công</t>
  </si>
  <si>
    <t>Định mức máy thi công</t>
  </si>
  <si>
    <t>Group3.1</t>
  </si>
  <si>
    <t>Group3.2</t>
  </si>
  <si>
    <t>Thông tin chung</t>
  </si>
  <si>
    <t>Dữ liệu cấp phối cho công trình</t>
  </si>
  <si>
    <t>Group4.1</t>
  </si>
  <si>
    <t>Group4.2</t>
  </si>
  <si>
    <t>Group4.3</t>
  </si>
  <si>
    <t>Group4.4</t>
  </si>
  <si>
    <t>Group4.5</t>
  </si>
  <si>
    <t>Group4.6</t>
  </si>
  <si>
    <t>Dữ liệu KTHH đào đất hố móng</t>
  </si>
  <si>
    <t>Dữ liệu KTHH đắp đất</t>
  </si>
  <si>
    <t>Group5.2</t>
  </si>
  <si>
    <t>Group5.4</t>
  </si>
  <si>
    <t>Group6.1</t>
  </si>
  <si>
    <t>Nhật trình</t>
  </si>
  <si>
    <t>Group8.4</t>
  </si>
  <si>
    <t>Group8.5</t>
  </si>
  <si>
    <t>Group8.6</t>
  </si>
  <si>
    <t>Group8.7</t>
  </si>
  <si>
    <t>Group8.8</t>
  </si>
  <si>
    <t>Group8.9</t>
  </si>
  <si>
    <t>Group8.10</t>
  </si>
  <si>
    <t>Group8.11</t>
  </si>
  <si>
    <t>Group8.12</t>
  </si>
  <si>
    <t>Group8.13</t>
  </si>
  <si>
    <t>List BBKT đào đất</t>
  </si>
  <si>
    <t>List BBKT đắp đất</t>
  </si>
  <si>
    <t>BBKT_KTHHBT</t>
  </si>
  <si>
    <t>Group8.14</t>
  </si>
  <si>
    <t>Group8.15</t>
  </si>
  <si>
    <t>Group8.16</t>
  </si>
  <si>
    <t>Group8.17</t>
  </si>
  <si>
    <t>Group8.18</t>
  </si>
  <si>
    <t>Group8.19</t>
  </si>
  <si>
    <t>Group8.20</t>
  </si>
  <si>
    <t>Group8.21</t>
  </si>
  <si>
    <t>Group8.22</t>
  </si>
  <si>
    <t>Group8.23</t>
  </si>
  <si>
    <t>Group8.23.1</t>
  </si>
  <si>
    <t>Biên bản kiểm tra đào đất hố móng</t>
  </si>
  <si>
    <t>Biên bản kiểm tra đắp đất</t>
  </si>
  <si>
    <t>Biên bản kiểm tra đổ bê tông</t>
  </si>
  <si>
    <t>Biên bản kiểm tra kích thước hình học bê tông</t>
  </si>
  <si>
    <t>Group8.24</t>
  </si>
  <si>
    <t>Group8.25</t>
  </si>
  <si>
    <t>Group8.26</t>
  </si>
  <si>
    <t>Tách list BBNTCV</t>
  </si>
  <si>
    <t>Tách List BBHTHM</t>
  </si>
  <si>
    <t>Group10.13</t>
  </si>
  <si>
    <t>Bìa nhật ký thi công</t>
  </si>
  <si>
    <t>Group11.5</t>
  </si>
  <si>
    <t>Phân tíc chi tiết</t>
  </si>
  <si>
    <t>Nhật ký thi công (Bản chép)</t>
  </si>
  <si>
    <t>Nhật thi công (Bản in)</t>
  </si>
  <si>
    <t>Nhật giám sát (Bản in)</t>
  </si>
  <si>
    <r>
      <t>Diễn biến điều kiện thi công</t>
    </r>
    <r>
      <rPr>
        <i/>
        <sz val="12"/>
        <color rgb="FFFF0000"/>
        <rFont val="Cambria"/>
        <family val="1"/>
        <charset val="163"/>
      </rPr>
      <t xml:space="preserve"> (nhiệt độ, thời tiết và các thông tin liên quan), tình hình thi công, nghiệm thu các công việc xây dựng hàng ngày trên công trình )</t>
    </r>
  </si>
  <si>
    <t>Nhiệt độ cao/ Nhiệt độ thấp</t>
  </si>
  <si>
    <t>Nghiệt độ Cao (Trung bình)</t>
  </si>
  <si>
    <t>Nghiệt độ thấp (Trung bình)</t>
  </si>
  <si>
    <t>Lượng mưa</t>
  </si>
  <si>
    <t>Trời nắng</t>
  </si>
  <si>
    <t>DANH MỤC BIÊN BẢN KIỂM TRA</t>
  </si>
  <si>
    <t>KT.00001</t>
  </si>
  <si>
    <t>KT.00002</t>
  </si>
  <si>
    <t>KT.00003</t>
  </si>
  <si>
    <t>KT.00005</t>
  </si>
  <si>
    <t>KT.00006</t>
  </si>
  <si>
    <t>Kiểm tra cốt thép và cốt thép</t>
  </si>
  <si>
    <t>Kiểm tra điều kiện đổ bê tông</t>
  </si>
  <si>
    <t>Kiểm tra bề mặt bê tông sau khi tháo ván khuôn</t>
  </si>
  <si>
    <r>
      <t>-</t>
    </r>
    <r>
      <rPr>
        <sz val="7"/>
        <color theme="1"/>
        <rFont val="Times New Roman"/>
        <family val="1"/>
      </rPr>
      <t xml:space="preserve">       </t>
    </r>
    <r>
      <rPr>
        <sz val="13"/>
        <color theme="1"/>
        <rFont val="Times New Roman"/>
        <family val="1"/>
      </rPr>
      <t>Phiếu yêu cầu nghiệm thu của nhà thầu;</t>
    </r>
  </si>
  <si>
    <r>
      <t>-</t>
    </r>
    <r>
      <rPr>
        <sz val="7"/>
        <color theme="1"/>
        <rFont val="Times New Roman"/>
        <family val="1"/>
      </rPr>
      <t xml:space="preserve">       </t>
    </r>
    <r>
      <rPr>
        <sz val="13"/>
        <color theme="1"/>
        <rFont val="Times New Roman"/>
        <family val="1"/>
      </rPr>
      <t xml:space="preserve">Tài liệu hướng dẫn kỹ thuật kèm theo dự án </t>
    </r>
  </si>
  <si>
    <r>
      <t>-</t>
    </r>
    <r>
      <rPr>
        <sz val="7"/>
        <color theme="1"/>
        <rFont val="Times New Roman"/>
        <family val="1"/>
      </rPr>
      <t xml:space="preserve">       </t>
    </r>
    <r>
      <rPr>
        <sz val="13"/>
        <color theme="1"/>
        <rFont val="Times New Roman"/>
        <family val="1"/>
      </rPr>
      <t xml:space="preserve">Văn bản khác có liên quan </t>
    </r>
  </si>
  <si>
    <r>
      <t>4.3. Các ý kiến khác (nếu có):</t>
    </r>
    <r>
      <rPr>
        <i/>
        <sz val="13"/>
        <color theme="1"/>
        <rFont val="Times New Roman"/>
        <family val="1"/>
      </rPr>
      <t xml:space="preserve"> Không</t>
    </r>
  </si>
  <si>
    <r>
      <t>1. Đối tượng nghiệm thu:</t>
    </r>
    <r>
      <rPr>
        <sz val="13"/>
        <color theme="1"/>
        <rFont val="Times New Roman"/>
        <family val="1"/>
      </rPr>
      <t xml:space="preserve"> Hệ thống mốc mạng phục vụ thi công</t>
    </r>
  </si>
  <si>
    <r>
      <t>4.4. Các ý kiến khác (nếu có):</t>
    </r>
    <r>
      <rPr>
        <i/>
        <sz val="13"/>
        <color theme="1"/>
        <rFont val="Times New Roman"/>
        <family val="1"/>
      </rPr>
      <t xml:space="preserve"> Không</t>
    </r>
  </si>
  <si>
    <r>
      <t xml:space="preserve">5. Kết luận: </t>
    </r>
    <r>
      <rPr>
        <sz val="13"/>
        <color theme="1"/>
        <rFont val="Times New Roman"/>
        <family val="1"/>
      </rPr>
      <t>Đạt yêu cầu</t>
    </r>
  </si>
  <si>
    <r>
      <t>1. Đối tượng kiểm tra:</t>
    </r>
    <r>
      <rPr>
        <sz val="13"/>
        <color theme="1"/>
        <rFont val="Times New Roman"/>
        <family val="1"/>
      </rPr>
      <t xml:space="preserve">  Nhân lực, thiết bị thi công</t>
    </r>
  </si>
  <si>
    <t>Ngày yêu cầu</t>
  </si>
  <si>
    <t>Ngày Kiểm tra / Nghiệm thu</t>
  </si>
  <si>
    <t xml:space="preserve">Khởi công công trình </t>
  </si>
  <si>
    <t xml:space="preserve">Kiểm tra phòng thí nghiệm tại hiện trường </t>
  </si>
  <si>
    <t>LIST BIÊN BẢN  NGHIỆM THU VẬT LIỆU</t>
  </si>
  <si>
    <t>DỮ LIỆU HỐ MÓNG CÔNG TRÌNH</t>
  </si>
  <si>
    <t>DỮ LIỆU NGHIỆM THU VẬT LIỆU</t>
  </si>
  <si>
    <t>DỮ LIỆU KÍCH THƯỚC HÌNH HỌC ĐẮP ĐẤT</t>
  </si>
  <si>
    <t>DỮ LIỆU KÍCH THƯỚC HÌNH HỌC CỐT PHA</t>
  </si>
  <si>
    <t>DỮ LIỆU KÍCH THƯỚC HÌNH HỌC CỐT THÉP</t>
  </si>
  <si>
    <t>DỮ LIỆU KÍCH THƯỚC HÌNH HỌC BÊ TÔNG</t>
  </si>
  <si>
    <t>Chất lượng</t>
  </si>
  <si>
    <t>VL.00001-1</t>
  </si>
  <si>
    <t>Cát vàng</t>
  </si>
  <si>
    <t>Đá 1x2cm</t>
  </si>
  <si>
    <t>Xi măng PCB40</t>
  </si>
  <si>
    <t>Chênh lệch</t>
  </si>
  <si>
    <t>Đường kính
(mm)</t>
  </si>
  <si>
    <t>Chiều dài 1 thanh
(mm)</t>
  </si>
  <si>
    <t>Nguồn cung cấp</t>
  </si>
  <si>
    <t>Số ngày</t>
  </si>
  <si>
    <t>Dữ liệu đính kèm</t>
  </si>
  <si>
    <t>Lý trình</t>
  </si>
  <si>
    <t>Khoảng cách</t>
  </si>
  <si>
    <t>Cao độ</t>
  </si>
  <si>
    <t>Chiều rộng</t>
  </si>
  <si>
    <t>Trái</t>
  </si>
  <si>
    <t>Tim</t>
  </si>
  <si>
    <t>Phải</t>
  </si>
  <si>
    <t>Doan1</t>
  </si>
  <si>
    <t>Mô tả</t>
  </si>
  <si>
    <t>CP.1001</t>
  </si>
  <si>
    <t>CT.1001</t>
  </si>
  <si>
    <t>Vị trí</t>
  </si>
  <si>
    <t>Bảng vật liệu 1</t>
  </si>
  <si>
    <t>LIST PHIẾU CÔNG TÁC BÊ TÔNG</t>
  </si>
  <si>
    <t>LIST ĐIỀU KIỆN ĐỔ BÊ TÔNG</t>
  </si>
  <si>
    <t>LIST KIỂM TRA KÍCH THƯỚC HÌNH HỌC BÊ TÔNG</t>
  </si>
  <si>
    <t>LIST KIỂM TRA BỀ MẶT BÊ TÔNG SAU KHI THÁO VÁN KHUÔN</t>
  </si>
  <si>
    <t>LIST KIỂM TRA KÍCH THƯỚC HÌNH HỌC VÁN KHUÔN</t>
  </si>
  <si>
    <t>KIỂM TRA CAO ĐỘ, KÍCH THƯỚC HÌNH HỌC HỐ MÓNG</t>
  </si>
  <si>
    <t>KIỂM TRA CAO ĐỘ, KÍCH THƯỚC HÌNH HỌC ĐẮP ĐẤT</t>
  </si>
  <si>
    <t>Giờ NTCV</t>
  </si>
  <si>
    <t xml:space="preserve">NGHIỆM THU VẬT LIỆU/THIẾT BỊ/SẢN PHẨM ĐÚC SẴN TRƯỚC KHI ĐƯA VÀO SỬ DỤNG </t>
  </si>
  <si>
    <t xml:space="preserve">- Hồ sơ trúng thầu và Quyết định phê duyệt kết quả lựa chọn nhà thầu </t>
  </si>
  <si>
    <t xml:space="preserve">- Văn bản của Chủ đầu tư cho phép sử dụng chủng loại vật liệu/thiết bị/sản phẩm đúc sẵn (nếu có) </t>
  </si>
  <si>
    <t xml:space="preserve">- Văn bản khác có liên quan </t>
  </si>
  <si>
    <t xml:space="preserve">- Quy chuẩn, tiêu chuẩn xây dựng hiện hành được áp dụng. </t>
  </si>
  <si>
    <t xml:space="preserve">     + Các tiêu chuẩn hiện hành khác.</t>
  </si>
  <si>
    <t>-    Các kết quả quan trắc, đo đạc, thí nghiệm có liên quan:</t>
  </si>
  <si>
    <r>
      <t xml:space="preserve">5. Đánh giá công việc xây dựng đã thực hiện: </t>
    </r>
    <r>
      <rPr>
        <i/>
        <sz val="13"/>
        <color theme="1"/>
        <rFont val="Times New Roman"/>
        <family val="1"/>
        <charset val="163"/>
      </rPr>
      <t>Vật liệu tập kết đúng theo hồ sơ thiết kế được phê duyệt, tuân thủ đúng các tiêu chuẩn và yêu cầu kỹ thuật của công trình;</t>
    </r>
  </si>
  <si>
    <t xml:space="preserve">   - Quy chuẩn, tiêu chuẩn xây dựng hiện hành được áp dụng. </t>
  </si>
  <si>
    <r>
      <t xml:space="preserve">4.3. Các ý kiến khác (nếu có): </t>
    </r>
    <r>
      <rPr>
        <i/>
        <sz val="13"/>
        <rFont val="Times New Roman"/>
        <family val="1"/>
        <charset val="163"/>
      </rPr>
      <t>Không</t>
    </r>
  </si>
  <si>
    <t xml:space="preserve">5. Kết luận:  </t>
  </si>
  <si>
    <t>+ Vật liệu đúng theo hồ sơ thiết kế được phê duyệt, tuân thủ đúng các tiêu chuẩn và yêu cầu kỹ thuật của công trình;</t>
  </si>
  <si>
    <t xml:space="preserve">NGHIỆM THU NỘI BỘ VẬT LIỆU/THIẾT BỊ/SẢN PHẨM ĐÚC SẴN TRƯỚC KHI ĐƯA VÀO SỬ DỤNG </t>
  </si>
  <si>
    <t>Căn cứ kiểm tra:</t>
  </si>
  <si>
    <t>Hình vẽ sơ hoạ</t>
  </si>
  <si>
    <t>- Quy trình kiểm tra, giám sát, nghiệm thu đã được thống nhất giữa Chủ đầu tư và nhà thầu;</t>
  </si>
  <si>
    <t>Kiểm tra định vị, tim các trục, cao độ mặt bằng công trình trước khi thi công đào hố móng.</t>
  </si>
  <si>
    <t>Kiểm tra địa chất hố móng bằng trực quan khi đào hố móng so với hồ sơ khảo sát địa chất; biện pháp thi công hố móng…</t>
  </si>
  <si>
    <t>Kiểm tra cốt (Cao độ) đáy móng.</t>
  </si>
  <si>
    <t>Kiểm tra kích thước hình học hố móng thi công.</t>
  </si>
  <si>
    <t>Đánh giá</t>
  </si>
  <si>
    <t>Kiểm tra vật liệu đắp trước khi tiến hành đắp có phù hợp với yêu cầu của thiết kế.</t>
  </si>
  <si>
    <t>Kiểm tra quá trình đắp nhằm đảm bảo quy trình công nghệ (biện pháp thi công) và chất lượng đất đắp.</t>
  </si>
  <si>
    <t>Kiểm tra cao độ và độ dốc của nền; Kích thước hình học…</t>
  </si>
  <si>
    <t>K. đạt</t>
  </si>
  <si>
    <t>Kiểm tra về hệ thống tim cốt các trục.</t>
  </si>
  <si>
    <t>Kiểm tra chủng loại cốt thép, đường kính thép, chứng chỉ chất lượng cốt thép, số lượng thanh trong từng cấu kiện.</t>
  </si>
  <si>
    <t>Đánh giá về neo, buộc, nối, uốn, mối hàn, khoảng cách, chiều dày bảo vệ cốt thép, vị trí lắp đặt thép trong từng cấu kiện.</t>
  </si>
  <si>
    <t>Khoảng cách cấu tạo cốt thép thi công đối chiếu với hồ sơ thiết kế.</t>
  </si>
  <si>
    <t>Công tác vệ sinh cốt thép.</t>
  </si>
  <si>
    <t>Đánh giá về độ vững chắc của hệ thống văng chống, độ phẳng, kín khít của ván khuôn.</t>
  </si>
  <si>
    <t>Đánh giá về kích thước hình học của từng cấu kiện so với hồ sơ thiết kế.</t>
  </si>
  <si>
    <t>Kiểm tra độ ngang bằng thẳng đứng.</t>
  </si>
  <si>
    <t>Công tác vệ sinh ván khuôn.</t>
  </si>
  <si>
    <t>BIÊN BẢN KIỂM TRA ĐIỀU KIỆN ĐỔ BÊ TÔNG</t>
  </si>
  <si>
    <t>BIÊN BẢN KIỂM TRA CAO ĐỘ, KÍCH THƯỚC HÌNH HỌC HỐ MÓNG</t>
  </si>
  <si>
    <t>BIÊN BẢN KIỂM TRA CAO ĐỘ, KÍCH THƯỚC HÌNH HỌC ĐẮP ĐẤT</t>
  </si>
  <si>
    <t>BIÊN BẢN KIỂM TRA BÊ TÔNG SAU KHI THÁO VÁN KHUÔN</t>
  </si>
  <si>
    <t>BIÊN BẢN KIỂM TRA CAO ĐỘ, KÍCH THƯỚC HÌNH HỌC BÊ TÔNG</t>
  </si>
  <si>
    <t>Kiểm tra tim cốt, kích thước hình học đánh giá bề mặt bê tông.</t>
  </si>
  <si>
    <t>Kết quả chất lượng vật liệu, thiết kế cấp phối vữa bê tông, độ sụt bê tông trong quá trình thi công.</t>
  </si>
  <si>
    <t xml:space="preserve">Kết quả thí nghiệm bê tông hiện trường </t>
  </si>
  <si>
    <t>LIST_BBKT_HM</t>
  </si>
  <si>
    <t>LIST_BBKT_DAP</t>
  </si>
  <si>
    <t>LIST_bbkt_bt</t>
  </si>
  <si>
    <t>LIST_BBKT_VK</t>
  </si>
  <si>
    <t>LIST_BBKT_CT</t>
  </si>
  <si>
    <t>lIST_DKDBT</t>
  </si>
  <si>
    <t>LIST_PHIEU_BT</t>
  </si>
  <si>
    <t>LIST_THAO_VK</t>
  </si>
  <si>
    <t>Phòng TNVL &amp; KĐCLCT Xây dựng LAS-XD 1931 thuộc Công ty TNHH Xây dựng Gia Lộc Khang</t>
  </si>
  <si>
    <t>Cán bộ kỹ thuật</t>
  </si>
  <si>
    <t>Bề rộng</t>
  </si>
  <si>
    <t>Thành phần tham gia:</t>
  </si>
  <si>
    <t>Đối tượng kiểm tra</t>
  </si>
  <si>
    <r>
      <t>Một số vấn đề khác :</t>
    </r>
    <r>
      <rPr>
        <sz val="13"/>
        <color indexed="8"/>
        <rFont val="Times New Roman"/>
        <family val="1"/>
      </rPr>
      <t xml:space="preserve"> không</t>
    </r>
  </si>
  <si>
    <t>- Biên bản nghiệm thu nội bộ của nhà thầu thi công xây dựng</t>
  </si>
  <si>
    <t xml:space="preserve">     - Sau khi Đơn vị thi công chúng tôi kiểm tra chất lượng công việc xây dựng, đối chiếu với bản vẽ thiết kế và các tiêu chuẩn được áp dụng, các tài liệu chỉ dẫn kỹ thuật; chúng tôi khẳng định rằng: Nhà thầu xây lắp đã thi công đảm bảo chất lượng các phần việc nêu trên, đúng với yêu cầu thiết kế và chỉ dẫn kỹ thuật. </t>
  </si>
  <si>
    <t xml:space="preserve">   Vậy kính mong CĐT và Đơn vị tư vấn giám sát có mặt đúng thời gian để triển khai công việc đảm bảo đúng tiến độ thi công.</t>
  </si>
  <si>
    <t xml:space="preserve">   Xin trân trọng cảm ơn!</t>
  </si>
  <si>
    <t xml:space="preserve">     - Đơn vị thi công đề nghị CĐT và Đơn vị tư vấn giám sát nghiệm thu các công việc sau đây:</t>
  </si>
  <si>
    <t>Kiểm tra vật liệu đưa vào sử dụng như đá dăm, cát, xi măng</t>
  </si>
  <si>
    <t>Kết quả chất lượng vật liệu, thiết kế cấp phối vữa, độ sụt bê tông, biện pháp thi công.</t>
  </si>
  <si>
    <t>đá 1x2cm</t>
  </si>
  <si>
    <t>Công trình</t>
  </si>
  <si>
    <t>Bao tải nhựa đường</t>
  </si>
  <si>
    <t>Mua tại Phan Rang</t>
  </si>
  <si>
    <t>Mỏ cát Sông Dinh</t>
  </si>
  <si>
    <t>Tấn</t>
  </si>
  <si>
    <t>Thép tròn  D&lt;=10mm</t>
  </si>
  <si>
    <t>Thép vằn D&lt;=18mm</t>
  </si>
  <si>
    <t>- Nhật ký thi công, nhật ký giám sát của chủ đầu tư và các văn bản khác có liên quan đến đối tượng nghiệm thu: Nhật ký thi công quyển số: 01</t>
  </si>
  <si>
    <t xml:space="preserve">- Nhật ký thi công, nhật ký giám sát của chủ đầu tư và các văn bản khác có liên quan đến đối tượng nghiệm thu: Nhật ký thi công </t>
  </si>
  <si>
    <t>a)  Phiếu yêu cầu nghiệm thu của nhà thầu thi công xây dựng</t>
  </si>
  <si>
    <t>g) Biên bản nghiệm thu nội bộ của nhà thầu thi công xây dựng</t>
  </si>
  <si>
    <t>NGHIỆM THU HOÀN THÀNH HẠNG MỤC</t>
  </si>
  <si>
    <t>Kết quả thí nghiệm xác định chỉ tiêu thông thường cơ lý của mẫu đất</t>
  </si>
  <si>
    <t>Kết quả thí nghiệm xác định chỉ tiêu thông thường cơ lý của mẫu cấp phối đá dăm</t>
  </si>
  <si>
    <t>Kết quả thí nghiệm thành phần hạt</t>
  </si>
  <si>
    <t>Kết quả thí nghiệm xác định chỉ tiêu đầm nén tiêu chuẩn bằng cối cải tiến (modify)</t>
  </si>
  <si>
    <t>Kết quả thí nghiệm xác định các chỉ tiêu cơ lý của mẫu đá</t>
  </si>
  <si>
    <t>Kết quả thí nghiệm vật liệu</t>
  </si>
  <si>
    <t>Kết quả thí nghiệm CBR hiện trường</t>
  </si>
  <si>
    <t>Kết quả thí nghiệm xác định độ chặt  bằng phương pháp rót cát</t>
  </si>
  <si>
    <t>Kết quả thí nghiệm xác định độ chặt  bằng phương pháp dao vòng</t>
  </si>
  <si>
    <t>Kết quả thí nghiệm đo môđun đàn hồi bằng cần Belkenman</t>
  </si>
  <si>
    <t>Kết quả thí nghiệm đo môdun đàn hồi bằng tấm ép cứng, đường kính bàn nén D=34cm</t>
  </si>
  <si>
    <t>Kết quả thí nghiệm kiểm tra chất lượng cọc bê tông bằng phương pháp siêu âm</t>
  </si>
  <si>
    <t>Kết quả thí nghiệm xuyên tiêu chuẩn (SPT), cấp đá I-III</t>
  </si>
  <si>
    <t>Kết quả thí nghiệm cường độ nén bê tông</t>
  </si>
  <si>
    <t>Kết quả thí nghiệm cường độ nén vữa</t>
  </si>
  <si>
    <t>Kết quả thí nghiệm hàm lượng nhựa</t>
  </si>
  <si>
    <t>Kết quả thí nghiệm độ chặt</t>
  </si>
  <si>
    <t>Kết quả thí nghiệm cáp thép dự ứng lực</t>
  </si>
  <si>
    <t xml:space="preserve">     + Kết quả thí nghiệm xác định chỉ tiêu thông thường cơ lý của mẫu đất</t>
  </si>
  <si>
    <t xml:space="preserve">     + Kết quả thí nghiệm thành phần hạt</t>
  </si>
  <si>
    <t xml:space="preserve">     + Kết quả thí nghiệm xác định độ chặt  bằng phương pháp rót cát</t>
  </si>
  <si>
    <t>Đồng ý cho triển khai các công việc tiếp theo./.</t>
  </si>
  <si>
    <r>
      <rPr>
        <b/>
        <sz val="13"/>
        <color indexed="8"/>
        <rFont val="Times New Roman"/>
        <family val="1"/>
      </rPr>
      <t>Một số vấn đề khác</t>
    </r>
    <r>
      <rPr>
        <sz val="13"/>
        <color indexed="8"/>
        <rFont val="Times New Roman"/>
        <family val="1"/>
      </rPr>
      <t xml:space="preserve"> : không</t>
    </r>
  </si>
  <si>
    <r>
      <rPr>
        <b/>
        <sz val="13"/>
        <color indexed="8"/>
        <rFont val="Times New Roman"/>
        <family val="1"/>
      </rPr>
      <t>Kết luận:</t>
    </r>
    <r>
      <rPr>
        <sz val="13"/>
        <color indexed="8"/>
        <rFont val="Times New Roman"/>
        <family val="1"/>
      </rPr>
      <t xml:space="preserve"> Thi công đạt yêu cầu, đồng ý cho triển khai các công việc tiếp theo.</t>
    </r>
  </si>
  <si>
    <r>
      <rPr>
        <b/>
        <sz val="13"/>
        <color indexed="8"/>
        <rFont val="Times New Roman"/>
        <family val="1"/>
      </rPr>
      <t>Kết luận</t>
    </r>
    <r>
      <rPr>
        <sz val="13"/>
        <color indexed="8"/>
        <rFont val="Times New Roman"/>
        <family val="1"/>
      </rPr>
      <t>: Thi công đạt yêu cầu, đồng ý cho triển khai các công việc tiếp theo.</t>
    </r>
  </si>
  <si>
    <t>Nội dung nghỉ thi công</t>
  </si>
  <si>
    <t>Tư vấn điều hành</t>
  </si>
  <si>
    <t>Đoàn Hữu Quy</t>
  </si>
  <si>
    <t>Liên danh</t>
  </si>
  <si>
    <t>LogoCTPYC</t>
  </si>
  <si>
    <t>CtyGuiPhieu</t>
  </si>
  <si>
    <r>
      <t xml:space="preserve">Kết luận: </t>
    </r>
    <r>
      <rPr>
        <sz val="13"/>
        <color indexed="8"/>
        <rFont val="Times New Roman"/>
        <family val="1"/>
      </rPr>
      <t>Thi công đạt yêu cầu, đồng ý cho triển khai các công việc tiếp theo.</t>
    </r>
  </si>
  <si>
    <t>Kết luận: Thi công đạt yêu cầu. Đồng ý cho triển khai các công việc tiếp theo.</t>
  </si>
  <si>
    <t>Km0+0</t>
  </si>
  <si>
    <t>Km0+9</t>
  </si>
  <si>
    <t>Km0+30</t>
  </si>
  <si>
    <t>Km0+43</t>
  </si>
  <si>
    <t>Km0+52</t>
  </si>
  <si>
    <t>Km0+61</t>
  </si>
  <si>
    <t>Km0+75</t>
  </si>
  <si>
    <t>Km0+90</t>
  </si>
  <si>
    <t>Km0+106</t>
  </si>
  <si>
    <t>Km0+115</t>
  </si>
  <si>
    <t>Km0+124</t>
  </si>
  <si>
    <t>Km0+135</t>
  </si>
  <si>
    <t>Km0+157</t>
  </si>
  <si>
    <t>Km0+169</t>
  </si>
  <si>
    <t>Km0+181</t>
  </si>
  <si>
    <t>Km0+200</t>
  </si>
  <si>
    <t>Km0+213</t>
  </si>
  <si>
    <t>Km0+222</t>
  </si>
  <si>
    <t>Đất đắp dài rộng cao</t>
  </si>
  <si>
    <t>Nhân lực</t>
  </si>
  <si>
    <t>THÔNG TIN THỜI TIẾT VÀ NHÂN LỰC THI CÔNG</t>
  </si>
  <si>
    <t>Lấy mẫu thí nghiệm  xác định chỉ tiêu thông thường cơ lý của mẫu đất</t>
  </si>
  <si>
    <t>Lấy mẫu thí nghiệm  xác định chỉ tiêu thông thường cơ lý của mẫu cấp phối đá dăm</t>
  </si>
  <si>
    <t>Lấy mẫu thí nghiệm  thành phần hạt</t>
  </si>
  <si>
    <t>Lấy mẫu thí nghiệm  xác định chỉ tiêu đầm nén tiêu chuẩn bằng cối cải tiến (modify)</t>
  </si>
  <si>
    <t>Lấy mẫu thí nghiệm  xác định các chỉ tiêu cơ lý của mẫu đá</t>
  </si>
  <si>
    <t>Lấy mẫu thí nghiệm  vật liệu</t>
  </si>
  <si>
    <t>Lấy mẫu thí nghiệm  CBR hiện trường</t>
  </si>
  <si>
    <t>Lấy mẫu thí nghiệm  xác định độ chặt  bằng phương pháp rót cát</t>
  </si>
  <si>
    <t>Lấy mẫu thí nghiệm  xác định độ chặt  bằng phương pháp dao vòng</t>
  </si>
  <si>
    <t>Lấy mẫu thí nghiệm  đo môđun đàn hồi bằng cần Belkenman</t>
  </si>
  <si>
    <t>Lấy mẫu thí nghiệm  đo môdun đàn hồi bằng tấm ép cứng, đường kính bàn nén D=34cm</t>
  </si>
  <si>
    <t>Lấy mẫu thí nghiệm  kiểm tra chất lượng cọc bê tông bằng phương pháp siêu âm</t>
  </si>
  <si>
    <t>Lấy mẫu thí nghiệm  xuyên tiêu chuẩn (SPT), cấp đá I-III</t>
  </si>
  <si>
    <t>Lấy mẫu thí nghiệm  hàm lượng nhựa</t>
  </si>
  <si>
    <t>Lấy mẫu thí nghiệm  độ chặt</t>
  </si>
  <si>
    <t xml:space="preserve">     + Lấy mẫu thí nghiệm  xác định chỉ tiêu thông thường cơ lý của mẫu đất</t>
  </si>
  <si>
    <t xml:space="preserve">     + Lấy mẫu thí nghiệm  thành phần hạt</t>
  </si>
  <si>
    <t xml:space="preserve">     + Lấy mẫu thí nghiệm  xác định độ chặt  bằng phương pháp rót cát</t>
  </si>
  <si>
    <t>TCVN4055:2012; TCVN 5637 : 1991; TCVN 4447:2012</t>
  </si>
  <si>
    <t>Hoàn thành công tác thi công</t>
  </si>
  <si>
    <t xml:space="preserve">   - Bảo dưỡng bê tông</t>
  </si>
  <si>
    <t>TẬP: BIÊN BẢN NGHIỆM THU VẬT LIỆU</t>
  </si>
  <si>
    <t>4. 1. 0. Bia NTHT</t>
  </si>
  <si>
    <t>2. 1. 0. Bia VL</t>
  </si>
  <si>
    <t>3. 1. 0. Bia NTCV</t>
  </si>
  <si>
    <t>5. 1. 0. Bia TNVL</t>
  </si>
  <si>
    <t>1. 1. 0. Bia HSHC</t>
  </si>
  <si>
    <t>Lấy mẫu thí nghiệm  cường độ nén bê tông  ( Click vào cột L để bổ sung thêm thông tin bê tông)</t>
  </si>
  <si>
    <t>Thời kết thúc lấy mẫu</t>
  </si>
  <si>
    <t>XÂY DỰNG CÔNG TRÌNH</t>
  </si>
  <si>
    <t>Quyển số:01</t>
  </si>
  <si>
    <t>Quyển số: 01</t>
  </si>
  <si>
    <t>DANH SÁCH CÁN BỘ CÁC BÊN TRỰC TIẾP THAM GIA XÂY DỰNG CÔNG TRÌNH</t>
  </si>
  <si>
    <t>HỌ VÀ TÊN</t>
  </si>
  <si>
    <t>CHỨC DANH</t>
  </si>
  <si>
    <t>NHIỆM VỤ</t>
  </si>
  <si>
    <t>GHI CHÚ</t>
  </si>
  <si>
    <t>Nhà thầu giám sát thi công xây dựng công trình:</t>
  </si>
  <si>
    <r>
      <t xml:space="preserve">Nhà thầu thiết kế xây dựng công trình </t>
    </r>
    <r>
      <rPr>
        <sz val="14"/>
        <color theme="1"/>
        <rFont val="Times New Roman"/>
        <family val="1"/>
      </rPr>
      <t>(giám sát tác giả)</t>
    </r>
    <r>
      <rPr>
        <b/>
        <sz val="14"/>
        <color theme="1"/>
        <rFont val="Times New Roman"/>
        <family val="1"/>
      </rPr>
      <t>:</t>
    </r>
  </si>
  <si>
    <t xml:space="preserve">Nhà thầu thi công xây dựng công trình </t>
  </si>
  <si>
    <t>GHI CHÉP NHẬT KÝ</t>
  </si>
  <si>
    <t xml:space="preserve">PHÒNG THÍ NGHIỆM CỦA CÁC ĐƠN VỊ THÍ NGHIỆM   </t>
  </si>
  <si>
    <t>I. Thành phần tham dự:</t>
  </si>
  <si>
    <t>Ông: …………………………</t>
  </si>
  <si>
    <t>Chức vụ: ……………………………..</t>
  </si>
  <si>
    <t>2. Thời gian và địa điểm:</t>
  </si>
  <si>
    <t>II. Nội dung kiểm tra:</t>
  </si>
  <si>
    <t>1. Tài liệu làm căn cứ kiểm tra:</t>
  </si>
  <si>
    <t>2. Kết quả kiểm tra:</t>
  </si>
  <si>
    <t>Tên đơn vị thí nghiệm:</t>
  </si>
  <si>
    <t xml:space="preserve">Giấy chứng nhận đăng ký doanh nghiệp mã số: </t>
  </si>
  <si>
    <t>Số: 4500575187, do Sở kế hoạch và Đầu tư Ninh Thuận cấp ngày 06/3/2014. Đăng ký thay đổi lần 2, ngày 09/9/2019</t>
  </si>
  <si>
    <t xml:space="preserve">Địa chỉ đăng ký </t>
  </si>
  <si>
    <t>Kênh Chà là, khu phố 2, phường Đài Sơn, Tp. Phan Rang – Tháp Chàm, tỉnh Ninh Thuận</t>
  </si>
  <si>
    <t>Đánh giá: Đạt yêu cầu</t>
  </si>
  <si>
    <t>Phạm Xuân Hùng</t>
  </si>
  <si>
    <r>
      <t xml:space="preserve">3. Các ý kiến khác (nếu có): </t>
    </r>
    <r>
      <rPr>
        <sz val="14"/>
        <color theme="1"/>
        <rFont val="Times New Roman"/>
        <family val="1"/>
      </rPr>
      <t>Không</t>
    </r>
  </si>
  <si>
    <t xml:space="preserve">4. Kết luận và kiến nghị: </t>
  </si>
  <si>
    <t>ĐẠI DIỆN CHỦ ĐẦU TƯ</t>
  </si>
  <si>
    <t>ĐẠI DIỆN ĐƠN VỊ THÍ NGHIÊM</t>
  </si>
  <si>
    <t>Trưởng phòng thí nghiệm</t>
  </si>
  <si>
    <t>Địa chỉ</t>
  </si>
  <si>
    <t>Giấy chứng nhận</t>
  </si>
  <si>
    <t>Hợp đồng thí nghiệm</t>
  </si>
  <si>
    <t>(Đính kèm danh sách cán bộ thí nghiệm phục vụ cho công trình)</t>
  </si>
  <si>
    <t>(Đính kèm danh sách thiết bị máy móc thí nghiệm phục vụ cho công trình)</t>
  </si>
  <si>
    <t>BIÊN BẢN KIỂM TRA PHÒNG THÍ NGHIỆM</t>
  </si>
  <si>
    <r>
      <t>---------------</t>
    </r>
    <r>
      <rPr>
        <sz val="13"/>
        <color theme="1"/>
        <rFont val="Wingdings"/>
        <charset val="2"/>
      </rPr>
      <t>²</t>
    </r>
    <r>
      <rPr>
        <sz val="13"/>
        <color theme="1"/>
        <rFont val="Times New Roman"/>
        <family val="1"/>
      </rPr>
      <t>---------------</t>
    </r>
  </si>
  <si>
    <t xml:space="preserve">     -  Thông tư số 06/2017/TT-BXD ngày 25/4/2017 của Bộ Xây dựng về việc hướng dẫn hoạt động thí nghiệm chuyên ngành xây dựng </t>
  </si>
  <si>
    <t xml:space="preserve">     - Hồ sơ năng lực của các đơn vị thí nghiệm do nhà thầu thi công đề xuất;</t>
  </si>
  <si>
    <t xml:space="preserve">     - Văn bản đề nghị chấp thuận phòng thí nghiệm hiện trường của nhà thầu thi công xây dựng;</t>
  </si>
  <si>
    <t xml:space="preserve">     Và các văn bản khác có liên quan.</t>
  </si>
  <si>
    <t xml:space="preserve">     - Kết quả kiểm tra Quyết định thành lập hoặc Giấy chứng nhận đăng ký doanh nghiệp hoặc Giấy phép đầu tư.</t>
  </si>
  <si>
    <t xml:space="preserve">     - Kết quả kiểm tra về thiết bị thí nghiệm:</t>
  </si>
  <si>
    <t xml:space="preserve">     - Kết quả kiểm tra về nhân sự:</t>
  </si>
  <si>
    <t>https://www.accuweather.com/vi/vn/ban-cheng-nuo/354276</t>
  </si>
  <si>
    <t>https://www.accuweather.com/vi/vn/ban-ko-la/354278</t>
  </si>
  <si>
    <t>https://www.accuweather.com/vi/vn/ban-nam-che/354279</t>
  </si>
  <si>
    <t>https://www.accuweather.com/vi/vn/ban-nam-muong/354280</t>
  </si>
  <si>
    <t>https://www.accuweather.com/vi/vn/ban-pa-thang/354281</t>
  </si>
  <si>
    <t>https://www.accuweather.com/vi/vn/lai-chau/353000</t>
  </si>
  <si>
    <t>https://www.accuweather.com/vi/vn/ma-li-chai/354282</t>
  </si>
  <si>
    <t>https://www.accuweather.com/vi/vn/muong-boum/354283</t>
  </si>
  <si>
    <t>https://www.accuweather.com/vi/vn/muong-te/354284</t>
  </si>
  <si>
    <t>https://www.accuweather.com/vi/vn/nam-bon/354285</t>
  </si>
  <si>
    <t>https://www.accuweather.com/vi/vn/phong-tho/354286</t>
  </si>
  <si>
    <t>https://www.accuweather.com/vi/vn/bac-ha/354306</t>
  </si>
  <si>
    <t>https://www.accuweather.com/vi/vn/ban-kung/354313</t>
  </si>
  <si>
    <t>https://www.accuweather.com/vi/vn/ban-la/354314</t>
  </si>
  <si>
    <t>https://www.accuweather.com/vi/vn/ban-xeo/354315</t>
  </si>
  <si>
    <t>https://www.accuweather.com/vi/vn/bao-yen/354307</t>
  </si>
  <si>
    <t>https://www.accuweather.com/vi/vn/cam-duong/354308</t>
  </si>
  <si>
    <t>https://www.accuweather.com/vi/vn/cha-pai/354309</t>
  </si>
  <si>
    <t>https://www.accuweather.com/vi/vn/coc-leu/428001</t>
  </si>
  <si>
    <t>https://www.accuweather.com/vi/vn/ha-nam/354310</t>
  </si>
  <si>
    <t>https://www.accuweather.com/vi/vn/lao-cai/354305</t>
  </si>
  <si>
    <t>https://www.accuweather.com/vi/vn/muong-bo/354317</t>
  </si>
  <si>
    <t>https://www.accuweather.com/vi/vn/nam-bai/354318</t>
  </si>
  <si>
    <t>https://www.accuweather.com/vi/vn/nam-khap-ban-tang/354319</t>
  </si>
  <si>
    <t>https://www.accuweather.com/vi/vn/pac-ta/354311</t>
  </si>
  <si>
    <t>https://www.accuweather.com/vi/vn/pac-ta/354312</t>
  </si>
  <si>
    <t>https://www.accuweather.com/vi/vn/pho-lu/354322</t>
  </si>
  <si>
    <t>https://www.accuweather.com/vi/vn/van-ban/354323</t>
  </si>
  <si>
    <t>https://www.accuweather.com/vi/vn/bac-ba/353390</t>
  </si>
  <si>
    <t>https://www.accuweather.com/vi/vn/bac-me/353391</t>
  </si>
  <si>
    <t>https://www.accuweather.com/vi/vn/bac-quang/353392</t>
  </si>
  <si>
    <t>https://www.accuweather.com/vi/vn/ban-thuy/353393</t>
  </si>
  <si>
    <t>https://www.accuweather.com/vi/vn/ban-vai/353394</t>
  </si>
  <si>
    <t>https://www.accuweather.com/vi/vn/cho-kem/353395</t>
  </si>
  <si>
    <t>https://www.accuweather.com/vi/vn/ha-giang/353389</t>
  </si>
  <si>
    <t>https://www.accuweather.com/vi/vn/lang-cay/353396</t>
  </si>
  <si>
    <t>https://www.accuweather.com/vi/vn/loung-hoa/353397</t>
  </si>
  <si>
    <t>https://www.accuweather.com/vi/vn/meo-vac/353403</t>
  </si>
  <si>
    <t>https://www.accuweather.com/vi/vn/nam-ric/353398</t>
  </si>
  <si>
    <t>https://www.accuweather.com/vi/vn/tchoung-sao/353399</t>
  </si>
  <si>
    <t>https://www.accuweather.com/vi/vn/thanh-thuy/353400</t>
  </si>
  <si>
    <t>https://www.accuweather.com/vi/vn/vinh-tuy/353401</t>
  </si>
  <si>
    <t>https://www.accuweather.com/vi/vn/yen-binh-xa/353402</t>
  </si>
  <si>
    <t>https://www.accuweather.com/vi/vn/ban-cao/352514</t>
  </si>
  <si>
    <t>https://www.accuweather.com/vi/vn/ban-duong/352513</t>
  </si>
  <si>
    <t>https://www.accuweather.com/vi/vn/ban-giam/352515</t>
  </si>
  <si>
    <t>https://www.accuweather.com/vi/vn/cao-bang/352511</t>
  </si>
  <si>
    <t>https://www.accuweather.com/vi/vn/ha-lang/352525</t>
  </si>
  <si>
    <t>https://www.accuweather.com/vi/vn/khau-khang/352516</t>
  </si>
  <si>
    <t>https://www.accuweather.com/vi/vn/lang-den/352517</t>
  </si>
  <si>
    <t>https://www.accuweather.com/vi/vn/na-giao/352518</t>
  </si>
  <si>
    <t>https://www.accuweather.com/vi/vn/na-loung/352519</t>
  </si>
  <si>
    <t>https://www.accuweather.com/vi/vn/na-young/352520</t>
  </si>
  <si>
    <t>https://www.accuweather.com/vi/vn/nam-lang/352521</t>
  </si>
  <si>
    <t>https://www.accuweather.com/vi/vn/nam-nhung/352522</t>
  </si>
  <si>
    <t>https://www.accuweather.com/vi/vn/pac-boc/352512</t>
  </si>
  <si>
    <t>https://www.accuweather.com/vi/vn/quang-dau/352524</t>
  </si>
  <si>
    <t>https://www.accuweather.com/vi/vn/ban-lot/355948</t>
  </si>
  <si>
    <t>https://www.accuweather.com/vi/vn/ban-na-tong/355950</t>
  </si>
  <si>
    <t>https://www.accuweather.com/vi/vn/ban-pho/355951</t>
  </si>
  <si>
    <t>https://www.accuweather.com/vi/vn/ban-vay/355946</t>
  </si>
  <si>
    <t>https://www.accuweather.com/vi/vn/bang-beng/355952</t>
  </si>
  <si>
    <t>https://www.accuweather.com/vi/vn/chieng-pan/355953</t>
  </si>
  <si>
    <t>https://www.accuweather.com/vi/vn/lao-phou-van/355954</t>
  </si>
  <si>
    <t>https://www.accuweather.com/vi/vn/muong-leo/355955</t>
  </si>
  <si>
    <t>https://www.accuweather.com/vi/vn/quynh-nhai/355956</t>
  </si>
  <si>
    <t>https://www.accuweather.com/vi/vn/son-la/355945</t>
  </si>
  <si>
    <t>https://www.accuweather.com/vi/vn/song-ma/355947</t>
  </si>
  <si>
    <t>https://www.accuweather.com/vi/vn/ba-khe/356427</t>
  </si>
  <si>
    <t>https://www.accuweather.com/vi/vn/lang-than/356428</t>
  </si>
  <si>
    <t>https://www.accuweather.com/vi/vn/nghia-lo/356429</t>
  </si>
  <si>
    <t>https://www.accuweather.com/vi/vn/phu-hien/356430</t>
  </si>
  <si>
    <t>https://www.accuweather.com/vi/vn/poun-loung/356431</t>
  </si>
  <si>
    <t>https://www.accuweather.com/vi/vn/trai-hut/356432</t>
  </si>
  <si>
    <t>https://www.accuweather.com/vi/vn/tu-le/356426</t>
  </si>
  <si>
    <t>https://www.accuweather.com/vi/vn/van-an/356433</t>
  </si>
  <si>
    <t>https://www.accuweather.com/vi/vn/yen-bai/356425</t>
  </si>
  <si>
    <t>https://www.accuweather.com/vi/vn/ban-coc/356321</t>
  </si>
  <si>
    <t>https://www.accuweather.com/vi/vn/chiem-hoa/356323</t>
  </si>
  <si>
    <t>https://www.accuweather.com/vi/vn/dai-th/356320</t>
  </si>
  <si>
    <t>https://www.accuweather.com/vi/vn/dong-tong-bang/356324</t>
  </si>
  <si>
    <t>https://www.accuweather.com/vi/vn/ham-yen/356325</t>
  </si>
  <si>
    <t>https://www.accuweather.com/vi/vn/hau-chung/356326</t>
  </si>
  <si>
    <t>https://www.accuweather.com/vi/vn/na-hang/356327</t>
  </si>
  <si>
    <t>https://www.accuweather.com/vi/vn/na-koc/356328</t>
  </si>
  <si>
    <t>https://www.accuweather.com/vi/vn/tung-muong/356329</t>
  </si>
  <si>
    <t>https://www.accuweather.com/vi/vn/tuyen-quang/356319</t>
  </si>
  <si>
    <t>https://www.accuweather.com/vi/vn/ban-re/354296</t>
  </si>
  <si>
    <t>https://www.accuweather.com/vi/vn/con-chon/354297</t>
  </si>
  <si>
    <t>https://www.accuweather.com/vi/vn/dong-dang/354298</t>
  </si>
  <si>
    <t>https://www.accuweather.com/vi/vn/fac-ta/354299</t>
  </si>
  <si>
    <t>https://www.accuweather.com/vi/vn/lang-ro/354300</t>
  </si>
  <si>
    <t>https://www.accuweather.com/vi/vn/lang-son/354293</t>
  </si>
  <si>
    <t>https://www.accuweather.com/vi/vn/loc-binh/354301</t>
  </si>
  <si>
    <t>https://www.accuweather.com/vi/vn/na-anh/354302</t>
  </si>
  <si>
    <t>https://www.accuweather.com/vi/vn/na-nhien/354295</t>
  </si>
  <si>
    <t>https://www.accuweather.com/vi/vn/na-sam/354303</t>
  </si>
  <si>
    <t>https://www.accuweather.com/vi/vn/quinh-son/354304</t>
  </si>
  <si>
    <t>https://www.accuweather.com/vi/vn/that-khe/354294</t>
  </si>
  <si>
    <t>https://www.accuweather.com/vi/vn/cam-pha/355737</t>
  </si>
  <si>
    <t>https://www.accuweather.com/vi/vn/dam-ha/355740</t>
  </si>
  <si>
    <t>https://www.accuweather.com/vi/vn/dong-trieu/355741</t>
  </si>
  <si>
    <t>https://www.accuweather.com/vi/vn/dong-vang/355742</t>
  </si>
  <si>
    <t>https://www.accuweather.com/vi/vn/ha-dong/355743</t>
  </si>
  <si>
    <t>https://www.accuweather.com/vi/vn/ha-long/355736</t>
  </si>
  <si>
    <t>https://www.accuweather.com/vi/vn/ke-phong/355744</t>
  </si>
  <si>
    <t>https://www.accuweather.com/vi/vn/mong-cai/355739</t>
  </si>
  <si>
    <t>https://www.accuweather.com/vi/vn/mong-duong/355745</t>
  </si>
  <si>
    <t>https://www.accuweather.com/vi/vn/na-thiem/355746</t>
  </si>
  <si>
    <t>https://www.accuweather.com/vi/vn/quang-hoai/355747</t>
  </si>
  <si>
    <t>https://www.accuweather.com/vi/vn/quang-yen/355748</t>
  </si>
  <si>
    <t>https://www.accuweather.com/vi/vn/than-poun/106544</t>
  </si>
  <si>
    <t>https://www.accuweather.com/vi/vn/uong-bi/355738</t>
  </si>
  <si>
    <t>https://www.accuweather.com/vi/vn/vang-danh/355749</t>
  </si>
  <si>
    <t>https://www.accuweather.com/vi/vn/chi-ne/353985</t>
  </si>
  <si>
    <t>https://www.accuweather.com/vi/vn/gieu-ca/353986</t>
  </si>
  <si>
    <t>https://www.accuweather.com/vi/vn/hoa-binh/353983</t>
  </si>
  <si>
    <t>https://www.accuweather.com/vi/vn/suoi-rut/353984</t>
  </si>
  <si>
    <t>https://www.accuweather.com/vi/vn/vi-ban/353988</t>
  </si>
  <si>
    <t>https://www.accuweather.com/vi/vn/vinh-dong/353989</t>
  </si>
  <si>
    <t>https://www.accuweather.com/vi/vn/xom-lon/353990</t>
  </si>
  <si>
    <t>https://www.accuweather.com/vi/vn/nho-quan/355450</t>
  </si>
  <si>
    <t>https://www.accuweather.com/vi/vn/ninh-binh/355447</t>
  </si>
  <si>
    <t>https://www.accuweather.com/vi/vn/phat-diem/355448</t>
  </si>
  <si>
    <t>https://www.accuweather.com/vi/vn/tay-phu/355449</t>
  </si>
  <si>
    <t>https://www.accuweather.com/vi/vn/da-coc/356181</t>
  </si>
  <si>
    <t>https://www.accuweather.com/vi/vn/luc-linh/356178</t>
  </si>
  <si>
    <t>https://www.accuweather.com/vi/vn/phu-vat/356179</t>
  </si>
  <si>
    <t>https://www.accuweather.com/vi/vn/quan-bac/356180</t>
  </si>
  <si>
    <t>https://www.accuweather.com/vi/vn/thai-binh/356177</t>
  </si>
  <si>
    <t>https://www.accuweather.com/vi/vn/ba-lang/356190</t>
  </si>
  <si>
    <t>https://www.accuweather.com/vi/vn/bai-thuong/356191</t>
  </si>
  <si>
    <t>https://www.accuweather.com/vi/vn/bien-son/356186</t>
  </si>
  <si>
    <t>https://www.accuweather.com/vi/vn/binh-an/356192</t>
  </si>
  <si>
    <t>https://www.accuweather.com/vi/vn/diem-phe/356193</t>
  </si>
  <si>
    <t>https://www.accuweather.com/vi/vn/dong-tau/356194</t>
  </si>
  <si>
    <t>https://www.accuweather.com/vi/vn/hoang-xa/356195</t>
  </si>
  <si>
    <t>https://www.accuweather.com/vi/vn/ke-gi/356196</t>
  </si>
  <si>
    <t>https://www.accuweather.com/vi/vn/kien-trung/356197</t>
  </si>
  <si>
    <t>https://www.accuweather.com/vi/vn/lang-ke-man/356198</t>
  </si>
  <si>
    <t>https://www.accuweather.com/vi/vn/lang-men/356199</t>
  </si>
  <si>
    <t>https://www.accuweather.com/vi/vn/muong-lat/356200</t>
  </si>
  <si>
    <t>https://www.accuweather.com/vi/vn/nghi-son/356187</t>
  </si>
  <si>
    <t>https://www.accuweather.com/vi/vn/nhu-xuan/356189</t>
  </si>
  <si>
    <t>https://www.accuweather.com/vi/vn/sam-son/356185</t>
  </si>
  <si>
    <t>https://www.accuweather.com/vi/vn/thanh-hoa/356184</t>
  </si>
  <si>
    <t>https://www.accuweather.com/vi/vn/thiet-tra/356201</t>
  </si>
  <si>
    <t>https://www.accuweather.com/vi/vn/truong-quang-tien/356188</t>
  </si>
  <si>
    <t>https://www.accuweather.com/vi/vn/vinh-loc/356202</t>
  </si>
  <si>
    <t>https://www.accuweather.com/vi/vn/xuan-hoa/356203</t>
  </si>
  <si>
    <t>https://www.accuweather.com/vi/vn/ban-cha-hang/355423</t>
  </si>
  <si>
    <t>https://www.accuweather.com/vi/vn/ban-chieng/355424</t>
  </si>
  <si>
    <t>https://www.accuweather.com/vi/vn/ban-ko-oi/355425</t>
  </si>
  <si>
    <t>https://www.accuweather.com/vi/vn/ban-mong/355426</t>
  </si>
  <si>
    <t>https://www.accuweather.com/vi/vn/ban-na-ca/355427</t>
  </si>
  <si>
    <t>https://www.accuweather.com/vi/vn/bich-thi/355429</t>
  </si>
  <si>
    <t>https://www.accuweather.com/vi/vn/canh-trap/355430</t>
  </si>
  <si>
    <t>https://www.accuweather.com/vi/vn/duong-long/355431</t>
  </si>
  <si>
    <t>https://www.accuweather.com/vi/vn/ky-son/355418</t>
  </si>
  <si>
    <t>https://www.accuweather.com/vi/vn/lang-la/355419</t>
  </si>
  <si>
    <t>https://www.accuweather.com/vi/vn/lang-rao/355432</t>
  </si>
  <si>
    <t>https://www.accuweather.com/vi/vn/lang-se/355433</t>
  </si>
  <si>
    <t>https://www.accuweather.com/vi/vn/luong-khe/355434</t>
  </si>
  <si>
    <t>https://www.accuweather.com/vi/vn/muong-hin/355435</t>
  </si>
  <si>
    <t>https://www.accuweather.com/vi/vn/muong-hinh/355436</t>
  </si>
  <si>
    <t>https://www.accuweather.com/vi/vn/na-ac/355437</t>
  </si>
  <si>
    <t>https://www.accuweather.com/vi/vn/nghia-dan/355438</t>
  </si>
  <si>
    <t>https://www.accuweather.com/vi/vn/phlen-loung/355439</t>
  </si>
  <si>
    <t>https://www.accuweather.com/vi/vn/phuc-thanh/355440</t>
  </si>
  <si>
    <t>https://www.accuweather.com/vi/vn/qui-chau/355441</t>
  </si>
  <si>
    <t>https://www.accuweather.com/vi/vn/tam-le/355442</t>
  </si>
  <si>
    <t>https://www.accuweather.com/vi/vn/tap-phuc/355443</t>
  </si>
  <si>
    <t>https://www.accuweather.com/vi/vn/tien-yen/355420</t>
  </si>
  <si>
    <t>https://www.accuweather.com/vi/vn/tri-le/355444</t>
  </si>
  <si>
    <t>https://www.accuweather.com/vi/vn/tuong-duong/355421</t>
  </si>
  <si>
    <t>https://www.accuweather.com/vi/vn/vinh/355417</t>
  </si>
  <si>
    <t>https://www.accuweather.com/vi/vn/vinh-lai/355445</t>
  </si>
  <si>
    <t>https://www.accuweather.com/vi/vn/xa-truc/355446</t>
  </si>
  <si>
    <t>https://www.accuweather.com/vi/vn/xen-con/355422</t>
  </si>
  <si>
    <t>https://www.accuweather.com/vi/vn/bau-mon/353423</t>
  </si>
  <si>
    <t>https://www.accuweather.com/vi/vn/cau-thuong/353424</t>
  </si>
  <si>
    <t>https://www.accuweather.com/vi/vn/dien-xa/353425</t>
  </si>
  <si>
    <t>https://www.accuweather.com/vi/vn/ha-tinh/353418</t>
  </si>
  <si>
    <t>https://www.accuweather.com/vi/vn/ho-thong/353419</t>
  </si>
  <si>
    <t>https://www.accuweather.com/vi/vn/huong-son/353420</t>
  </si>
  <si>
    <t>https://www.accuweather.com/vi/vn/kim-cuong/353421</t>
  </si>
  <si>
    <t>https://www.accuweather.com/vi/vn/ky-anh/353426</t>
  </si>
  <si>
    <t>https://www.accuweather.com/vi/vn/truc-lam/353427</t>
  </si>
  <si>
    <t>https://www.accuweather.com/vi/vn/tuan-thuong/353428</t>
  </si>
  <si>
    <t>https://www.accuweather.com/vi/vn/vinh-son/353429</t>
  </si>
  <si>
    <t>https://www.accuweather.com/vi/vn/xom-con-si/353422</t>
  </si>
  <si>
    <t>https://www.accuweather.com/vi/vn/xuan-lung/353430</t>
  </si>
  <si>
    <t>https://www.accuweather.com/vi/vn/cha-noi/355702</t>
  </si>
  <si>
    <t>https://www.accuweather.com/vi/vn/chap-le/355703</t>
  </si>
  <si>
    <t>https://www.accuweather.com/vi/vn/dong-hoi/355698</t>
  </si>
  <si>
    <t>https://www.accuweather.com/vi/vn/ho-xa/355699</t>
  </si>
  <si>
    <t>https://www.accuweather.com/vi/vn/kiem-long/355704</t>
  </si>
  <si>
    <t>https://www.accuweather.com/vi/vn/lang-mo/355705</t>
  </si>
  <si>
    <t>https://www.accuweather.com/vi/vn/ly-nhon-bac/355700</t>
  </si>
  <si>
    <t>https://www.accuweather.com/vi/vn/quang-ninh/355701</t>
  </si>
  <si>
    <t>https://www.accuweather.com/vi/vn/quang-trach/355706</t>
  </si>
  <si>
    <t>https://www.accuweather.com/vi/vn/thanh-lang-xa/355707</t>
  </si>
  <si>
    <t>https://www.accuweather.com/vi/vn/xuan-bo/355709</t>
  </si>
  <si>
    <t>https://www.accuweather.com/vi/vn/yen-lac/355710</t>
  </si>
  <si>
    <t>https://www.accuweather.com/vi/vn/bo-ho-su/355754</t>
  </si>
  <si>
    <t>https://www.accuweather.com/vi/vn/cam-lo/355755</t>
  </si>
  <si>
    <t>https://www.accuweather.com/vi/vn/cat-son-phuong/355750</t>
  </si>
  <si>
    <t>https://www.accuweather.com/vi/vn/dong-ha/426609</t>
  </si>
  <si>
    <t>https://www.accuweather.com/vi/vn/khe-sanh/355756</t>
  </si>
  <si>
    <t>https://www.accuweather.com/vi/vn/mui-lay/355757</t>
  </si>
  <si>
    <t>https://www.accuweather.com/vi/vn/pho-trach/355758</t>
  </si>
  <si>
    <t>https://www.accuweather.com/vi/vn/quang-tri/355759</t>
  </si>
  <si>
    <t>https://www.accuweather.com/vi/vn/thon-khe-xeng/355760</t>
  </si>
  <si>
    <t>https://www.accuweather.com/vi/vn/thon-my-chanh/355761</t>
  </si>
  <si>
    <t>https://www.accuweather.com/vi/vn/thon-my-thuy/355762</t>
  </si>
  <si>
    <t>https://www.accuweather.com/vi/vn/thon-thai-duong-ha/355753</t>
  </si>
  <si>
    <t>https://www.accuweather.com/vi/vn/tou-rout/355763</t>
  </si>
  <si>
    <t>https://www.accuweather.com/vi/vn/hue/356204</t>
  </si>
  <si>
    <t>https://www.accuweather.com/vi/vn/huong-thuy/356205</t>
  </si>
  <si>
    <t>https://www.accuweather.com/vi/vn/mui-chon-dong/356207</t>
  </si>
  <si>
    <t>https://www.accuweather.com/vi/vn/nong-truong/356209</t>
  </si>
  <si>
    <t>https://www.accuweather.com/vi/vn/nong-truong-nam-dong/356206</t>
  </si>
  <si>
    <t>https://www.accuweather.com/vi/vn/phu-loc/356210</t>
  </si>
  <si>
    <t>https://www.accuweather.com/vi/vn/thon-phu-an/356211</t>
  </si>
  <si>
    <t>https://www.accuweather.com/vi/vn/ai-yin-young/355720</t>
  </si>
  <si>
    <t>https://www.accuweather.com/vi/vn/ben-giang/355721</t>
  </si>
  <si>
    <t>https://www.accuweather.com/vi/vn/dien-ban/355713</t>
  </si>
  <si>
    <t>https://www.accuweather.com/vi/vn/ha-nong-trung/355714</t>
  </si>
  <si>
    <t>https://www.accuweather.com/vi/vn/hiep-duc/355715</t>
  </si>
  <si>
    <t>https://www.accuweather.com/vi/vn/hoi-an/355711</t>
  </si>
  <si>
    <t>https://www.accuweather.com/vi/vn/kham-duc/355722</t>
  </si>
  <si>
    <t>https://www.accuweather.com/vi/vn/khuong-trung/355716</t>
  </si>
  <si>
    <t>https://www.accuweather.com/vi/vn/phu-binh/355717</t>
  </si>
  <si>
    <t>https://www.accuweather.com/vi/vn/phu-xuan-ha/355723</t>
  </si>
  <si>
    <t>https://www.accuweather.com/vi/vn/tam-ky/355712</t>
  </si>
  <si>
    <t>https://www.accuweather.com/vi/vn/thang-binh/355718</t>
  </si>
  <si>
    <t>https://www.accuweather.com/vi/vn/thon-hai/355719</t>
  </si>
  <si>
    <t>https://www.accuweather.com/vi/vn/thuong-duc/355724</t>
  </si>
  <si>
    <t>https://www.accuweather.com/vi/vn/tien-phuoc/355725</t>
  </si>
  <si>
    <t>https://www.accuweather.com/vi/vn/tra-mi/355726</t>
  </si>
  <si>
    <t>https://www.accuweather.com/vi/vn/chuong-nghia/354243</t>
  </si>
  <si>
    <t>https://www.accuweather.com/vi/vn/cong-co-do/354244</t>
  </si>
  <si>
    <t>https://www.accuweather.com/vi/vn/dak-chat/354247</t>
  </si>
  <si>
    <t>https://www.accuweather.com/vi/vn/dak-pec/354245</t>
  </si>
  <si>
    <t>https://www.accuweather.com/vi/vn/goranh/354249</t>
  </si>
  <si>
    <t>https://www.accuweather.com/vi/vn/kon-braih/354250</t>
  </si>
  <si>
    <t>https://www.accuweather.com/vi/vn/kon-honong/354251</t>
  </si>
  <si>
    <t>https://www.accuweather.com/vi/vn/kon-tum/354242</t>
  </si>
  <si>
    <t>https://www.accuweather.com/vi/vn/mang-ri/354253</t>
  </si>
  <si>
    <t>https://www.accuweather.com/vi/vn/plei-can/354246</t>
  </si>
  <si>
    <t>https://www.accuweather.com/vi/vn/polei-breng/354254</t>
  </si>
  <si>
    <t>https://www.accuweather.com/vi/vn/sa-thay/354256</t>
  </si>
  <si>
    <t>https://www.accuweather.com/vi/vn/tan-canh/354257</t>
  </si>
  <si>
    <t>https://www.accuweather.com/vi/vn/tri-dao/354258</t>
  </si>
  <si>
    <t>https://www.accuweather.com/vi/vn/an-hai/355728</t>
  </si>
  <si>
    <t>https://www.accuweather.com/vi/vn/gia-vuc/355732</t>
  </si>
  <si>
    <t>https://www.accuweather.com/vi/vn/phuoc-thinh/355729</t>
  </si>
  <si>
    <t>https://www.accuweather.com/vi/vn/quang-ngai/355727</t>
  </si>
  <si>
    <t>https://www.accuweather.com/vi/vn/sa-huynh/355733</t>
  </si>
  <si>
    <t>https://www.accuweather.com/vi/vn/thanh-thuy/355734</t>
  </si>
  <si>
    <t>https://www.accuweather.com/vi/vn/tra-bong/355735</t>
  </si>
  <si>
    <t>https://www.accuweather.com/vi/vn/tuyet-diem/355730</t>
  </si>
  <si>
    <t>https://www.accuweather.com/vi/vn/van-ly/355731</t>
  </si>
  <si>
    <t>https://www.accuweather.com/vi/vn/a-yun-pa/353271</t>
  </si>
  <si>
    <t>https://www.accuweather.com/vi/vn/an-khe/353272</t>
  </si>
  <si>
    <t>https://www.accuweather.com/vi/vn/ban-bat/353273</t>
  </si>
  <si>
    <t>https://www.accuweather.com/vi/vn/ban-xa-thu/353274</t>
  </si>
  <si>
    <t>https://www.accuweather.com/vi/vn/de-pouang/353266</t>
  </si>
  <si>
    <t>https://www.accuweather.com/vi/vn/dinh-dien-dak-quon/353267</t>
  </si>
  <si>
    <t>https://www.accuweather.com/vi/vn/phu-nhon/353275</t>
  </si>
  <si>
    <t>https://www.accuweather.com/vi/vn/plei-doch/353276</t>
  </si>
  <si>
    <t>https://www.accuweather.com/vi/vn/plei-ken-ngo/353268</t>
  </si>
  <si>
    <t>https://www.accuweather.com/vi/vn/plei-khoie/353277</t>
  </si>
  <si>
    <t>https://www.accuweather.com/vi/vn/plei-klane-kla/353269</t>
  </si>
  <si>
    <t>https://www.accuweather.com/vi/vn/plei-kuel/353278</t>
  </si>
  <si>
    <t>https://www.accuweather.com/vi/vn/plei-morr/353279</t>
  </si>
  <si>
    <t>https://www.accuweather.com/vi/vn/plei-rongol-dogrong/353270</t>
  </si>
  <si>
    <t>https://www.accuweather.com/vi/vn/pleiku/353265</t>
  </si>
  <si>
    <t>https://www.accuweather.com/vi/vn/thang-duc/353280</t>
  </si>
  <si>
    <t>https://www.accuweather.com/vi/vn/xuong-kuang/353281</t>
  </si>
  <si>
    <t>https://www.accuweather.com/vi/vn/an-lao/352240</t>
  </si>
  <si>
    <t>https://www.accuweather.com/vi/vn/bong-son/352232</t>
  </si>
  <si>
    <t>https://www.accuweather.com/vi/vn/chan-an/352241</t>
  </si>
  <si>
    <t>https://www.accuweather.com/vi/vn/dinh-binh/352233</t>
  </si>
  <si>
    <t>https://www.accuweather.com/vi/vn/duong-lieu/352234</t>
  </si>
  <si>
    <t>https://www.accuweather.com/vi/vn/huu-giang/352235</t>
  </si>
  <si>
    <t>https://www.accuweather.com/vi/vn/phu-an/352243</t>
  </si>
  <si>
    <t>https://www.accuweather.com/vi/vn/phu-cat/352244</t>
  </si>
  <si>
    <t>https://www.accuweather.com/vi/vn/phu-xuan/352236</t>
  </si>
  <si>
    <t>https://www.accuweather.com/vi/vn/quy-nhon/171</t>
  </si>
  <si>
    <t>https://www.accuweather.com/vi/vn/tam-quan/352237</t>
  </si>
  <si>
    <t>https://www.accuweather.com/vi/vn/van-canh/352245</t>
  </si>
  <si>
    <t>https://www.accuweather.com/vi/vn/van-thien/352238</t>
  </si>
  <si>
    <t>https://www.accuweather.com/vi/vn/vinh-phuc/352239</t>
  </si>
  <si>
    <t>https://www.accuweather.com/vi/vn/ban-thach/355600</t>
  </si>
  <si>
    <t>https://www.accuweather.com/vi/vn/binh-thanh/355601</t>
  </si>
  <si>
    <t>https://www.accuweather.com/vi/vn/cung-son/355596</t>
  </si>
  <si>
    <t>https://www.accuweather.com/vi/vn/dan-phu/355598</t>
  </si>
  <si>
    <t>https://www.accuweather.com/vi/vn/dong-xuan/355602</t>
  </si>
  <si>
    <t>https://www.accuweather.com/vi/vn/phu-giang/355599</t>
  </si>
  <si>
    <t>https://www.accuweather.com/vi/vn/phuoc-lanh/355603</t>
  </si>
  <si>
    <t>https://www.accuweather.com/vi/vn/tuy-hoa/355595</t>
  </si>
  <si>
    <t>https://www.accuweather.com/vi/vn/ban-ae-lai/352960</t>
  </si>
  <si>
    <t>https://www.accuweather.com/vi/vn/ban-ay-rieng/352961</t>
  </si>
  <si>
    <t>https://www.accuweather.com/vi/vn/ban-don/352962</t>
  </si>
  <si>
    <t>https://www.accuweather.com/vi/vn/ban-mdrack/352957</t>
  </si>
  <si>
    <t>https://www.accuweather.com/vi/vn/buon-ma/352963</t>
  </si>
  <si>
    <t>https://www.accuweather.com/vi/vn/buon-ma-thuot/352955</t>
  </si>
  <si>
    <t>https://www.accuweather.com/vi/vn/buon-mrong/352958</t>
  </si>
  <si>
    <t>https://www.accuweather.com/vi/vn/buon-phoke/352964</t>
  </si>
  <si>
    <t>https://www.accuweather.com/vi/vn/buon-ya-soup/352965</t>
  </si>
  <si>
    <t>https://www.accuweather.com/vi/vn/nong-trai/352966</t>
  </si>
  <si>
    <t>https://www.accuweather.com/vi/vn/quang-nhieu/352959</t>
  </si>
  <si>
    <t>https://www.accuweather.com/vi/vn/xa-tho-thanh/352967</t>
  </si>
  <si>
    <t>https://www.accuweather.com/vi/vn/ap-duc-my/354229</t>
  </si>
  <si>
    <t>https://www.accuweather.com/vi/vn/cam-lam/354223</t>
  </si>
  <si>
    <t>https://www.accuweather.com/vi/vn/cam-ranh/354224</t>
  </si>
  <si>
    <t>https://www.accuweather.com/vi/vn/dien-khanh/354225</t>
  </si>
  <si>
    <t>https://www.accuweather.com/vi/vn/khanh-son/354232</t>
  </si>
  <si>
    <t>https://www.accuweather.com/vi/vn/khanh-vinh/354230</t>
  </si>
  <si>
    <t>https://www.accuweather.com/vi/vn/nha-trang/354222</t>
  </si>
  <si>
    <t>https://www.accuweather.com/vi/vn/ninh-hoa/354226</t>
  </si>
  <si>
    <t>https://www.accuweather.com/vi/vn/ninh-ma/354227</t>
  </si>
  <si>
    <t>https://www.accuweather.com/vi/vn/ninh-phuoc/354228</t>
  </si>
  <si>
    <t>https://www.accuweather.com/vi/vn/van-ninh/354231</t>
  </si>
  <si>
    <t>https://www.accuweather.com/vi/vn/xom-my-ca/354233</t>
  </si>
  <si>
    <t>https://www.accuweather.com/vi/vn/ap-tan-my/354289</t>
  </si>
  <si>
    <t>https://www.accuweather.com/vi/vn/ap-thanh-huong/354290</t>
  </si>
  <si>
    <t>https://www.accuweather.com/vi/vn/da-lat/354287</t>
  </si>
  <si>
    <t>https://www.accuweather.com/vi/vn/di-linh/354291</t>
  </si>
  <si>
    <t>https://www.accuweather.com/vi/vn/dong-krola/354292</t>
  </si>
  <si>
    <t>https://www.accuweather.com/vi/vn/phu-hoi/354288</t>
  </si>
  <si>
    <t>https://www.accuweather.com/vi/vn/an-phuoc/355455</t>
  </si>
  <si>
    <t>https://www.accuweather.com/vi/vn/du-long/355453</t>
  </si>
  <si>
    <t>https://www.accuweather.com/vi/vn/lang-ong/355456</t>
  </si>
  <si>
    <t>https://www.accuweather.com/vi/vn/phan-rang-thap-cham/355452</t>
  </si>
  <si>
    <t>https://www.accuweather.com/vi/vn/thon-bao-an/355454</t>
  </si>
  <si>
    <t>https://www.accuweather.com/vi/vn/thon-do-vinh/355457</t>
  </si>
  <si>
    <t>https://www.accuweather.com/vi/vn/thon-lac-nghiep/355458</t>
  </si>
  <si>
    <t>https://www.accuweather.com/vi/vn/thon-son-hai/355459</t>
  </si>
  <si>
    <t>https://www.accuweather.com/vi/vn/thon-song-pha/355460</t>
  </si>
  <si>
    <t>https://www.accuweather.com/vi/vn/thon-thai-an/355461</t>
  </si>
  <si>
    <t>https://www.accuweather.com/vi/vn/bo-tuc/356174</t>
  </si>
  <si>
    <t>https://www.accuweather.com/vi/vn/go-dau-ha/356175</t>
  </si>
  <si>
    <t>https://www.accuweather.com/vi/vn/loc-ninh/356173</t>
  </si>
  <si>
    <t>https://www.accuweather.com/vi/vn/tay-ninh/356171</t>
  </si>
  <si>
    <t>https://www.accuweather.com/vi/vn/trang-bang/356172</t>
  </si>
  <si>
    <t>https://www.accuweather.com/vi/vn/ap-tham-thien/353027</t>
  </si>
  <si>
    <t>https://www.accuweather.com/vi/vn/bien-hoa/353021</t>
  </si>
  <si>
    <t>https://www.accuweather.com/vi/vn/cam-my/353024</t>
  </si>
  <si>
    <t>https://www.accuweather.com/vi/vn/cam-my/353025</t>
  </si>
  <si>
    <t>https://www.accuweather.com/vi/vn/dong-sai/353026</t>
  </si>
  <si>
    <t>https://www.accuweather.com/vi/vn/phu-giao/353028</t>
  </si>
  <si>
    <t>https://www.accuweather.com/vi/vn/xa-gia-kiem/353030</t>
  </si>
  <si>
    <t>https://www.accuweather.com/vi/vn/xa-phuong-lam/353031</t>
  </si>
  <si>
    <t>https://www.accuweather.com/vi/vn/xa-vo-dat/353022</t>
  </si>
  <si>
    <t>https://www.accuweather.com/vi/vn/xuan-loc/353023</t>
  </si>
  <si>
    <t>https://www.accuweather.com/vi/vn/ap-long-hoa/352263</t>
  </si>
  <si>
    <t>https://www.accuweather.com/vi/vn/ap-rung-la/352269</t>
  </si>
  <si>
    <t>https://www.accuweather.com/vi/vn/ap-tam-tan/352267</t>
  </si>
  <si>
    <t>https://www.accuweather.com/vi/vn/ap-thien-ai/352271</t>
  </si>
  <si>
    <t>https://www.accuweather.com/vi/vn/bao-loc/352265</t>
  </si>
  <si>
    <t>https://www.accuweather.com/vi/vn/da-hoa/352272</t>
  </si>
  <si>
    <t>https://www.accuweather.com/vi/vn/dinh-dien-dak-menou/352273</t>
  </si>
  <si>
    <t>https://www.accuweather.com/vi/vn/hai-long/352274</t>
  </si>
  <si>
    <t>https://www.accuweather.com/vi/vn/ham-tan/352266</t>
  </si>
  <si>
    <t>https://www.accuweather.com/vi/vn/ham-thuan-bac/352275</t>
  </si>
  <si>
    <t>https://www.accuweather.com/vi/vn/hoa-da/352268</t>
  </si>
  <si>
    <t>https://www.accuweather.com/vi/vn/ke-ga/352276</t>
  </si>
  <si>
    <t>https://www.accuweather.com/vi/vn/lagi/352277</t>
  </si>
  <si>
    <t>https://www.accuweather.com/vi/vn/phan-ly/352270</t>
  </si>
  <si>
    <t>https://www.accuweather.com/vi/vn/phan-thiet/352262</t>
  </si>
  <si>
    <t>https://www.accuweather.com/vi/vn/pho-tri/352279</t>
  </si>
  <si>
    <t>https://www.accuweather.com/vi/vn/tuy-phong/352280</t>
  </si>
  <si>
    <t>https://www.accuweather.com/vi/vn/xa-hieu-tin/352281</t>
  </si>
  <si>
    <t>https://www.accuweather.com/vi/vn/xa-muong-man/352282</t>
  </si>
  <si>
    <t>https://www.accuweather.com/vi/vn/xa-phu-sung/352283</t>
  </si>
  <si>
    <t>https://www.accuweather.com/vi/vn/xa-song-luy/352264</t>
  </si>
  <si>
    <t>https://www.accuweather.com/vi/vn/ap-bac/354475</t>
  </si>
  <si>
    <t>https://www.accuweather.com/vi/vn/ap-binh-chau/354473</t>
  </si>
  <si>
    <t>https://www.accuweather.com/vi/vn/ap-ca-hoan/354476</t>
  </si>
  <si>
    <t>https://www.accuweather.com/vi/vn/ap-moi/354477</t>
  </si>
  <si>
    <t>https://www.accuweather.com/vi/vn/binh-phuoc/354474</t>
  </si>
  <si>
    <t>https://www.accuweather.com/vi/vn/can-duoc/354478</t>
  </si>
  <si>
    <t>https://www.accuweather.com/vi/vn/hau-nghia/354471</t>
  </si>
  <si>
    <t>https://www.accuweather.com/vi/vn/tan-an/354470</t>
  </si>
  <si>
    <t>https://www.accuweather.com/vi/vn/thu-thua/354472</t>
  </si>
  <si>
    <t>https://www.accuweather.com/vi/vn/ap-binh-chau/352096</t>
  </si>
  <si>
    <t>https://www.accuweather.com/vi/vn/ba-ria/352095</t>
  </si>
  <si>
    <t>https://www.accuweather.com/vi/vn/chau-thanh/352091</t>
  </si>
  <si>
    <t>https://www.accuweather.com/vi/vn/cho-phuoc-hai/352090</t>
  </si>
  <si>
    <t>https://www.accuweather.com/vi/vn/co-ong/428244</t>
  </si>
  <si>
    <t>https://www.accuweather.com/vi/vn/dat-do/352092</t>
  </si>
  <si>
    <t>https://www.accuweather.com/vi/vn/grande-village-de-poulo-condore/427812</t>
  </si>
  <si>
    <t>https://www.accuweather.com/vi/vn/long-le/352094</t>
  </si>
  <si>
    <t>https://www.accuweather.com/vi/vn/vung-tau/352089</t>
  </si>
  <si>
    <t>https://www.accuweather.com/vi/vn/xa-binh-gia/352097</t>
  </si>
  <si>
    <t>https://www.accuweather.com/vi/vn/chau-doc/351821</t>
  </si>
  <si>
    <t>https://www.accuweather.com/vi/vn/cho-moi/351822</t>
  </si>
  <si>
    <t>https://www.accuweather.com/vi/vn/long-xuyen/351820</t>
  </si>
  <si>
    <t>https://www.accuweather.com/vi/vn/phu-chau/351824</t>
  </si>
  <si>
    <t>https://www.accuweather.com/vi/vn/tinh-bien/351825</t>
  </si>
  <si>
    <t>https://www.accuweather.com/vi/vn/tri-ton/351826</t>
  </si>
  <si>
    <t>https://www.accuweather.com/vi/vn/xom-khanh-hoa/351827</t>
  </si>
  <si>
    <t>https://www.accuweather.com/vi/vn/cao-lanh/353033</t>
  </si>
  <si>
    <t>https://www.accuweather.com/vi/vn/sa-dec/353032</t>
  </si>
  <si>
    <t>https://www.accuweather.com/vi/vn/ben-tranh/356216</t>
  </si>
  <si>
    <t>https://www.accuweather.com/vi/vn/cai-be/356214</t>
  </si>
  <si>
    <t>https://www.accuweather.com/vi/vn/cai-lay/356215</t>
  </si>
  <si>
    <t>https://www.accuweather.com/vi/vn/go-cong/356213</t>
  </si>
  <si>
    <t>https://www.accuweather.com/vi/vn/my-tho/356212</t>
  </si>
  <si>
    <t>https://www.accuweather.com/vi/vn/xom-cua-tieu/356218</t>
  </si>
  <si>
    <t>https://www.accuweather.com/vi/vn/xom-vam-lang/356217</t>
  </si>
  <si>
    <t>https://www.accuweather.com/vi/vn/an-bien/354239</t>
  </si>
  <si>
    <t>https://www.accuweather.com/vi/vn/ap-luc/354234</t>
  </si>
  <si>
    <t>https://www.accuweather.com/vi/vn/chau-thanh/354235</t>
  </si>
  <si>
    <t>https://www.accuweather.com/vi/vn/ha-tien/354236</t>
  </si>
  <si>
    <t>https://www.accuweather.com/vi/vn/phu-quoc/354237</t>
  </si>
  <si>
    <t>https://www.accuweather.com/vi/vn/rach-gia/4493</t>
  </si>
  <si>
    <t>https://www.accuweather.com/vi/vn/xom-ba-trai/354238</t>
  </si>
  <si>
    <t>https://www.accuweather.com/vi/vn/ap-an-dien/356355</t>
  </si>
  <si>
    <t>https://www.accuweather.com/vi/vn/tra-on/6803</t>
  </si>
  <si>
    <t>https://www.accuweather.com/vi/vn/vinh-long/356354</t>
  </si>
  <si>
    <t>https://www.accuweather.com/vi/vn/ap-an-thuan/352227</t>
  </si>
  <si>
    <t>https://www.accuweather.com/vi/vn/ben-tre/352226</t>
  </si>
  <si>
    <t>https://www.accuweather.com/vi/vn/lomg-ho/352231</t>
  </si>
  <si>
    <t>https://www.accuweather.com/vi/vn/thanh-phong/352228</t>
  </si>
  <si>
    <t>https://www.accuweather.com/vi/vn/thanh-phu/352229</t>
  </si>
  <si>
    <t>https://www.accuweather.com/vi/vn/thoi-thuan/352230</t>
  </si>
  <si>
    <t>https://www.accuweather.com/vi/vn/ap-ca-coi/356250</t>
  </si>
  <si>
    <t>https://www.accuweather.com/vi/vn/ap-tram/356251</t>
  </si>
  <si>
    <t>https://www.accuweather.com/vi/vn/ba-dong/356252</t>
  </si>
  <si>
    <t>https://www.accuweather.com/vi/vn/mac-bat/356253</t>
  </si>
  <si>
    <t>https://www.accuweather.com/vi/vn/tieu-can/356249</t>
  </si>
  <si>
    <t>https://www.accuweather.com/vi/vn/tra-vinh/356248</t>
  </si>
  <si>
    <t>https://www.accuweather.com/vi/vn/ap-dau-giong/355940</t>
  </si>
  <si>
    <t>https://www.accuweather.com/vi/vn/dai-ngai/355943</t>
  </si>
  <si>
    <t>https://www.accuweather.com/vi/vn/giong-me/355941</t>
  </si>
  <si>
    <t>https://www.accuweather.com/vi/vn/long-phu/355944</t>
  </si>
  <si>
    <t>https://www.accuweather.com/vi/vn/soc-trang/355938</t>
  </si>
  <si>
    <t>https://www.accuweather.com/vi/vn/vinh-quoi/355942</t>
  </si>
  <si>
    <t>https://www.accuweather.com/vi/vn/bac-can/352107</t>
  </si>
  <si>
    <t>https://www.accuweather.com/vi/vn/ban-duong/352109</t>
  </si>
  <si>
    <t>https://www.accuweather.com/vi/vn/ban-kao/356322</t>
  </si>
  <si>
    <t>https://www.accuweather.com/vi/vn/cho-moi/352108</t>
  </si>
  <si>
    <t>https://www.accuweather.com/vi/vn/con-houa/352110</t>
  </si>
  <si>
    <t>https://www.accuweather.com/vi/vn/na-bioc/352111</t>
  </si>
  <si>
    <t>https://www.accuweather.com/vi/vn/tie-co/352112</t>
  </si>
  <si>
    <t>https://www.accuweather.com/vi/vn/bac-giang/352098</t>
  </si>
  <si>
    <t>https://www.accuweather.com/vi/vn/bien-dong/352099</t>
  </si>
  <si>
    <t>https://www.accuweather.com/vi/vn/duc-thang/352100</t>
  </si>
  <si>
    <t>https://www.accuweather.com/vi/vn/lang-cha/352101</t>
  </si>
  <si>
    <t>https://www.accuweather.com/vi/vn/lang-duong/352102</t>
  </si>
  <si>
    <t>https://www.accuweather.com/vi/vn/luc-nam/352103</t>
  </si>
  <si>
    <t>https://www.accuweather.com/vi/vn/nam-dien/352104</t>
  </si>
  <si>
    <t>https://www.accuweather.com/vi/vn/tan-an-thon/352106</t>
  </si>
  <si>
    <t>https://www.accuweather.com/vi/vn/ap-vinh-an/352115</t>
  </si>
  <si>
    <t>https://www.accuweather.com/vi/vn/ap-vinh-an/352116</t>
  </si>
  <si>
    <t>https://www.accuweather.com/vi/vn/bac-lieu/352113</t>
  </si>
  <si>
    <t>https://www.accuweather.com/vi/vn/gia-rai/352114</t>
  </si>
  <si>
    <t>https://www.accuweather.com/vi/vn/xom-vam-cai-cung/352117</t>
  </si>
  <si>
    <t>https://www.accuweather.com/vi/vn/bac-ninh/352118</t>
  </si>
  <si>
    <t>https://www.accuweather.com/vi/vn/dong-chue/352119</t>
  </si>
  <si>
    <t>https://www.accuweather.com/vi/vn/ngoc-tri/352120</t>
  </si>
  <si>
    <t>https://www.accuweather.com/vi/vn/ap-bau-bang/352249</t>
  </si>
  <si>
    <t>https://www.accuweather.com/vi/vn/dau-tieng/352248</t>
  </si>
  <si>
    <t>https://www.accuweather.com/vi/vn/di-an/352247</t>
  </si>
  <si>
    <t>https://www.accuweather.com/vi/vn/tan-uyen/352250</t>
  </si>
  <si>
    <t>https://www.accuweather.com/vi/vn/thu-dau-mot/352246</t>
  </si>
  <si>
    <t>https://www.accuweather.com/vi/vn/xom-ben-oan/352251</t>
  </si>
  <si>
    <t>https://www.accuweather.com/vi/vn/xom-trum-thap/352252</t>
  </si>
  <si>
    <t>https://www.accuweather.com/vi/vn/ap-loc-thanh/352256</t>
  </si>
  <si>
    <t>https://www.accuweather.com/vi/vn/ba-ra/352255</t>
  </si>
  <si>
    <t>https://www.accuweather.com/vi/vn/cu-xa-cong-chuc/427639</t>
  </si>
  <si>
    <t>https://www.accuweather.com/vi/vn/dang-boa/352257</t>
  </si>
  <si>
    <t>https://www.accuweather.com/vi/vn/dia-diem-bunard/352258</t>
  </si>
  <si>
    <t>https://www.accuweather.com/vi/vn/dong-phu/352261</t>
  </si>
  <si>
    <t>https://www.accuweather.com/vi/vn/dong-xoai/426222</t>
  </si>
  <si>
    <t>https://www.accuweather.com/vi/vn/hon-quan/352253</t>
  </si>
  <si>
    <t>https://www.accuweather.com/vi/vn/phuoc-binh/352259</t>
  </si>
  <si>
    <t>https://www.accuweather.com/vi/vn/phuoc-hoa/352260</t>
  </si>
  <si>
    <t>https://www.accuweather.com/vi/vn/ap-nha-may/352501</t>
  </si>
  <si>
    <t>https://www.accuweather.com/vi/vn/ca-mau/352499</t>
  </si>
  <si>
    <t>https://www.accuweather.com/vi/vn/cai-nuoc/352502</t>
  </si>
  <si>
    <t>https://www.accuweather.com/vi/vn/duong-keo/352503</t>
  </si>
  <si>
    <t>https://www.accuweather.com/vi/vn/ngoc-hien/352507</t>
  </si>
  <si>
    <t>https://www.accuweather.com/vi/vn/rach-tau/352500</t>
  </si>
  <si>
    <t>https://www.accuweather.com/vi/vn/tan-an/352504</t>
  </si>
  <si>
    <t>https://www.accuweather.com/vi/vn/thoi-binh/352505</t>
  </si>
  <si>
    <t>https://www.accuweather.com/vi/vn/chi-ngai/353503</t>
  </si>
  <si>
    <t>https://www.accuweather.com/vi/vn/hai-duong/353501</t>
  </si>
  <si>
    <t>https://www.accuweather.com/vi/vn/ninh-giang/353502</t>
  </si>
  <si>
    <t>https://www.accuweather.com/vi/vn/pha-lai/353504</t>
  </si>
  <si>
    <t>https://www.accuweather.com/vi/vn/phu-ly/353404</t>
  </si>
  <si>
    <t>https://www.accuweather.com/vi/vn/tao-thon/353405</t>
  </si>
  <si>
    <t>https://www.accuweather.com/vi/vn/ban-yen-nhan/353996</t>
  </si>
  <si>
    <t>https://www.accuweather.com/vi/vn/cao-quan/353997</t>
  </si>
  <si>
    <t>https://www.accuweather.com/vi/vn/dong-ly/353993</t>
  </si>
  <si>
    <t>https://www.accuweather.com/vi/vn/dong-tao-dong/353994</t>
  </si>
  <si>
    <t>https://www.accuweather.com/vi/vn/hoa-binh/353995</t>
  </si>
  <si>
    <t>https://www.accuweather.com/vi/vn/hung-yen/353992</t>
  </si>
  <si>
    <t>https://www.accuweather.com/vi/vn/thuy-linh/414306</t>
  </si>
  <si>
    <t>https://www.accuweather.com/vi/vn/coc-thanh/355086</t>
  </si>
  <si>
    <t>https://www.accuweather.com/vi/vn/long-chau/355087</t>
  </si>
  <si>
    <t>https://www.accuweather.com/vi/vn/nam-dinh/355085</t>
  </si>
  <si>
    <t>https://www.accuweather.com/vi/vn/nam-ha/355092</t>
  </si>
  <si>
    <t>https://www.accuweather.com/vi/vn/ninh-cuong/355088</t>
  </si>
  <si>
    <t>https://www.accuweather.com/vi/vn/phu-nhi/355089</t>
  </si>
  <si>
    <t>https://www.accuweather.com/vi/vn/quan-phuong-ha/355090</t>
  </si>
  <si>
    <t>https://www.accuweather.com/vi/vn/quan-phuong-trung-trai/355091</t>
  </si>
  <si>
    <t>https://www.accuweather.com/vi/vn/thuan-nghiep/355093</t>
  </si>
  <si>
    <t>https://www.accuweather.com/vi/vn/van-lam-trai/355094</t>
  </si>
  <si>
    <t>https://www.accuweather.com/vi/vn/huu-do/355593</t>
  </si>
  <si>
    <t>https://www.accuweather.com/vi/vn/phu-tho/355588</t>
  </si>
  <si>
    <t>https://www.accuweather.com/vi/vn/sang-huan/355589</t>
  </si>
  <si>
    <t>https://www.accuweather.com/vi/vn/tho-khoi/355590</t>
  </si>
  <si>
    <t>https://www.accuweather.com/vi/vn/vien-minh/355591</t>
  </si>
  <si>
    <t>https://www.accuweather.com/vi/vn/viet-tri/356356</t>
  </si>
  <si>
    <t>https://www.accuweather.com/vi/vn/xom-con/355592</t>
  </si>
  <si>
    <t>https://www.accuweather.com/vi/vn/xom-tang/355594</t>
  </si>
  <si>
    <t>https://www.accuweather.com/vi/vn/binh-long/356183</t>
  </si>
  <si>
    <t>https://www.accuweather.com/vi/vn/thai-nguyen/356182</t>
  </si>
  <si>
    <t>https://www.accuweather.com/vi/vn/vinh-yen/356357</t>
  </si>
  <si>
    <t>https://www.accuweather.com/vi/vn/ban-cong-deng/353006</t>
  </si>
  <si>
    <t>https://www.accuweather.com/vi/vn/ban-na-pheo/353007</t>
  </si>
  <si>
    <t>https://www.accuweather.com/vi/vn/ban-nam-nen/353008</t>
  </si>
  <si>
    <t>https://www.accuweather.com/vi/vn/ban-pa-huone/353003</t>
  </si>
  <si>
    <t>https://www.accuweather.com/vi/vn/ban-po-bai/353009</t>
  </si>
  <si>
    <t>https://www.accuweather.com/vi/vn/ban-veng/353010</t>
  </si>
  <si>
    <t>https://www.accuweather.com/vi/vn/deo-tay-chang/353011</t>
  </si>
  <si>
    <t>https://www.accuweather.com/vi/vn/dien-bien/353001</t>
  </si>
  <si>
    <t>https://www.accuweather.com/vi/vn/dien-bien-phu/353002</t>
  </si>
  <si>
    <t>https://www.accuweather.com/vi/vn/giang-mung-pho/353004</t>
  </si>
  <si>
    <t>https://www.accuweather.com/vi/vn/luan-chau/353013</t>
  </si>
  <si>
    <t>https://www.accuweather.com/vi/vn/muong-tong/353014</t>
  </si>
  <si>
    <t>https://www.accuweather.com/vi/vn/muong-tong/353005</t>
  </si>
  <si>
    <t>https://www.accuweather.com/vi/vn/tua-chua/353015</t>
  </si>
  <si>
    <t>https://www.accuweather.com/vi/vn/ap-bich-son/352969</t>
  </si>
  <si>
    <t>https://www.accuweather.com/vi/vn/duc-lao/352970</t>
  </si>
  <si>
    <t>https://www.accuweather.com/vi/vn/duc-minh/352971</t>
  </si>
  <si>
    <t>https://www.accuweather.com/vi/vn/gia-nghia/352968</t>
  </si>
  <si>
    <t>https://www.accuweather.com/vi/vn/ap-phu-nhon/353560</t>
  </si>
  <si>
    <t>https://www.accuweather.com/vi/vn/long-my/353561</t>
  </si>
  <si>
    <t>https://www.accuweather.com/vi/vn/rach-goi/353562</t>
  </si>
  <si>
    <t>https://www.accuweather.com/vi/vn/vi-thanh/353559</t>
  </si>
  <si>
    <t>https://www.accuweather.com/vi/vn/can-tho/352508</t>
  </si>
  <si>
    <t>https://www.accuweather.com/vi/vn/o-mon/352509</t>
  </si>
  <si>
    <t>https://www.accuweather.com/vi/vn/thot-not/352510</t>
  </si>
  <si>
    <t>https://www.accuweather.com/vi/vn/ap-huong-phuoc/352952</t>
  </si>
  <si>
    <t>https://www.accuweather.com/vi/vn/da-nang/352954</t>
  </si>
  <si>
    <t>https://www.accuweather.com/vi/vn/mui-da-nang/352953</t>
  </si>
  <si>
    <t>https://www.accuweather.com/vi/vn/bach-mai/353408</t>
  </si>
  <si>
    <t>https://www.accuweather.com/vi/vn/bat-trang/429880</t>
  </si>
  <si>
    <t>https://www.accuweather.com/vi/vn/cu-dong/427684</t>
  </si>
  <si>
    <t>https://www.accuweather.com/vi/vn/dong-cao/353410</t>
  </si>
  <si>
    <t>https://www.accuweather.com/vi/vn/dong-nhan/353406</t>
  </si>
  <si>
    <t>https://www.accuweather.com/vi/vn/dong-sang/353414</t>
  </si>
  <si>
    <t>https://www.accuweather.com/vi/vn/gia-lam-pho/425925</t>
  </si>
  <si>
    <t>https://www.accuweather.com/vi/vn/ha-dong/425639</t>
  </si>
  <si>
    <t>https://www.accuweather.com/vi/vn/hanoi/353412</t>
  </si>
  <si>
    <t>https://www.accuweather.com/vi/vn/noi-xa/353417</t>
  </si>
  <si>
    <t>https://www.accuweather.com/vi/vn/phuc-yen/353411</t>
  </si>
  <si>
    <t>https://www.accuweather.com/vi/vn/phuong-tri/353415</t>
  </si>
  <si>
    <t>https://www.accuweather.com/vi/vn/son-tay/353413</t>
  </si>
  <si>
    <t>https://www.accuweather.com/vi/vn/van-ho/353407</t>
  </si>
  <si>
    <t>https://www.accuweather.com/vi/vn/van-la/353416</t>
  </si>
  <si>
    <t>https://www.accuweather.com/vi/vn/vinh-phuc/353409</t>
  </si>
  <si>
    <t>https://www.accuweather.com/vi/vn/cuu-doi/353510</t>
  </si>
  <si>
    <t>https://www.accuweather.com/vi/vn/do-son/353509</t>
  </si>
  <si>
    <t>https://www.accuweather.com/vi/vn/ha-ly/353505</t>
  </si>
  <si>
    <t>https://www.accuweather.com/vi/vn/haiphong/353511</t>
  </si>
  <si>
    <t>https://www.accuweather.com/vi/vn/kien-an/353507</t>
  </si>
  <si>
    <t>https://www.accuweather.com/vi/vn/thuy-u/353508</t>
  </si>
  <si>
    <t>https://www.accuweather.com/vi/vn/ben-co/353980</t>
  </si>
  <si>
    <t>https://www.accuweather.com/vi/vn/can-giuoc/353979</t>
  </si>
  <si>
    <t>https://www.accuweather.com/vi/vn/cho-lon/353971</t>
  </si>
  <si>
    <t>https://www.accuweather.com/vi/vn/cu-chi/353977</t>
  </si>
  <si>
    <t>https://www.accuweather.com/vi/vn/da-kao/353972</t>
  </si>
  <si>
    <t>https://www.accuweather.com/vi/vn/gia-dinh/353973</t>
  </si>
  <si>
    <t>https://www.accuweather.com/vi/vn/khanh-hoi/353974</t>
  </si>
  <si>
    <t>https://www.accuweather.com/vi/vn/nha-be/353978</t>
  </si>
  <si>
    <t>https://www.accuweather.com/vi/vn/ho-chi-minh-city/353981</t>
  </si>
  <si>
    <t>Phát rừng loại I bằng thủ công, mật độ cây tiêu chuẩn trên 100m2: ≤2 cây</t>
  </si>
  <si>
    <t>100m²</t>
  </si>
  <si>
    <t>cây</t>
  </si>
  <si>
    <t>gốc</t>
  </si>
  <si>
    <t>m³</t>
  </si>
  <si>
    <t>M0514; M0462; M0485</t>
  </si>
  <si>
    <t>100m³</t>
  </si>
  <si>
    <t>M0003; M0055</t>
  </si>
  <si>
    <t>M0070; M0055</t>
  </si>
  <si>
    <t>M0319; M0269; M0244; M9999</t>
  </si>
  <si>
    <t>M0313; M0355; M0214; M9999</t>
  </si>
  <si>
    <t>M0313; M0355</t>
  </si>
  <si>
    <t>M0485; M0269; M0244; M9999</t>
  </si>
  <si>
    <t>M0266; M9999</t>
  </si>
  <si>
    <t>M0266; M0269; M0242; M9999</t>
  </si>
  <si>
    <t>M0226; M0279; M0485; M0290; M0288; M9999</t>
  </si>
  <si>
    <t>100m</t>
  </si>
  <si>
    <t>M0204; M9999</t>
  </si>
  <si>
    <t>cái</t>
  </si>
  <si>
    <t>M0485; M0204; M9999</t>
  </si>
  <si>
    <t>M0485; M9999</t>
  </si>
  <si>
    <t>M0557a; M9999</t>
  </si>
  <si>
    <t>M0557a; M0466; M0485</t>
  </si>
  <si>
    <t>10m³</t>
  </si>
  <si>
    <t>M0467; M0225; M0402; M0394; M9999</t>
  </si>
  <si>
    <t>M0514; M0465</t>
  </si>
  <si>
    <t>M0009; M0055</t>
  </si>
  <si>
    <t>M0657a; M0055; M0640; M0618</t>
  </si>
  <si>
    <t>M0088; M0055</t>
  </si>
  <si>
    <t>M0088; M0055; M9999</t>
  </si>
  <si>
    <t>M0059; M0150; M0095; M0104; M0215; M0009</t>
  </si>
  <si>
    <t>M0657; M0641; M0248; M0617; M0641; M0442; M0276; M9999</t>
  </si>
  <si>
    <t>M0653; M0641; M0604; M0617; M0279; M0442; M9999</t>
  </si>
  <si>
    <t>M0661; M0641; M0641; M0641; M0617; M9999</t>
  </si>
  <si>
    <t>M0029; M0603</t>
  </si>
  <si>
    <t>M0606; M0641</t>
  </si>
  <si>
    <t>M0570; M9999</t>
  </si>
  <si>
    <t>M0571; M9999</t>
  </si>
  <si>
    <t>M0573; M9999</t>
  </si>
  <si>
    <t>M0574; M9999</t>
  </si>
  <si>
    <t>M0581; M0226; M0640; M0604; M9999</t>
  </si>
  <si>
    <t>M0582; M0226; M0640; M0604; M9999</t>
  </si>
  <si>
    <t>M0583; M0226; M0640; M0604; M9999</t>
  </si>
  <si>
    <t>M0574; M0226; M9999</t>
  </si>
  <si>
    <t>M0226; M9999</t>
  </si>
  <si>
    <t>N1377</t>
  </si>
  <si>
    <t>M0587; M0224; M9999</t>
  </si>
  <si>
    <t>M0588; M0224; M9999</t>
  </si>
  <si>
    <t>M0590; M0226; M9999</t>
  </si>
  <si>
    <t>M0589; M9999</t>
  </si>
  <si>
    <t>mối nối</t>
  </si>
  <si>
    <t>M0485; M0226</t>
  </si>
  <si>
    <t>M0592; M0230; M9999</t>
  </si>
  <si>
    <t>M0593; M0227; M9999</t>
  </si>
  <si>
    <t>M0559a; M9999</t>
  </si>
  <si>
    <t>m sâu</t>
  </si>
  <si>
    <t>M0229; M0040; M9999</t>
  </si>
  <si>
    <t>M0328; M0055; M0098; M0091; M0076; M9999</t>
  </si>
  <si>
    <t>N1277</t>
  </si>
  <si>
    <t>M0098; M0147</t>
  </si>
  <si>
    <t>M0099; M0147; M9999</t>
  </si>
  <si>
    <t>M0376; M0099; M0089; M9999</t>
  </si>
  <si>
    <t>M0098; M0373; M0381</t>
  </si>
  <si>
    <t>M0076; M0057; M9999</t>
  </si>
  <si>
    <t>100tấn</t>
  </si>
  <si>
    <t>M0367; M0035; M0055; M9999</t>
  </si>
  <si>
    <t>100 tấn</t>
  </si>
  <si>
    <t>N1337</t>
  </si>
  <si>
    <t>M0502; M0530; M0110</t>
  </si>
  <si>
    <t>viên</t>
  </si>
  <si>
    <t>M0106; M0380a</t>
  </si>
  <si>
    <t>M0485; M0500; M0515; M0224; M9999</t>
  </si>
  <si>
    <t>N1507</t>
  </si>
  <si>
    <t>M0224; M0355</t>
  </si>
  <si>
    <t>M0224; M0355; M9999</t>
  </si>
  <si>
    <t>m²</t>
  </si>
  <si>
    <t>M0509; M0319; M0279; M9999</t>
  </si>
  <si>
    <t>M0509; M0319; M9999</t>
  </si>
  <si>
    <t>M0313; M0350</t>
  </si>
  <si>
    <t>M0313; M0355; M9999</t>
  </si>
  <si>
    <t>M0225; M0355; M9999</t>
  </si>
  <si>
    <t>M0224; M0355; M0603; M0640; M9999</t>
  </si>
  <si>
    <t>M0229; M9999</t>
  </si>
  <si>
    <t>M0355; M0224; M9999</t>
  </si>
  <si>
    <t>M0245; M0355; M0395; M0268; M9999</t>
  </si>
  <si>
    <t>M0319; M0104; M0226; M9999</t>
  </si>
  <si>
    <t>M0340; M0355; M9999</t>
  </si>
  <si>
    <t>M0226; M0340; M0355; M9999</t>
  </si>
  <si>
    <t>M0340; M0355; M0603; M0640; M9999</t>
  </si>
  <si>
    <t>M0226; M0340; M9999</t>
  </si>
  <si>
    <t>M0342; M0355; M0309; M0057; M0485; M9999</t>
  </si>
  <si>
    <t>M0342; M0603; M9999</t>
  </si>
  <si>
    <t>M0225; M0355</t>
  </si>
  <si>
    <t>M0355; M0225</t>
  </si>
  <si>
    <t>M0325; M0036; M0055; M9999</t>
  </si>
  <si>
    <t>M0522; M0245; M0268; M9999</t>
  </si>
  <si>
    <t>M0522; M0225</t>
  </si>
  <si>
    <t>M0226; M0279; M0300; M0298; M0395; M0465; M0289; M0290; M0280; M9999</t>
  </si>
  <si>
    <t>M0485; M0522; M0226</t>
  </si>
  <si>
    <t>M0485; M0502; M9999</t>
  </si>
  <si>
    <t>M0225; M0485; M0503; M0500; M9999</t>
  </si>
  <si>
    <t>M0313; M0337; M9999</t>
  </si>
  <si>
    <t>M0485; M0522; M9999</t>
  </si>
  <si>
    <t>M0205; M0485</t>
  </si>
  <si>
    <t>M0253; M0465; M0279; M0225; M9999</t>
  </si>
  <si>
    <t>M0250; M0279; M9999</t>
  </si>
  <si>
    <t>dầm</t>
  </si>
  <si>
    <t>M0485; M0500; M0205; M9999</t>
  </si>
  <si>
    <t>M0485; M0531; M0499; M9999</t>
  </si>
  <si>
    <t>N1437</t>
  </si>
  <si>
    <t>M0500; M0460; M0205; M9999</t>
  </si>
  <si>
    <t>M0500; M0460; M0485; M0205; M9999</t>
  </si>
  <si>
    <t>M0524; M0526; M0528; M0485; M0531; M0519; M0500; M0214; M9999</t>
  </si>
  <si>
    <t>M0518; M0520; M0531; M0485; M9999</t>
  </si>
  <si>
    <t>M0531; M0500; M9999</t>
  </si>
  <si>
    <t>M0214; M0485; M0500; M0462; M9999</t>
  </si>
  <si>
    <t>M0225; M0226; M0279; M0253b; M9999</t>
  </si>
  <si>
    <t>M0516; M9999</t>
  </si>
  <si>
    <t>M0485; M0281; M0279; M0531; M0243; M9999</t>
  </si>
  <si>
    <t>M0485; M0245; M9999</t>
  </si>
  <si>
    <t>M0319; M9999</t>
  </si>
  <si>
    <t>M0509; M9999</t>
  </si>
  <si>
    <t>M0379; M0380; M0106; M9999</t>
  </si>
  <si>
    <t>ống</t>
  </si>
  <si>
    <t>M0059; M0094; M9999</t>
  </si>
  <si>
    <t>M0214; M0465; M0498; M9999</t>
  </si>
  <si>
    <t>M0031; M0635</t>
  </si>
  <si>
    <t>M0226; M0606; M0603; M0640; M9999</t>
  </si>
  <si>
    <t>rọ</t>
  </si>
  <si>
    <t>M0147; M9999</t>
  </si>
  <si>
    <t>10m</t>
  </si>
  <si>
    <t>M0439; M0507a; M0522; M0485</t>
  </si>
  <si>
    <t>M0464; M0382; M9999</t>
  </si>
  <si>
    <t>M0522; M0512; M0465; M9999</t>
  </si>
  <si>
    <t>M0540; M0467; M0411; M9999</t>
  </si>
  <si>
    <t>M0514; M0466</t>
  </si>
  <si>
    <t>cọc</t>
  </si>
  <si>
    <t>M0549; M0466; M9999</t>
  </si>
  <si>
    <t>M0242; M9999</t>
  </si>
  <si>
    <t>1000viên</t>
  </si>
  <si>
    <t>10m²</t>
  </si>
  <si>
    <t>máy</t>
  </si>
  <si>
    <t>bộ</t>
  </si>
  <si>
    <t>M0504a; M0529; M9999</t>
  </si>
  <si>
    <t>M0557; M0485; M0599; M0388; M9999</t>
  </si>
  <si>
    <t>M0558; M0599; M0388; M9999</t>
  </si>
  <si>
    <t>cặp bích</t>
  </si>
  <si>
    <t>10mối</t>
  </si>
  <si>
    <t>bể</t>
  </si>
  <si>
    <t>lần</t>
  </si>
  <si>
    <t>M0557; M9999</t>
  </si>
  <si>
    <t>M0559; M0599; M0388; M9999</t>
  </si>
  <si>
    <t>100 ha</t>
  </si>
  <si>
    <t>M0687; M0690; M0692; M0693; M9999</t>
  </si>
  <si>
    <t>M0670; M9999</t>
  </si>
  <si>
    <t>M0409ks</t>
  </si>
  <si>
    <t>điểm</t>
  </si>
  <si>
    <t>N2457</t>
  </si>
  <si>
    <t>M0698; M0687; M0688; M0689; M9999</t>
  </si>
  <si>
    <t>M0698; M0688; M0689; M9999</t>
  </si>
  <si>
    <t>M0687; M0689; M9999</t>
  </si>
  <si>
    <t>km</t>
  </si>
  <si>
    <t>ha</t>
  </si>
  <si>
    <t>M0687; M0692; M0693; M0690; M9999</t>
  </si>
  <si>
    <t>100ha</t>
  </si>
  <si>
    <t>M0692; M0693; M9999; M0687; M0690</t>
  </si>
  <si>
    <t>N28408</t>
  </si>
  <si>
    <t>M0794; M0796; M0795; M9999</t>
  </si>
  <si>
    <t>M0693; M0690; M0698; M9999</t>
  </si>
  <si>
    <t>chu kỳ</t>
  </si>
  <si>
    <t>M0690; M0687; M0691; M9999</t>
  </si>
  <si>
    <t>mẫu</t>
  </si>
  <si>
    <t>M0725; M0754; M0717; M0718; M0714; M0719; M0723; M0383; M0767; M0766</t>
  </si>
  <si>
    <t>M0725; M0754; M0717; M0718; M0714</t>
  </si>
  <si>
    <t>M0724; M0723; M0383; M0725; M0730; M0740; M0714; M0753; M0718; M0717</t>
  </si>
  <si>
    <t>M0739; M0738; M0736; M0765; M0714; M0718; M0724; M0721; M0725; M0383</t>
  </si>
  <si>
    <t>M0714; M0715; M0723; M0724; M0718</t>
  </si>
  <si>
    <t>M0731; M0730; M0740; M0753; M0726; M0730a; M0734; M0752; M0721; M0383; M0714; M0718; M0723; M0724</t>
  </si>
  <si>
    <t>M0739; M0699; M0723</t>
  </si>
  <si>
    <t>M0718; M0713; M0723; M9999</t>
  </si>
  <si>
    <t>M0729; M0721; M0742; M0714; M0718; M0723; M0724; M0725; M0383</t>
  </si>
  <si>
    <t>M0679; M9999</t>
  </si>
  <si>
    <t>M0670; M0680</t>
  </si>
  <si>
    <t>lần hút</t>
  </si>
  <si>
    <t>M0682; M0669</t>
  </si>
  <si>
    <t>đoạn ép</t>
  </si>
  <si>
    <t>M0670; M0412</t>
  </si>
  <si>
    <t>lần đổ</t>
  </si>
  <si>
    <t>lần múc</t>
  </si>
  <si>
    <t>bệ TN</t>
  </si>
  <si>
    <t>M0477; M0409ks; M9999</t>
  </si>
  <si>
    <t>điểm TN</t>
  </si>
  <si>
    <t>M0112ks; M0432; M0741</t>
  </si>
  <si>
    <t>M0714; M0718</t>
  </si>
  <si>
    <t>M0286ks; M0718; M0112ks</t>
  </si>
  <si>
    <t>lần TN</t>
  </si>
  <si>
    <t>M0287ks; M0205ks; M0392ks; M9999</t>
  </si>
  <si>
    <t>tấn/lần TN</t>
  </si>
  <si>
    <t>N28508; N2407</t>
  </si>
  <si>
    <t>M0289ks; M0690; M0206ks; M9999</t>
  </si>
  <si>
    <t>cọc/lần TN</t>
  </si>
  <si>
    <t>M0707; M9999</t>
  </si>
  <si>
    <t>mặt cắt siêu âm/lần TN</t>
  </si>
  <si>
    <t>M0709; M9999</t>
  </si>
  <si>
    <t>M0286ks; M0702; M0112ks; M9999</t>
  </si>
  <si>
    <t>quan sát</t>
  </si>
  <si>
    <t>M0710; M9999</t>
  </si>
  <si>
    <t>M0685; M9999</t>
  </si>
  <si>
    <t>km²</t>
  </si>
  <si>
    <t>N28458</t>
  </si>
  <si>
    <t>M0698; M0701; M0699</t>
  </si>
  <si>
    <t>M0698; M0701</t>
  </si>
  <si>
    <t>+ Công nhân lái máy, vận hành sửa chữa công trình:         người</t>
  </si>
  <si>
    <r>
      <t>-</t>
    </r>
    <r>
      <rPr>
        <sz val="7"/>
        <rFont val="Times New Roman"/>
        <family val="1"/>
      </rPr>
      <t xml:space="preserve">       </t>
    </r>
    <r>
      <rPr>
        <sz val="13"/>
        <rFont val="Times New Roman"/>
        <family val="1"/>
      </rPr>
      <t>Hồ sơ trúng thầu và Quyết định phê duyệt kết quả lựa chọn nhà thầu;</t>
    </r>
  </si>
  <si>
    <t>3. Nhà thầu có kế hoạch nhập đủ số lượng cần dùng đúng theo mẫu đã chọn. Trong trường hợp khơng đủ số lượng phải báo ngay cho Chủ đầu tư để có quyết định lại .</t>
  </si>
  <si>
    <t>1. Vật liệu / Thành phẩm :</t>
  </si>
  <si>
    <t>- Công tác quản lý chất lượng thi công trên công trình</t>
  </si>
  <si>
    <t xml:space="preserve">Hệ thống tiêu chuẩn, qui phạm kỹ thuật chuyên môn có liên quan  </t>
  </si>
  <si>
    <t>Đủ</t>
  </si>
  <si>
    <t xml:space="preserve">Hệ thống đảm bảo chất lượng thi công xây dựng trên công trường </t>
  </si>
  <si>
    <t>Có</t>
  </si>
  <si>
    <t>Mục tiêu và chính sách chất lượng</t>
  </si>
  <si>
    <t>Chế độ qui định trách nhiệm về chất lượng thi công,</t>
  </si>
  <si>
    <t xml:space="preserve">Năng lực của cán bộ quản lý </t>
  </si>
  <si>
    <t>Phù hợp</t>
  </si>
  <si>
    <t xml:space="preserve">Năng lực của cán bộ kỹ thuật thi công </t>
  </si>
  <si>
    <t xml:space="preserve">Chứng chỉ tay nghề của các loại thợ chính </t>
  </si>
  <si>
    <t>Năng lực của thầu phụ và chế độ quản lý đối với thầu phụ</t>
  </si>
  <si>
    <t>Tính pháp lý của bản vẽ thi công</t>
  </si>
  <si>
    <t xml:space="preserve">Bảng tổng tiến độ thi công </t>
  </si>
  <si>
    <t xml:space="preserve">Biện pháp thi công </t>
  </si>
  <si>
    <t xml:space="preserve">Chế độ kiểm nghiệm chất lượng thi công </t>
  </si>
  <si>
    <t xml:space="preserve">Phòng thí nghiệm hiện trường </t>
  </si>
  <si>
    <t>Chuẩn</t>
  </si>
  <si>
    <t xml:space="preserve">Năng lực trang thiết bị phục vụ thi công </t>
  </si>
  <si>
    <t>Điều kiện kho bãi cất giữ và quản lý vật liệu, thiết bị ở hiện trường</t>
  </si>
  <si>
    <t>Đạt Y/C</t>
  </si>
  <si>
    <t>Chế độ lập và lưu trữ hồ sơ quản lý chất lượng xây dựng công trình</t>
  </si>
  <si>
    <t xml:space="preserve">CỘNG HÒA XÃ HỘI CHỦ NGHĨA VIỆT NAM </t>
  </si>
  <si>
    <t>Độc lập   -   Tự do    -   Hạnh phúc</t>
  </si>
  <si>
    <t>BIÊN BẢN HIỆN TRƯỜNG</t>
  </si>
  <si>
    <t>I. Thành phần</t>
  </si>
  <si>
    <t xml:space="preserve"> - Ông:   …………………</t>
  </si>
  <si>
    <t xml:space="preserve">Chức vụ: Giám đốc/Phó giám đốc  </t>
  </si>
  <si>
    <r>
      <t xml:space="preserve">Chức vụ: Phòng QLTC </t>
    </r>
    <r>
      <rPr>
        <i/>
        <sz val="13"/>
        <color rgb="FF000000"/>
        <rFont val="Times New Roman"/>
        <family val="1"/>
      </rPr>
      <t>(nếu có)</t>
    </r>
  </si>
  <si>
    <t>2. Ban QLDA…</t>
  </si>
  <si>
    <t>- Ông:   …………………</t>
  </si>
  <si>
    <t>Chức vụ: Trưởng/P.Ban QLDA</t>
  </si>
  <si>
    <t>- Ông:    …………………</t>
  </si>
  <si>
    <t>Chức vụ: Kỹ thuật giám sát</t>
  </si>
  <si>
    <r>
      <t>- Ô</t>
    </r>
    <r>
      <rPr>
        <b/>
        <sz val="13"/>
        <color rgb="FF000000"/>
        <rFont val="Times New Roman"/>
        <family val="1"/>
      </rPr>
      <t>n</t>
    </r>
    <r>
      <rPr>
        <sz val="13"/>
        <color rgb="FF000000"/>
        <rFont val="Times New Roman"/>
        <family val="1"/>
      </rPr>
      <t>g: …………………</t>
    </r>
  </si>
  <si>
    <t>Chức vụ: …………………</t>
  </si>
  <si>
    <t>6. Đại diện đơn vị được mời : (nếu có)</t>
  </si>
  <si>
    <t>II. Nội dung</t>
  </si>
  <si>
    <t>1. Nội dung và lý do điều chỉnh bổ sung:</t>
  </si>
  <si>
    <r>
      <t xml:space="preserve">Nêu nội dung, lý do cần phải điều chỉnh, bổ sung </t>
    </r>
    <r>
      <rPr>
        <i/>
        <sz val="13"/>
        <color theme="1"/>
        <rFont val="Times New Roman"/>
        <family val="1"/>
      </rPr>
      <t>(mô tả hiện tượng, nguyên nhân và lý do cần điều chỉnh bổ sung)</t>
    </r>
  </si>
  <si>
    <r>
      <t xml:space="preserve">- </t>
    </r>
    <r>
      <rPr>
        <sz val="13"/>
        <color theme="1"/>
        <rFont val="Times New Roman"/>
        <family val="1"/>
      </rPr>
      <t>Nếu đã thống nhất được nội dung và lý do cần phải điều chỉnh, bổ sung thì ghi nội dung thống nhất và yêu cầu từng đơn vị liên quan phối hợp, cung cấp hồ sơ, tài liệu bổ sung (nếu có) ghi thời gian yêu cầu hoàn thành;</t>
    </r>
  </si>
  <si>
    <t>- Nếu chưa thống nhất được với nhau thì ghi rõ ý kiến riêng của từng đơn vị tham gia.</t>
  </si>
  <si>
    <t xml:space="preserve">2. Đề xuất biện pháp xử lý </t>
  </si>
  <si>
    <t>- Nếu các bên thống nhất được biện pháp xử lý tại hiện trường thì nên nêu biện pháp chính để thực hiện (cho phép tiếp tục thi công hay dừng lại để xử lý, yêu cầu thời gian hoàn thành, quy định về nghiệm thu)</t>
  </si>
  <si>
    <t>- Nếu chưa thống nhất được biện pháp xử lý tại hiện trường cần phải có thời gian để nghiên cứu, rà soát thì cũng nêu yêu cầu từng đơn vị liên quan phối hợp, cung cấp hồ sơ, tài liệu bổ sung (nếu có) ghi thời gian yêu cầu hoàn thành;</t>
  </si>
  <si>
    <t xml:space="preserve">3. Kiến nghị: </t>
  </si>
  <si>
    <t xml:space="preserve">- Biên bản được lập thành … bản, Ban 04 giữ 05 bản (để gửi 04 bản cho Phòng QLTC, Ban QLDA giữa 01 bản), còn mỗi bên giữ một bản để làm cơ sở thực hiện các bước tiếp theo. </t>
  </si>
  <si>
    <r>
      <t xml:space="preserve">- Kèm theo bên bản có các tài liệu </t>
    </r>
    <r>
      <rPr>
        <i/>
        <sz val="13"/>
        <color theme="1"/>
        <rFont val="Times New Roman"/>
        <family val="1"/>
      </rPr>
      <t>(thống kê đầy đủ các văn bản, hồ sơ kèm theo)</t>
    </r>
  </si>
  <si>
    <t>CÁC BÊN THAM GIA KÝ TÊN</t>
  </si>
  <si>
    <t xml:space="preserve">Ghi chú: </t>
  </si>
  <si>
    <r>
      <t>Đơn vị được mời là đơn vị</t>
    </r>
    <r>
      <rPr>
        <sz val="13"/>
        <color theme="1"/>
        <rFont val="Times New Roman"/>
        <family val="1"/>
      </rPr>
      <t xml:space="preserve"> </t>
    </r>
    <r>
      <rPr>
        <i/>
        <sz val="13"/>
        <color rgb="FF000000"/>
        <rFont val="Times New Roman"/>
        <family val="1"/>
      </rPr>
      <t>là hội đồng đền bù nếu là</t>
    </r>
    <r>
      <rPr>
        <sz val="13"/>
        <color theme="1"/>
        <rFont val="Times New Roman"/>
        <family val="1"/>
      </rPr>
      <t xml:space="preserve"> </t>
    </r>
    <r>
      <rPr>
        <i/>
        <sz val="13"/>
        <color rgb="FF000000"/>
        <rFont val="Times New Roman"/>
        <family val="1"/>
      </rPr>
      <t>điều chỉnh bổ sung liên quan đến đền bù, hoặc chính quyền địa phương (nếu bổ sung phục vụ phát triển kinh tế xã hội), hoặc đơn vị thủy nông (nếu liên quan đến tưới, an toàn công trình).</t>
    </r>
  </si>
  <si>
    <t xml:space="preserve">* Các văn bản liên quan kèm theo BB hiện trường gồm có: </t>
  </si>
  <si>
    <t>1- Văn bản đề nghị của nhà thầu (nếu có);  Văn bản của hội đồng đền bù, của đơn vị thủy nông hoặc văn bản khác của địa phương (nếu có); Thông báo cuộc họp hoặc biên bản cuộc họp nếu là ý kiến chỉ đạo của lãnh đạo Bộ, Cục.</t>
  </si>
  <si>
    <t>2- Nhật ký của đơn vị thi công, nếu phát sinh được tiến hành thi công trước và các thủ tục tiến hành đồng thời.</t>
  </si>
  <si>
    <t xml:space="preserve">3- Tài liệu đo vẽ chi tiết tại hiện trường đối với trường hợp phát sinh do thay đổi địa hình, địa chất, mô tả địa chất, so sánh với hồ sơ thiết kế. </t>
  </si>
  <si>
    <t>4- Đối với những phần che khuất phải có ảnh chụp và Bản vẽ hoàn công.</t>
  </si>
  <si>
    <t>5- Các biên bản phải ký tươi, các văn bản kẹp theo phải là bản có dấu đỏ hoặc phô tô công chứng (không chấp nhận chữ ký phô tô đối với các biên bản hiện trường hoặc văn bản không đuợc đóng dấu pháp nhân và không có sao y hoặc công chứng).</t>
  </si>
  <si>
    <t xml:space="preserve">* Gửi biên bản hiện trường và tài liệu về chủ đầu tư: </t>
  </si>
  <si>
    <t>1- Biên bản hiện trường và hồ sơ liên quan Ban QLDA gửi cho Phòng thi công (4 bản) để xử lý các bước tiếp theo.</t>
  </si>
  <si>
    <t>2- Thời gian gửi biên bản: Sau 3 ngày kể từ ngày ký biên bản.</t>
  </si>
  <si>
    <t xml:space="preserve"> - Ông:</t>
  </si>
  <si>
    <t xml:space="preserve">- Ông: </t>
  </si>
  <si>
    <r>
      <t xml:space="preserve">----------- </t>
    </r>
    <r>
      <rPr>
        <sz val="13"/>
        <color theme="1"/>
        <rFont val="Wingdings"/>
        <charset val="2"/>
      </rPr>
      <t>²</t>
    </r>
    <r>
      <rPr>
        <sz val="13"/>
        <color theme="1"/>
        <rFont val="Times New Roman"/>
        <family val="2"/>
        <charset val="163"/>
      </rPr>
      <t xml:space="preserve"> -----------</t>
    </r>
  </si>
  <si>
    <t>…………., ngày ………  tháng  ……. năm 20……</t>
  </si>
  <si>
    <t>BIÊN BẢN</t>
  </si>
  <si>
    <t xml:space="preserve">CÔNG TRÌNH/CÔNG TRÌNH ĐỂ ĐƯA VÀO SỬ DỤNG </t>
  </si>
  <si>
    <t>I. Thành phần tham gia:</t>
  </si>
  <si>
    <t>II. Thời gian, địa điểm tiến hành nghiệm thu đưa vào sử dụng</t>
  </si>
  <si>
    <t>III. Các bên lập biên bản nghiệm thu hoàn thành hạng mục công trình/công trình để đưa vào sử dụng với các nội dung sau</t>
  </si>
  <si>
    <t>(giới thiệu  về nhiệm vụ, cấp công trình, thông số cơ bản)</t>
  </si>
  <si>
    <t xml:space="preserve">III. Thông số kỹ thuật của hạng mục công trình trình/ công trình được nghiệm thu </t>
  </si>
  <si>
    <t>Thông số theo thiết kế</t>
  </si>
  <si>
    <t>Thông số thực tế nghiệm thu</t>
  </si>
  <si>
    <t>IV. Công tác xây lắp hạng mục công trình/công trình:</t>
  </si>
  <si>
    <t xml:space="preserve">V. Đánh giá chất lượng của hạng mục công trình/công trình: </t>
  </si>
  <si>
    <t>1. Các hồ sơ tài liệu làm căn cứ đánh giá:</t>
  </si>
  <si>
    <r>
      <t xml:space="preserve">+ Hồ sơ thiết kế BVTC  số hiệu: …. do </t>
    </r>
    <r>
      <rPr>
        <i/>
        <sz val="12"/>
        <color theme="1"/>
        <rFont val="Times New Roman"/>
        <family val="1"/>
      </rPr>
      <t>(ghi tên đơn vị lập)</t>
    </r>
    <r>
      <rPr>
        <sz val="12"/>
        <color theme="1"/>
        <rFont val="Times New Roman"/>
        <family val="1"/>
      </rPr>
      <t xml:space="preserve"> đã được Chủ đầu tư phê duyệt ngày … tháng … năm 20...;</t>
    </r>
  </si>
  <si>
    <t>+ Các tiêu chuẩn kỹ thuật, quy chuẩn xây dựng hiện hành;</t>
  </si>
  <si>
    <t>+ Hồ sơ hoàn công các hạng mục công trình do nhà thầu thi công lập;</t>
  </si>
  <si>
    <t>+ Hồ sơ pháp lý và các tài liệu về quản lý chất lượng công trình;</t>
  </si>
  <si>
    <t xml:space="preserve">+ Biên bản nghiệm thu bộ phận công trình XD, giai đoạn thi công XD; </t>
  </si>
  <si>
    <r>
      <t xml:space="preserve">+ Kết quả kiểm tra công tác nghiệm thu đưa công trình vào sử dụng của cơ quan chuyên môn (Cục QLXDCT) theo Nghị định 15/2013/NĐ-CP và TT số 10/2013/TT-BXD ngày 25/7/2013 hoặc </t>
    </r>
    <r>
      <rPr>
        <sz val="13"/>
        <color rgb="FF0000FF"/>
        <rFont val="Times New Roman"/>
        <family val="1"/>
      </rPr>
      <t>Nghị định số 46/2015/NĐ-CP ngày 12/5/2015 và thông tư số 26/2016/TT-BXD ngày 26/10/2016</t>
    </r>
    <r>
      <rPr>
        <sz val="12"/>
        <color rgb="FF000000"/>
        <rFont val="Times New Roman"/>
        <family val="1"/>
      </rPr>
      <t xml:space="preserve">. </t>
    </r>
    <r>
      <rPr>
        <i/>
        <sz val="12"/>
        <color rgb="FF000000"/>
        <rFont val="Times New Roman"/>
        <family val="1"/>
      </rPr>
      <t>(trường hợp gói thầu hoàn thành nghiệm thu để tạm bàn giao chưa báo cáo đơn vị chuyên môn kiểm tra thì phải có báo cáo kiểm tra đánh giá chất lượng của tư vấn độc lập, của Chủ đầu tư và báo cáo thẩm định hồ sơ hoàn công);</t>
    </r>
  </si>
  <si>
    <t>+ Báo cáo của Ban QLDA/TVGS về chất lượng xây dựng công trình;</t>
  </si>
  <si>
    <t>+ Báo cáo của Tư vấn thiết kế về chất lượng xây dựng công trình (đối với những hạng mục quan trọng theo yêu cầu của Chủ đầu tư);</t>
  </si>
  <si>
    <t>+ Báo cáo của Nhà thầu về chất lượng xây dựng công trình;</t>
  </si>
  <si>
    <t>+ Các tài liệu kiểm tra đánh giá chất lượng khác.</t>
  </si>
  <si>
    <t xml:space="preserve">2. Công tác thí nghiệm: </t>
  </si>
  <si>
    <t>Công tác tập kết vật liệu, thực hiện công tác lấy mẫu thí nghiệm vật liệu như cát, đá, xi măng, sắt thép..vv kiểm tra chất lượng vật liệu, đồng thời thí nghiệm để xác định cấp phối cho từng loại bê tông. Các thí nghiệm hiện trường kiểm tra dung trọng đất đắp, cấp phối vật liệu làm lọc, vật liệu xây đúc được các đơn vị có đủ Tư cách pháp nhân thực hiện, có sự kiểm tra, giám sát chặt chẽ của Chủ đầu tư đảm bảo đúng trình tự thủ tục xây dựng cơ bản, đảm bảo yêu cầu thiết kế và các quy định của nhà nước. ………………….</t>
  </si>
  <si>
    <t>3. Đánh giá chất lượng, kỹ mỹ thuật công trình:</t>
  </si>
  <si>
    <t>Hạng mục đã xây dựng xong, về chất lượng, kỹ mỹ thuật phù hợp với thiết kế đã được phê duyệt, với các tiêu chuẩn quy phạm xây dựng, quy trình kỹ thuật và đảm bảo đủ điều kiện nghiệm thu để đưa vào vận hành sử dụng. ……………………….</t>
  </si>
  <si>
    <t>4. Những sửa đổi so với thiết kế được duyệt ban đầu:</t>
  </si>
  <si>
    <t>(nêu những điều chỉnh bổ sung thiết kế trong quá trình thực hiện)</t>
  </si>
  <si>
    <r>
      <t>5. Các ý kiến khác</t>
    </r>
    <r>
      <rPr>
        <sz val="12"/>
        <color theme="1"/>
        <rFont val="Times New Roman"/>
        <family val="1"/>
      </rPr>
      <t>:</t>
    </r>
    <r>
      <rPr>
        <i/>
        <sz val="12"/>
        <color theme="1"/>
        <rFont val="Times New Roman"/>
        <family val="1"/>
      </rPr>
      <t xml:space="preserve"> </t>
    </r>
  </si>
  <si>
    <t xml:space="preserve">VI- Kết luận: </t>
  </si>
  <si>
    <t>- Chấp nhận nghiệm thu hoàn thành hạng mục công trình xây dựng để đưa vào sử dụng, phục vụ sản xuất;</t>
  </si>
  <si>
    <t>- Những tồn tại yêu cầu sửa chữa, hoàn thiện (nêu các tồn tại và thời gian khắc phục sửa chữa và thời gian hoàn thành, có thể lập thành phụ lục để thuận tiện cho việc ghi chép tại hiện trường). Có thể ủy quyền cho Ban QLDA, TVTK, TVGS (nếu có), Đơn vị sử dụng, Nhà thầu nghiệm thu phần khắc phục sữa chữa;</t>
  </si>
  <si>
    <t>Biên bản được lập thành 8 bản, Chủ đầu tư giữ 04 bản, còn lại mỗi bên giữ 01 bản để làm cơ sở triển khai các bước tiếp theo.</t>
  </si>
  <si>
    <t>CÁC BÊN THAM GIA NGHIỆM THU KÝ TÊN</t>
  </si>
  <si>
    <t xml:space="preserve">Giám đốc (hoặc phó giám đốc)           </t>
  </si>
  <si>
    <r>
      <t>(Ký ghi rõ họ tên và đóng dấu)</t>
    </r>
    <r>
      <rPr>
        <b/>
        <sz val="12"/>
        <color theme="1"/>
        <rFont val="Times New Roman"/>
        <family val="1"/>
      </rPr>
      <t xml:space="preserve"> </t>
    </r>
  </si>
  <si>
    <t>Đơn vị quản lý sử dụng (nếu có)</t>
  </si>
  <si>
    <t>Người đại diện theo pháp luật (hoặc UQ)</t>
  </si>
  <si>
    <t>(Ký ghi rõ họ tên và đóng dấu)</t>
  </si>
  <si>
    <t>Đơn vị TVGS (nếu có)</t>
  </si>
  <si>
    <t>Ông: ..........................................</t>
  </si>
  <si>
    <t>Chức vụ: Trưởng/Phó phòng QLTC</t>
  </si>
  <si>
    <t>Chức vụ: Phó giám đốc</t>
  </si>
  <si>
    <t>Chức vụ: Cán bộ Phòng QLTC</t>
  </si>
  <si>
    <t>Chức vụ: Trưởng/Phó Ban QLDA</t>
  </si>
  <si>
    <t>Chức vụ: Cán bộ GS</t>
  </si>
  <si>
    <t>Chức vụ: Trưởng ban TVGS</t>
  </si>
  <si>
    <t>Chức vụ: Cán bộ giám sát</t>
  </si>
  <si>
    <t xml:space="preserve">Ông : …………………     </t>
  </si>
  <si>
    <t xml:space="preserve">Ông : …………………   </t>
  </si>
  <si>
    <t>Chức vụ : Người đại diện theo pháp luật (hoặc UQ)</t>
  </si>
  <si>
    <t>Chức vụ : Trạm trưởng trạm QLKTCT</t>
  </si>
  <si>
    <t xml:space="preserve">Chức vụ : Chủ nhiệm thiết kế </t>
  </si>
  <si>
    <t>Chức vụ : Trưởng ban CHCT</t>
  </si>
  <si>
    <t>BIÊN BẢN BÀN GIAO ĐƯA VÀO SỬ DỤNG</t>
  </si>
  <si>
    <t>24°_x000D_</t>
  </si>
  <si>
    <t>TCVN4055:2012; TCVN 5637 : 1991; TCVN 4447:2012; TCVN8305:2009</t>
  </si>
  <si>
    <t>TCVN4055:2012; TCVN 5637 : 1991; TCVN9115:2012</t>
  </si>
  <si>
    <t>TCVN4055:2012; TCVN 5637 : 1991; TCVN 9113:2012</t>
  </si>
  <si>
    <t>TCVN4055:2012; TCVN 5637 : 1991; TCVN9394:2012</t>
  </si>
  <si>
    <t>TCVN4055:2012; TCVN 5637 : 1991; TCVN9245:2012</t>
  </si>
  <si>
    <t>TCVN4055:2012; TCVN 5637 : 1991; TCVN9395:2012</t>
  </si>
  <si>
    <t>CP.010029; CP.010030</t>
  </si>
  <si>
    <t>TCVN4055:2012; TCVN 5637 : 1991; TCVN9504:2012</t>
  </si>
  <si>
    <t>22TCN 246-98</t>
  </si>
  <si>
    <t>Quy trình thi công và nghiệm thu lớp cát gia có xi măng trong kết cấu áo đường ôtô</t>
  </si>
  <si>
    <t>TCVN4055:2012; TCVN 5637 : 1991; 22TCN 246-98</t>
  </si>
  <si>
    <t>TCVN4055:2012; TCVN 5637 : 1991; TCVN8809:2011</t>
  </si>
  <si>
    <t>TCVN4055:2012; TCVN 5637 : 1991; TCVN4453:1995; TCVN9115:2012</t>
  </si>
  <si>
    <t>6. 1. 0. Bia NKTC</t>
  </si>
  <si>
    <t>7. 1. 0. Bia NKGS</t>
  </si>
  <si>
    <r>
      <t>1. Thời tiết</t>
    </r>
    <r>
      <rPr>
        <sz val="13"/>
        <color theme="1"/>
        <rFont val="Times New Roman"/>
        <family val="1"/>
      </rPr>
      <t>: Trời nắng</t>
    </r>
  </si>
  <si>
    <r>
      <t>1. Thời tiết</t>
    </r>
    <r>
      <rPr>
        <sz val="13"/>
        <rFont val="Times New Roman"/>
        <family val="1"/>
      </rPr>
      <t>: Trời nắng</t>
    </r>
  </si>
  <si>
    <t>Nơi nhận:</t>
  </si>
  <si>
    <t>BÁO CÁO HOÀN THÀNH THI CÔNG XÂY DỰNG HẠNG MỤC CÔNG TRÌNH, CÔNG TRÌNH XÂY DỰNG</t>
  </si>
  <si>
    <t>Đơn vị tính</t>
  </si>
  <si>
    <t xml:space="preserve">     - Như trên;</t>
  </si>
  <si>
    <t xml:space="preserve">     - Lưu C.ty</t>
  </si>
  <si>
    <t xml:space="preserve">     - Các công việc xây dựng thi công theo đúng hồ sơ thiết kế được phê duyệt, tuân thủ đúng các tiêu chuẩn và yêu cầu kỹ thuật của công trình. Đảm bảo chất lượng công trình.</t>
  </si>
  <si>
    <t xml:space="preserve">     - Chất lượng thi công đạt yêu cầu thiết kế</t>
  </si>
  <si>
    <r>
      <t xml:space="preserve">--------- </t>
    </r>
    <r>
      <rPr>
        <b/>
        <sz val="12"/>
        <color theme="1"/>
        <rFont val="Wingdings"/>
        <charset val="2"/>
      </rPr>
      <t xml:space="preserve">² </t>
    </r>
    <r>
      <rPr>
        <b/>
        <sz val="12"/>
        <color theme="1"/>
        <rFont val="Times New Roman"/>
        <family val="1"/>
      </rPr>
      <t>---------</t>
    </r>
  </si>
  <si>
    <t>Ngày báo cáo</t>
  </si>
  <si>
    <t>Ngày báo cáo:</t>
  </si>
  <si>
    <t>Ngày xử lý KT</t>
  </si>
  <si>
    <t>6. Đại diện đơn vị được mời :</t>
  </si>
  <si>
    <t>Độc lập-Tự do-Hạnh phúc</t>
  </si>
  <si>
    <t>      BÁO CÁO NHANH SỰ CỐ CÔNG TRÌNH XÂY DỰNG</t>
  </si>
  <si>
    <t>1.Tên công trình, vị trí xây dựng:</t>
  </si>
  <si>
    <t> 3.Mô tả nội dung sự cố:</t>
  </si>
  <si>
    <t>Mô tả sơ bộ về sự cố, tình trạng công trình xây dựng khi xảy ra sự cố, thời điểm xảy ra sự cố</t>
  </si>
  <si>
    <t>…………………………………………………………………………………………</t>
  </si>
  <si>
    <t>………………………………………………………………………………………… </t>
  </si>
  <si>
    <t>4.Thiệt hại sơ bộ về người và vật chất:</t>
  </si>
  <si>
    <t>a) Tình hình thiệt hại về người, về vật chất: ….………………………………………</t>
  </si>
  <si>
    <t> b) Về nguyên nhân sự cố: ………………………………………….…………………</t>
  </si>
  <si>
    <t>– Như trên;</t>
  </si>
  <si>
    <t>– Lưu</t>
  </si>
  <si>
    <t>(ký, ghi rõ họ tên, chức vụ và đóng dấu)</t>
  </si>
  <si>
    <r>
      <t>Kính gửi: </t>
    </r>
    <r>
      <rPr>
        <sz val="13"/>
        <color rgb="FF000000"/>
        <rFont val="Times New Roman"/>
        <family val="1"/>
      </rPr>
      <t>(tên cơ quan quản lý nhà nước theo quy định)</t>
    </r>
  </si>
  <si>
    <r>
      <t>5.Biện pháp khắc phục: </t>
    </r>
    <r>
      <rPr>
        <sz val="13"/>
        <color rgb="FF000000"/>
        <rFont val="Times New Roman"/>
        <family val="1"/>
      </rPr>
      <t>…….……………………………………………………….</t>
    </r>
  </si>
  <si>
    <r>
      <t>* </t>
    </r>
    <r>
      <rPr>
        <b/>
        <u/>
        <sz val="13"/>
        <color rgb="FF000000"/>
        <rFont val="Times New Roman"/>
        <family val="1"/>
      </rPr>
      <t>Ghi chú:</t>
    </r>
  </si>
  <si>
    <t>2. Các tổ chức cá nhân tham gia xây dựng:</t>
  </si>
  <si>
    <t>NGƯỜI BÁO CÁO</t>
  </si>
  <si>
    <r>
      <t xml:space="preserve">1.      </t>
    </r>
    <r>
      <rPr>
        <i/>
        <sz val="13"/>
        <color rgb="FF000000"/>
        <rFont val="Times New Roman"/>
        <family val="1"/>
      </rPr>
      <t>a) Chủ đầu tư lập báo cáo sự cố xảy ra tại công trình đang thi công xây dựng;</t>
    </r>
  </si>
  <si>
    <r>
      <t xml:space="preserve">2.      </t>
    </r>
    <r>
      <rPr>
        <i/>
        <sz val="13"/>
        <color rgb="FF000000"/>
        <rFont val="Times New Roman"/>
        <family val="1"/>
      </rPr>
      <t>b) Chủ sở hữu hoặc chủ quản lý sử dụng lập báo cáo xảy ra tại công trình đang sử dụng, vận hành, khai thác.</t>
    </r>
  </si>
  <si>
    <r>
      <t xml:space="preserve">---------- </t>
    </r>
    <r>
      <rPr>
        <b/>
        <sz val="13"/>
        <color rgb="FF000000"/>
        <rFont val="Wingdings"/>
        <charset val="2"/>
      </rPr>
      <t xml:space="preserve">² </t>
    </r>
    <r>
      <rPr>
        <b/>
        <sz val="13"/>
        <color rgb="FF000000"/>
        <rFont val="Times New Roman"/>
        <family val="1"/>
      </rPr>
      <t>----------</t>
    </r>
  </si>
  <si>
    <r>
      <t>CỘNG HÒA XÃ HỘI CHỦ NGHĨA VIỆT NAM</t>
    </r>
    <r>
      <rPr>
        <b/>
        <sz val="12"/>
        <color theme="1"/>
        <rFont val="Times New Roman"/>
        <family val="1"/>
      </rPr>
      <t xml:space="preserve"> </t>
    </r>
  </si>
  <si>
    <t>2. Ban quản lý Dự án ..................</t>
  </si>
  <si>
    <r>
      <t xml:space="preserve">5. Đơn vị quản lý sử dụng (nếu có):  </t>
    </r>
    <r>
      <rPr>
        <i/>
        <sz val="12"/>
        <color theme="1"/>
        <rFont val="Times New Roman"/>
        <family val="1"/>
      </rPr>
      <t>……………(Tên đơn vị QL SD</t>
    </r>
    <r>
      <rPr>
        <sz val="12"/>
        <color theme="1"/>
        <rFont val="Times New Roman"/>
        <family val="1"/>
      </rPr>
      <t>)……………….</t>
    </r>
  </si>
  <si>
    <r>
      <t>II. Giới thiệu hạng mục công trình/công trình</t>
    </r>
    <r>
      <rPr>
        <i/>
        <sz val="12"/>
        <color theme="1"/>
        <rFont val="Times New Roman"/>
        <family val="1"/>
      </rPr>
      <t xml:space="preserve">: </t>
    </r>
  </si>
  <si>
    <t>+ TCVN4055:2012  Tổ chức thi công
+ TCVN 5637 : 1991 Quản lý chất lượng xây lắp công trình xây dựng - Nguyên tắc cơ bản
+ TCVN 4447:2012 Công tác đất - Thi công và nghiệm thu</t>
  </si>
  <si>
    <t>+   Kết quả thí nghiệm cường độ nén bê tông</t>
  </si>
  <si>
    <t>+   Kết quả thí nghiệm xác định độ chặt  bằng phương pháp rót cát</t>
  </si>
  <si>
    <t>+ TCVN4055:2012  Tổ chức thi công
+ TCVN 5637 : 1991 Quản lý chất lượng xây lắp công trình xây dựng - Nguyên tắc cơ bản
+ TCVN4453:1995 Kết cấu bê tông và bê tông cốt thép toàn khối. Quy phạm thi công và nghiệm thu.</t>
  </si>
  <si>
    <t>LIST BIÊN BẢN CÔNG VIỆC XÂY DỰNG</t>
  </si>
  <si>
    <t>A</t>
  </si>
  <si>
    <t xml:space="preserve">- Biên bản nghiệm thu công việc xây dựng </t>
  </si>
  <si>
    <t>B</t>
  </si>
  <si>
    <t>01/PYCCV</t>
  </si>
  <si>
    <t>02/PYCCV</t>
  </si>
  <si>
    <t>07/PYCCV</t>
  </si>
  <si>
    <t>04/PYCCV</t>
  </si>
  <si>
    <t>12/PYCCV</t>
  </si>
  <si>
    <t>06/PYCCV</t>
  </si>
  <si>
    <t>13/PYCCV</t>
  </si>
  <si>
    <t>08/PYCCV</t>
  </si>
  <si>
    <t>17/PYCCV</t>
  </si>
  <si>
    <t>18/PYCCV</t>
  </si>
  <si>
    <t>05/PYCCV</t>
  </si>
  <si>
    <t>14/PYCCV</t>
  </si>
  <si>
    <t>09/PYCCV</t>
  </si>
  <si>
    <t>10/PYCCV</t>
  </si>
  <si>
    <t>15/PYCCV</t>
  </si>
  <si>
    <t>03/PYCCV</t>
  </si>
  <si>
    <t>11/PYCCV</t>
  </si>
  <si>
    <t>16/PYCCV</t>
  </si>
  <si>
    <t>01/PYCHT</t>
  </si>
  <si>
    <t xml:space="preserve">     - Căn cứ nghị định số: 46/2015/NĐ-CP ngày 12/05/2015 của Chính phủ về quản lý chất lượng và bảo trì công trình xây dựng;</t>
  </si>
  <si>
    <t xml:space="preserve">     - Căn cứ vào thông tư số: 26/2016/TT-BXD ngày 26/10/2016 của Chính phủ quy định chi tiết một số nội dung về quản lý chất lượng và bảo trì công trình xây dựng;</t>
  </si>
  <si>
    <t>M200</t>
  </si>
  <si>
    <t xml:space="preserve">    - Căn cứ vào thông tư số: 26/2016/TT-BXD ngày 26/10/2016 của Chính phủ quy định chi tiết một số nội dung về quản lý chất lượng và bảo trì công trình xây dựng;</t>
  </si>
  <si>
    <t>Búa căn khí nén (chưa tính khí nén), tiêu hao khí nén 3,0 m3/ph; Máy nén khí; Máy hàn</t>
  </si>
  <si>
    <t>Máy đào; Máy ủi</t>
  </si>
  <si>
    <t>Máy cạp tự hành, dung tích thùng 9,0m3; Máy ủi</t>
  </si>
  <si>
    <t>Máy trộn vữa; Máy vận thăng; Cần cẩu</t>
  </si>
  <si>
    <t>Máy trộn bê tông; Máy đầm bê tông; Cần cẩu</t>
  </si>
  <si>
    <t>Máy trộn bê tông; Máy đầm bê tông</t>
  </si>
  <si>
    <t>Máy hàn; Máy vận thăng; Cần cẩu</t>
  </si>
  <si>
    <t>Máy vận thăng; Cần cẩu</t>
  </si>
  <si>
    <t>Cần cẩu; Tời điện; Máy hàn; Kích nâng 500 T; Kích nâng 200 T</t>
  </si>
  <si>
    <t>Máy hàn; Cần cẩu</t>
  </si>
  <si>
    <t>Máy nén khí; Máy hàn</t>
  </si>
  <si>
    <t>Máy nén khí; Cần cẩu; Máy bơm nước, động cơ điện. công suất 75 kW; Máy bơm nước, động cơ điện. công suất 14 kW</t>
  </si>
  <si>
    <t>Búa căn khí nén (chưa tính khí nén), tiêu hao khí nén 3,0 m3/ph; Máy nén khí</t>
  </si>
  <si>
    <t>Máy ủi; Tàu kéo và phục vụ thi công thuỷ (làm neo, cấp dầu ), công suất 150 CV; Ca nô, công suất 30 CV</t>
  </si>
  <si>
    <t>Đầm bánh hơi; Máy ủi</t>
  </si>
  <si>
    <t>Máy ủi; Ô tô tưới nước; Đầm bánh hơi; Máy lu rung; Cần cẩu; Máy đào</t>
  </si>
  <si>
    <t>Tàu hút bùn, công suất  585 CV; Tàu kéo và phục vụ thi công thuỷ (làm neo, cấp dầu ), công suất 360CV; Cần cẩu nổi, kéo theo, sức nâng 30 T; Ca nô, công suất 23CV; Máy phát điện; Tời điện</t>
  </si>
  <si>
    <t>Tàu cuốc sông, công suất   495 CV; Tàu kéo và phục vụ thi công thuỷ (làm neo, cấp dầu ), công suất 360CV; Xà lan công trình, trọng tải 250 T; Ca nô, công suất 23CV; Tời điện; Máy phát điện</t>
  </si>
  <si>
    <t>Tàu hút bụng tự hành công suất 1390CV; Tàu kéo và phục vụ thi công thuỷ (làm neo, cấp dầu ), công suất 360CV; Ca nô, công suất 23CV</t>
  </si>
  <si>
    <t>Máy đào; Xà lan công trình, trọng tải 200 T</t>
  </si>
  <si>
    <t>Xà lan công trình, trọng tải 400 T; Tàu kéo và phục vụ thi công thuỷ (làm neo, cấp dầu ), công suất 360CV</t>
  </si>
  <si>
    <t>Búa đóng cọc nổi (cả xà lan và máy phụ trợ)- trọng lượng búa  &lt;=1,8 T; Cần cẩu; Tàu kéo và phục vụ thi công thuỷ (làm neo, cấp dầu ), công suất 150 CV; Xà lan công trình, trọng tải 250 T</t>
  </si>
  <si>
    <t>Búa đóng cọc nổi (cả xà lan và máy phụ trợ)- trọng lượng búa  &lt;=2,5 T; Cần cẩu; Tàu kéo và phục vụ thi công thuỷ (làm neo, cấp dầu ), công suất 150 CV; Xà lan công trình, trọng tải 250 T</t>
  </si>
  <si>
    <t>Búa đóng cọc nổi (cả xà lan và máy phụ trợ)- trọng lượng búa  &lt;=3,5 T; Cần cẩu; Tàu kéo và phục vụ thi công thuỷ (làm neo, cấp dầu ), công suất 150 CV; Xà lan công trình, trọng tải 250 T</t>
  </si>
  <si>
    <t>Búa diezel chạy trên ray -trọng lượng đầu búa 3,5 T; Cần cẩu</t>
  </si>
  <si>
    <t>Máy ép cọc trước, lực ép  150 T; Cần cẩu</t>
  </si>
  <si>
    <t>Máy ép cọc trước, lực ép  200 T; Cần cẩu</t>
  </si>
  <si>
    <t>Máy ép thuỷ lực (kgk, 130 c4), lực ép 130 t; Cần cẩu</t>
  </si>
  <si>
    <t>Búa khoan vrm 1500/800 HD; Cần cẩu</t>
  </si>
  <si>
    <t>Bộ thiết bị khoan nhồi TRC-15; Cần cẩu</t>
  </si>
  <si>
    <t>Cần cẩu; Máy xúc lật</t>
  </si>
  <si>
    <t>Trạm trộn bê tông, năng suất 25m3/h; Máy ủi; Đầm bánh thép; Đầm bánh hơi; Máy san tự hành</t>
  </si>
  <si>
    <t>Đầm bánh thép; Ô tô tưới nước</t>
  </si>
  <si>
    <t>Máy rải hỗn hợp bê tông nhựa , năng suất 130 cv đến 140 cv; Đầm bánh thép; Đầm bánh hơi</t>
  </si>
  <si>
    <t>Đầm bánh thép; Máy rải hỗn hợp bê tông nhựa , năng suất 20 t/h; Nồi nấu nhựa</t>
  </si>
  <si>
    <t>Máy san tự hành; Máy ủi</t>
  </si>
  <si>
    <t>Trạm trộn bê tông át phan, năng suất (chưa tính chi phí nhiên liệu) 25 t/h (140t/ca); Máy xúc lật; Máy ủi</t>
  </si>
  <si>
    <t>Máy cắt sắt cầm tay; Máy mài, công suất 1,0kW; Ô tô</t>
  </si>
  <si>
    <t>Máy hàn; Máy khoan đứng; Máy uốn ống, công suất  2,8 kW; Cần cẩu</t>
  </si>
  <si>
    <t>Cần cẩu; Máy đầm bê tông</t>
  </si>
  <si>
    <t>Máy cắt gạch đá, công suất 1,7 kW; Máy trộn vữa; Tời điện</t>
  </si>
  <si>
    <t>Máy cắt gạch đá, công suất 1,7 kW; Máy trộn vữa</t>
  </si>
  <si>
    <t>Cần cẩu; Máy đầm bê tông; Xà lan công trình, trọng tải 200 T; Tàu kéo và phục vụ thi công thuỷ (làm neo, cấp dầu ), công suất 150 CV</t>
  </si>
  <si>
    <t>Máy đầm bê tông; Cần cẩu</t>
  </si>
  <si>
    <t>Cần cẩu; Máy đầm bê tông; Máy bơm nước, động cơ điện. công suất 20 kW; Máy vận thăng</t>
  </si>
  <si>
    <t>Máy trộn vữa; Máy lu rung; Cần cẩu</t>
  </si>
  <si>
    <t>Xe bơm bê tông tự hành, năng suất 50m3/h; Máy đầm bê tông</t>
  </si>
  <si>
    <t>Cần cẩu; Xe bơm bê tông tự hành, năng suất 50m3/h; Máy đầm bê tông</t>
  </si>
  <si>
    <t>Xe bơm bê tông tự hành, năng suất 50m3/h; Máy đầm bê tông; Xà lan công trình, trọng tải 200 T; Tàu kéo và phục vụ thi công thuỷ (làm neo, cấp dầu ), công suất 150 CV</t>
  </si>
  <si>
    <t>Cần cẩu; Xe bơm bê tông tự hành, năng suất 50m3/h</t>
  </si>
  <si>
    <t>Máy bơm bê tông, năng suất 40-60 m3/h; Máy đầm bê tông; Máy nâng phục vụ thi công hầm, công suất  135 CV; Máy ủi; Máy hàn</t>
  </si>
  <si>
    <t>Máy bơm bê tông, năng suất 40-60 m3/h; Xà lan công trình, trọng tải 200 T</t>
  </si>
  <si>
    <t>Trạm trộn bê tông, năng suất 16m3/h; Máy xúc lật; Máy ủi</t>
  </si>
  <si>
    <t>Máy cắt uốn cốt thép; Cần cẩu; Máy vận thăng</t>
  </si>
  <si>
    <t>Máy cắt uốn cốt thép; Cần cẩu</t>
  </si>
  <si>
    <t>Cần cẩu; Tời điện; Máy cắt cáp, công suất 10,0 kW; Máy luồn cáp, công suất  15kW; Máy bơm nước, động cơ điện. công suất 20 kW; Máy nén khí; Kích nâng 250 T; Kích nâng 500 T; Pa lăng xích</t>
  </si>
  <si>
    <t>Máy hàn; Máy cắt uốn cốt thép; Cần cẩu</t>
  </si>
  <si>
    <t>Máy hàn; Máy cắt sắt cầm tay</t>
  </si>
  <si>
    <t>Cần cẩu; Máy hàn; Máy cắt sắt cầm tay; Máy khoan đứng</t>
  </si>
  <si>
    <t>Máy trộn bê tông; Máy bơm vữa, năng suất 6,0m3/h</t>
  </si>
  <si>
    <t>Máy hàn; Máy cắt uốn cốt thép</t>
  </si>
  <si>
    <t>Cần cẩu; Máy hàn</t>
  </si>
  <si>
    <t>Cổng trục, sức nâng 30 T; Máy nén khí; Tời điện; Cần cẩu</t>
  </si>
  <si>
    <t>Cẩu lao dầm, cẩu K33 -60; Tời điện</t>
  </si>
  <si>
    <t>Máy hàn; Máy khoan đứng; Cần cẩu</t>
  </si>
  <si>
    <t>Máy hàn; Máy mài, công suất 2,7 kW; Máy khoan đứng</t>
  </si>
  <si>
    <t>Máy khoan đứng; Máy nén khí; Cần cẩu</t>
  </si>
  <si>
    <t>Máy khoan đứng; Máy nén khí; Máy hàn; Cần cẩu</t>
  </si>
  <si>
    <t>Máy cưa kim loại, công suất 2,7 kW; Máy tiện, công suất 10,0 kW; Máy phay, công suất 7,0 kW; Máy hàn; Máy mài, công suất 2,7 kW; Máy cắt thép Plaxma; Máy khoan đứng; Cần cẩu</t>
  </si>
  <si>
    <t>Máy cắt tôn, công suất  15,0 kW; Máy lốc tôn, công suất 5,0 kW; Máy mài, công suất 2,7 kW; Máy hàn</t>
  </si>
  <si>
    <t>Máy mài, công suất 2,7 kW; Máy khoan đứng</t>
  </si>
  <si>
    <t>Cần cẩu; Máy hàn; Máy khoan đứng; Máy nén khí</t>
  </si>
  <si>
    <t>Cần cẩu; Tời điện</t>
  </si>
  <si>
    <t>Máy hàn; Pa lăng xích; Tời điện; Máy mài, công suất 2,7 kW; Cần cẩu</t>
  </si>
  <si>
    <t>Thiết bị kẻ sơn YHK 10A; Lò nấu sơn YHK 3A; Ô tô</t>
  </si>
  <si>
    <t>Máy ủi; Đầm bánh hơi</t>
  </si>
  <si>
    <t>Cần cẩu; Máy nén khí; Máy phun cát (chưa tính khí nén)</t>
  </si>
  <si>
    <t>Máy đào; Thiết bị lăn</t>
  </si>
  <si>
    <t>Cần cẩu; Xà lan công trình, trọng tải 400 T; Xà lan công trình, trọng tải 200 T; Tàu kéo và phục vụ thi công thuỷ (làm neo, cấp dầu ), công suất 150 CV</t>
  </si>
  <si>
    <t>Máy phát điện; Máy cắt uốn cốt thép; Máy hàn</t>
  </si>
  <si>
    <t>Máy nén khí; Thiết bị đun rót Mátic</t>
  </si>
  <si>
    <t>Máy cắt uốn cốt thép; Máy cắt bê tông, công suất 12 cv (MCD 218); Máy nén khí</t>
  </si>
  <si>
    <t>Máy khoan xoay đập tự hành, khí nén (chưa tính khí nén)-đường kính khoan d 105 -110mm; Máy nén khí; Máy bơm nước,động cơ điezen, công suất 20 CV</t>
  </si>
  <si>
    <t>Máy khoan đập xoay tự hành, động cơ lít diezel- đường kính khoan  d127 -  152 (335 CV); Máy nén khí</t>
  </si>
  <si>
    <t>Máy khoan giếng khai thác nước ngầm, khoan đập cáp, công suất  40 kW; Máy hàn; Máy trộn dung dịch khoan, dung tích  &lt;750 lít; Máy bơm nước, động cơ điện. công suất 2 kW</t>
  </si>
  <si>
    <t>Máy khoan giếng khai thác nước ngầm, khoan xoay, công suất  54 CV; Máy trộn dung dịch khoan, dung tích  &lt;750 lít; Máy bơm nước, động cơ điện. công suất 2 kW</t>
  </si>
  <si>
    <t>Máy khoan giếng khai thác nước ngầm, khoan xoay, công suất  300 CV; Máy trộn dung dịch khoan, dung tích  &lt;750 lít; Máy bơm nước, động cơ điện. công suất 2 kW</t>
  </si>
  <si>
    <t>Theo 020; Ni 030; Dalta 020; Bộ đomia bala</t>
  </si>
  <si>
    <t>Ống nhòm; Theo 020; Theo 010; Đitomát</t>
  </si>
  <si>
    <t>Ống nhòm; Theo 010; Đitomát</t>
  </si>
  <si>
    <t>Theo 020; Đitomát</t>
  </si>
  <si>
    <t>Theo 020; Dalta 020; Bộ đomia bala; Ni 030</t>
  </si>
  <si>
    <t>Dalta 020; Bộ đomia bala; Theo 020; Ni 030</t>
  </si>
  <si>
    <t>Máy scanner (khổ a0); Máy vi tính; Máy vẽ plotter</t>
  </si>
  <si>
    <t>Bộ đomia bala; Ni 030; Ống nhòm</t>
  </si>
  <si>
    <t>Ni 030; Theo 020; Ni 004</t>
  </si>
  <si>
    <t>Máy chưng cất nước; Máy đo ph; Lò nung; Tủ sấy; Cân phân tích; Tủ hút độc; Bếp điện (0,6 kW); Máy bơm b48 (0,46 kW); Máy so màu quang điện; Máy so màu ngọn lửa</t>
  </si>
  <si>
    <t>Máy chưng cất nước; Máy đo ph; Lò nung; Tủ sấy; Cân phân tích</t>
  </si>
  <si>
    <t>Bếp cát; Bếp điện (0,6 kW); Máy bơm b48 (0,46 kW); Máy chưng cất nước; Máy cắt đất; Máy nén một trục; Cân phân tích; Máy xác định hệ số thấm; Tủ sấy; Lò nung</t>
  </si>
  <si>
    <t>Máy mài thử độ mài mòn; Máy khoan mẫu đá; Máy ép mẫu đá, bê tông; Máy xác định mô đun; Cân phân tích; Tủ sấy; Bếp cát; Máy hút chân không; Máy chưng cất nước; Máy bơm b48 (0,46 kW)</t>
  </si>
  <si>
    <t>Cân phân tích; Cân bàn; Bếp điện (0,6 kW); Bếp cát; Tủ sấy</t>
  </si>
  <si>
    <t>Máy cắt mẫu lớn (30x30cm); Máy cắt đất; Máy nén một trục; Máy xác định hệ số thấm; Máy trộn đất; Máy ép litvinôp; Máy cagrang (làm thí nghiệm chảy); Máy hút chân không; Máy bơm b48 (0,46 kW); Cân phân tích; Tủ sấy; Bếp điện (0,6 kW); Bếp cát</t>
  </si>
  <si>
    <t>Máy mài thử độ mài mòn; Kính hiển vi; Bếp điện (0,6 kW)</t>
  </si>
  <si>
    <t>Tủ sấy; Cân điện tử; Bếp điện (0,6 kW)</t>
  </si>
  <si>
    <t>Máy đầm tiêu chuẩn (đầm rung); Máy hút chân không; Máy CBR; Cân phân tích; Tủ sấy; Bếp điện (0,6 kW); Bếp cát; Máy chưng cất nước; Máy bơm b48 (0,46 kW)</t>
  </si>
  <si>
    <t>Bộ máy khoan CBY -150- ZUB; Bộ dụng cụ thí nghiệm SPT</t>
  </si>
  <si>
    <t>Máy nén khí dk9; Bộ khoan tay</t>
  </si>
  <si>
    <t>Bộ máy khoan CBY -150- ZUB; Máy bơm 250/50, b100 (25 cv)</t>
  </si>
  <si>
    <t>Máy phát điện lưu động, công suất máy phát điện 2,5-3,0kW; Máy nén marshall</t>
  </si>
  <si>
    <t>Cân phân tích; Tủ sấy</t>
  </si>
  <si>
    <t>Ống nhòm; Máy ảnh; Kính hiển vi</t>
  </si>
  <si>
    <t>Ống nhòm; Máy ảnh</t>
  </si>
  <si>
    <t>BIÊN BẢN LẤY MẪU  HIỆN TRƯỜNG</t>
  </si>
  <si>
    <t>1.0.0. BBLM VL</t>
  </si>
  <si>
    <t>BIÊN BẢN LẤY MẪU VẬT LIỆU HIỆN TRƯỜNG</t>
  </si>
  <si>
    <t>Cát xây, tô</t>
  </si>
  <si>
    <t>Đá 2x4cm</t>
  </si>
  <si>
    <t>Đá 4x6cm</t>
  </si>
  <si>
    <t>Nước dùng cho BT</t>
  </si>
  <si>
    <t>Đất TNCL</t>
  </si>
  <si>
    <t>Đ/D ĐƠN VỊ TVGS</t>
  </si>
  <si>
    <t>Đ/D ĐƠN VỊ THI CÔNG</t>
  </si>
  <si>
    <t>Loại vật liệu</t>
  </si>
  <si>
    <t>Nguồn gốc</t>
  </si>
  <si>
    <t>Đất CPSĐ</t>
  </si>
  <si>
    <t>Cát đắp</t>
  </si>
  <si>
    <r>
      <t xml:space="preserve">------  </t>
    </r>
    <r>
      <rPr>
        <sz val="13"/>
        <color indexed="8"/>
        <rFont val="Wingdings"/>
        <charset val="2"/>
      </rPr>
      <t xml:space="preserve">µ </t>
    </r>
    <r>
      <rPr>
        <sz val="13"/>
        <color indexed="8"/>
        <rFont val="Times New Roman"/>
        <family val="1"/>
      </rPr>
      <t>-------</t>
    </r>
  </si>
  <si>
    <t>VL</t>
  </si>
  <si>
    <t>HT</t>
  </si>
  <si>
    <t>Lấy mẫu thí nghiệm vật liệu đầu vào</t>
  </si>
  <si>
    <t>Cấp phối đá dăm loại 1(Mỏ đá cô lô)</t>
  </si>
  <si>
    <t>Đ/D ĐƠN VỊ THÍ NGHIỆM</t>
  </si>
  <si>
    <t>Số lượng mẫu</t>
  </si>
  <si>
    <t>BT</t>
  </si>
  <si>
    <t>Lấy mẫu thí nghiệm  cường độ nén vữa ( Click vào cột L để bổ sung thêm thông tin bê tông)</t>
  </si>
  <si>
    <t>Mác thiết kế</t>
  </si>
  <si>
    <t>Cốt liệu thô</t>
  </si>
  <si>
    <t>R3</t>
  </si>
  <si>
    <t>R7</t>
  </si>
  <si>
    <t>R28</t>
  </si>
  <si>
    <t>Thời gian kết thúc lấy mẫu</t>
  </si>
  <si>
    <t>T.gian kết thúc LM</t>
  </si>
  <si>
    <t>Km0+600(Trái)/Km0+800(Phải)/Km0+900(Tim)</t>
  </si>
  <si>
    <t>Xi măng</t>
  </si>
  <si>
    <t>Đá chẻ 15x20x25cm</t>
  </si>
  <si>
    <t>Gach thẻ</t>
  </si>
  <si>
    <t>Gạch Tuynel 4 lỗ</t>
  </si>
  <si>
    <t>Đá 0,5x1cm</t>
  </si>
  <si>
    <t>Đá hộc</t>
  </si>
  <si>
    <t>Gạch bê tông</t>
  </si>
  <si>
    <t>Gạch ốp, lát</t>
  </si>
  <si>
    <t>Đất cấp 2</t>
  </si>
  <si>
    <t>01 mẫu (3 thanh L=80cm)</t>
  </si>
  <si>
    <t>Vật liệu đầu vào</t>
  </si>
  <si>
    <t>BIÊN BẢN LẤY MẪU HIỆN TRƯỜNG</t>
  </si>
  <si>
    <t xml:space="preserve"> 1. Đối tượng lấy mẫu:</t>
  </si>
  <si>
    <t>2. Thành phần tham gia:</t>
  </si>
  <si>
    <t>3. Quy cách lấy mẫu</t>
  </si>
  <si>
    <r>
      <rPr>
        <b/>
        <sz val="13"/>
        <color theme="1"/>
        <rFont val="Times New Roman"/>
        <family val="1"/>
      </rPr>
      <t>4. Yêu cầu thí nghiệm kiểm tra:</t>
    </r>
    <r>
      <rPr>
        <sz val="13"/>
        <color theme="1"/>
        <rFont val="Times New Roman"/>
        <family val="1"/>
      </rPr>
      <t xml:space="preserve"> Các chỉ tiêu theo chỉ dẫn kỹ thuật đã được phê duyệt.</t>
    </r>
  </si>
  <si>
    <r>
      <t xml:space="preserve">5. Kết luận: </t>
    </r>
    <r>
      <rPr>
        <sz val="13"/>
        <color theme="1"/>
        <rFont val="Times New Roman"/>
        <family val="1"/>
      </rPr>
      <t>Quy trình lấy mẫu đúng theo quy định. Chấp thuận việc lấy mẫu.</t>
    </r>
  </si>
  <si>
    <t>x</t>
  </si>
  <si>
    <t>Độ sụt</t>
  </si>
  <si>
    <t>Kích thước khuôn</t>
  </si>
  <si>
    <t>Ký hiệu mẫu</t>
  </si>
  <si>
    <t>15x15x15cm</t>
  </si>
  <si>
    <t>M250/đá 1x2cm/6-:-8/R3/R7/R28/204</t>
  </si>
  <si>
    <t>M250/đá 1x2cm/6-:-8/R3/R7/R28/214</t>
  </si>
  <si>
    <t>M250/đá 1x2cm/6-:-8/R3/R7/R28/224</t>
  </si>
  <si>
    <t>M250/đá 1x2cm/6-:-8/R3/R7/R28/234</t>
  </si>
  <si>
    <t>M250/đá 1x2cm/6-:-8/R3/R7/R28/244</t>
  </si>
  <si>
    <t>M250/đá 1x2cm/6-:-8/R3/R7/R28/254</t>
  </si>
  <si>
    <t>M250/đá 1x2cm/6-:-8/R3/R7/R28/264</t>
  </si>
  <si>
    <t>M250/đá 1x2cm/6-:-8/R3/R7/R28/274</t>
  </si>
  <si>
    <t>M250/đá 1x2cm/6-:-8/R3/R7/R28/284</t>
  </si>
  <si>
    <t>M250/đá 1x2cm/6-:-8/R3/R7/R28/294</t>
  </si>
  <si>
    <t>M250/đá 1x2cm/6-:-8/R3/R7/R28/304</t>
  </si>
  <si>
    <t>M250/đá 1x2cm/6-:-8/R3/R7/R28/314</t>
  </si>
  <si>
    <t>M250/đá 1x2cm/6-:-8/R3/R7/R28/324</t>
  </si>
  <si>
    <t>M250/đá 1x2cm/6-:-8/R3/R7/R28/334</t>
  </si>
  <si>
    <t>M250/đá 1x2cm/6-:-8/R3/R7/R28/353</t>
  </si>
  <si>
    <t>M250/đá 1x2cm/6-:-8/R3/R7/R28/369</t>
  </si>
  <si>
    <t>M250/đá 1x2cm/6-:-8/R3/R7/R28/381</t>
  </si>
  <si>
    <t>M250/đá 1x2cm/6-:-8/R3/R7/R28/395</t>
  </si>
  <si>
    <t>M250/đá 1x2cm/6-:-8/R3/R7/R28/407</t>
  </si>
  <si>
    <t>M250/đá 1x2cm/6-:-8/R3/R7/R28/421</t>
  </si>
  <si>
    <t>M250/đá 1x2cm/6-:-8/R3/R7/R28/433</t>
  </si>
  <si>
    <t>M250/đá 1x2cm/6-:-8/R3/R7/R28/447</t>
  </si>
  <si>
    <t>M250/đá 1x2cm/6-:-8/R3/R7/R28/459</t>
  </si>
  <si>
    <t>M250/đá 1x2cm/6-:-8/R3/R7/R28/491</t>
  </si>
  <si>
    <t>M250/đá 1x2cm/6-:-8/R3/R7/R28/501</t>
  </si>
  <si>
    <t>C28/đá 1x2cm/6-:-8/R3/R7/R28/517</t>
  </si>
  <si>
    <t xml:space="preserve">07 giờ 35 phút </t>
  </si>
  <si>
    <t xml:space="preserve">08 giờ 15 phút </t>
  </si>
  <si>
    <t>Cốt liệu</t>
  </si>
  <si>
    <t>Mác</t>
  </si>
  <si>
    <t>Thép tròn D6</t>
  </si>
  <si>
    <t>Thép tròn D8</t>
  </si>
  <si>
    <t>Thép vằn D10</t>
  </si>
  <si>
    <t>Thép vằn D12</t>
  </si>
  <si>
    <t>Thép vằn D14</t>
  </si>
  <si>
    <t>Thép vằn D16</t>
  </si>
  <si>
    <t>Khối lượng mẫu</t>
  </si>
  <si>
    <t>DỮ LIỆU  VẬT LIỆU</t>
  </si>
  <si>
    <t>01 mẫu (100kg)</t>
  </si>
  <si>
    <t>01 mẫu (200kg)</t>
  </si>
  <si>
    <t>01 mẫu (3 viên)</t>
  </si>
  <si>
    <t>01 mẫu (50kg)</t>
  </si>
  <si>
    <t>01 mẫu (20 viên)</t>
  </si>
  <si>
    <t>01 mẫu (15 viên)</t>
  </si>
  <si>
    <t>01 mẫu (10 viên)</t>
  </si>
  <si>
    <t>01 mẫu (5 lít)</t>
  </si>
  <si>
    <t>01 mẫu (150kg)</t>
  </si>
  <si>
    <t>01 mẫu (300kg)</t>
  </si>
  <si>
    <t>Thép vằn D20</t>
  </si>
  <si>
    <t>Thép vằn D22</t>
  </si>
  <si>
    <t>Thép vằn D25</t>
  </si>
  <si>
    <t>Thép vằn D28</t>
  </si>
  <si>
    <t>Thép vằn D30</t>
  </si>
  <si>
    <t>Thép vằn D23</t>
  </si>
  <si>
    <t>Thép vằn D36</t>
  </si>
  <si>
    <r>
      <t xml:space="preserve">4. Yêu cầu thí nghiệm: </t>
    </r>
    <r>
      <rPr>
        <sz val="13"/>
        <color rgb="FF000000"/>
        <rFont val="Times New Roman"/>
        <family val="1"/>
      </rPr>
      <t>Các chỉ tiêu cơ lý vật liệu</t>
    </r>
  </si>
  <si>
    <r>
      <rPr>
        <b/>
        <sz val="13"/>
        <rFont val="Times New Roman"/>
        <family val="1"/>
      </rPr>
      <t>5. Kết luận</t>
    </r>
    <r>
      <rPr>
        <sz val="13"/>
        <rFont val="Times New Roman"/>
        <family val="1"/>
      </rPr>
      <t>: Quy trình lấy mẫu đúng theo quy định. Chấp thuận việc lấy mẫu.</t>
    </r>
  </si>
  <si>
    <t>Gia cố nâng cấp kênh Bà Xoài từ K0+300÷K0+600 - Hệ thống thủy lợi Nha Trinh, huyện Ninh Hải, tỉnh Ninh Thuận</t>
  </si>
  <si>
    <t>Gói thầu 05</t>
  </si>
  <si>
    <t>Công ty TNHH MTV khai thác công trình thủy lợi Ninh Thuận</t>
  </si>
  <si>
    <t>Huyện Ninh Hải - Tỉnh Ninh Thuận</t>
  </si>
  <si>
    <t>Công ty TNHH Tư vấn Đầu tư Xây dựng Huy Đạt</t>
  </si>
  <si>
    <t>Trần Trọng Liêm</t>
  </si>
  <si>
    <t>Nguyễn Thị Minh</t>
  </si>
  <si>
    <t>Giám sát viên</t>
  </si>
  <si>
    <t>Công ty TNHH Xây dựng Thịnh Dũng</t>
  </si>
  <si>
    <t>Nguyễn Văn Hải</t>
  </si>
  <si>
    <t>Hoàng Đình Tảng</t>
  </si>
  <si>
    <t>Lê Thiên Phương</t>
  </si>
  <si>
    <t>01/2020/HĐXD-TD ngày 28 tháng 04 năm 2020</t>
  </si>
  <si>
    <t>04/2019/HĐTN.TD ngày 28 tháng 04 năm 2020</t>
  </si>
  <si>
    <t>Ninh Hải</t>
  </si>
  <si>
    <t>Công ty TNHH Tư vấn Xây dựng Hưng Thịnh</t>
  </si>
  <si>
    <t>CT.1002</t>
  </si>
  <si>
    <t>Cốt thép tấm đan CLN</t>
  </si>
  <si>
    <t>CT.1003</t>
  </si>
  <si>
    <t>Cốt thép tấm đan kênh</t>
  </si>
  <si>
    <t>Cọc: S3A (K0+300)</t>
  </si>
  <si>
    <t>- Cao độ:</t>
  </si>
  <si>
    <t xml:space="preserve">     + C.độ đáy kênh</t>
  </si>
  <si>
    <t xml:space="preserve">     + C.độ thành trái</t>
  </si>
  <si>
    <t xml:space="preserve">     + C.độ thành phải</t>
  </si>
  <si>
    <t>- Chiều rộng:</t>
  </si>
  <si>
    <t xml:space="preserve">     + C. rộng đáy kênh</t>
  </si>
  <si>
    <t xml:space="preserve">     + C. rộng thành trái</t>
  </si>
  <si>
    <t xml:space="preserve">     + C. rộng thành phải</t>
  </si>
  <si>
    <t>Cọc: 26 (K0+316.7)</t>
  </si>
  <si>
    <t>Cọc: 27 (K0+342)</t>
  </si>
  <si>
    <t>Cọc: 28 (K0+361)</t>
  </si>
  <si>
    <t>Cọc: 29 (K0+366.8)</t>
  </si>
  <si>
    <t>Cọc: 30 (K0+381.8)</t>
  </si>
  <si>
    <t>Cọc: 31+0,7m (K0+400)</t>
  </si>
  <si>
    <t>Cọc: 32 (K0+417.8)</t>
  </si>
  <si>
    <t>Cọc: DN1 (K0+427.8)</t>
  </si>
  <si>
    <t>Cọc: 36 (K0+448.8)</t>
  </si>
  <si>
    <t>Cọc: 37 (K0+473.3)</t>
  </si>
  <si>
    <t>Cọc: 38+5,7m (K0+500)</t>
  </si>
  <si>
    <t>Cọc: 40 (K0+520)</t>
  </si>
  <si>
    <t>Cọc: 41 (K0+545)</t>
  </si>
  <si>
    <t>Cọc: 42 (K0+571.5)</t>
  </si>
  <si>
    <t>Cọc: 43 (K0+577.5)</t>
  </si>
  <si>
    <t>Cọc: S5+6,5m (K0+600)</t>
  </si>
  <si>
    <t>BT.1001</t>
  </si>
  <si>
    <t>BT.1002</t>
  </si>
  <si>
    <t>BT.1003</t>
  </si>
  <si>
    <t xml:space="preserve">   + Cao độ:</t>
  </si>
  <si>
    <t xml:space="preserve">   + Chiều rộng:</t>
  </si>
  <si>
    <t>HM1</t>
  </si>
  <si>
    <t>HM2</t>
  </si>
  <si>
    <t>HM3</t>
  </si>
  <si>
    <t>CP.1002</t>
  </si>
  <si>
    <t>CP.1003</t>
  </si>
  <si>
    <t>CP.010007; CP.010008; CP.010009; CP.010010</t>
  </si>
  <si>
    <t>/VL.00001-1</t>
  </si>
  <si>
    <t>Đào đất hố móng</t>
  </si>
  <si>
    <t>M75</t>
  </si>
  <si>
    <t>Sản xuất, lắp dựng cốt thép kênh</t>
  </si>
  <si>
    <t>Kiểm tra cốt thép kênh</t>
  </si>
  <si>
    <t>/CT.1001</t>
  </si>
  <si>
    <t>Sản xuất, lắp dựng ván khuôn kênh</t>
  </si>
  <si>
    <t>Kiểm tra ván khuôn kênh</t>
  </si>
  <si>
    <t>CotPha.png/CP.1001</t>
  </si>
  <si>
    <t>Kiểm tra điều kiện đổ bê tông kênh</t>
  </si>
  <si>
    <t>Kiểm tra bề mặt bê tông kênh sau khi tháo ván khuôn</t>
  </si>
  <si>
    <t>Kiểm tra cao độ, kích thước hình học bê tông kênh</t>
  </si>
  <si>
    <t>BT.png/BT.1001</t>
  </si>
  <si>
    <t>Sikament R7N: 1,3</t>
  </si>
  <si>
    <t>Số: 0905/TKCP/20-1/1</t>
  </si>
  <si>
    <t>07h35-08h15</t>
  </si>
  <si>
    <t>M200/đá 1x2cm/6-:-8/R3/R7//102</t>
  </si>
  <si>
    <t>M75/7,07x7,07x7,07//R3/R7//111</t>
  </si>
  <si>
    <t>M200/đá 1x2cm/6-:-8/R3/R7//117</t>
  </si>
  <si>
    <t xml:space="preserve"> ngày 12 tháng 5 năm 2020</t>
  </si>
  <si>
    <t xml:space="preserve"> ngày 13 tháng 5 năm 2020</t>
  </si>
  <si>
    <t xml:space="preserve"> ngày 9 tháng 5 năm 2020</t>
  </si>
  <si>
    <t xml:space="preserve"> ngày 10 tháng 5 năm 2020</t>
  </si>
  <si>
    <t xml:space="preserve"> ngày 19 tháng 5 năm 2020</t>
  </si>
  <si>
    <t xml:space="preserve"> ngày 20 tháng 5 năm 2020</t>
  </si>
  <si>
    <t xml:space="preserve"> ngày 23 tháng 5 năm 2020</t>
  </si>
  <si>
    <t xml:space="preserve"> ngày 24 tháng 5 năm 2020</t>
  </si>
  <si>
    <t xml:space="preserve"> ngày 22 tháng 5 năm 2020</t>
  </si>
  <si>
    <t xml:space="preserve"> ngày 27 tháng 5 năm 2020</t>
  </si>
  <si>
    <t xml:space="preserve"> ngày 18 tháng 5 năm 2020</t>
  </si>
  <si>
    <t xml:space="preserve"> ngày 17 tháng 5 năm 2020</t>
  </si>
  <si>
    <t xml:space="preserve"> ngày 30 tháng 5 năm 2020</t>
  </si>
  <si>
    <t xml:space="preserve"> ngày 31 tháng 5 năm 2020</t>
  </si>
  <si>
    <t>NGHIỆM THU VẬT LIỆU</t>
  </si>
  <si>
    <t>01/PYCVL</t>
  </si>
  <si>
    <t>- Biên bản Kiểm tra cốt thép kênh</t>
  </si>
  <si>
    <t>- Biên bản Kiểm tra ván khuôn kênh</t>
  </si>
  <si>
    <t>- Biên bản Kiểm tra điều kiện đổ bê tông kênh</t>
  </si>
  <si>
    <t>- Biên bản Kiểm tra bề mặt bê tông kênh sau khi tháo ván khuôn</t>
  </si>
  <si>
    <t>- Biên bản Kiểm tra cao độ, kích thước hình học bê tông kênh</t>
  </si>
  <si>
    <t>32° / 27° _x000D_</t>
  </si>
  <si>
    <t>29°_x000D_</t>
  </si>
  <si>
    <t>31° / 26° _x000D_</t>
  </si>
  <si>
    <t>33° / 26° _x000D_</t>
  </si>
  <si>
    <t>30°_x000D_</t>
  </si>
  <si>
    <t>33° / 27° _x000D_</t>
  </si>
  <si>
    <t>33° / 28° _x000D_</t>
  </si>
  <si>
    <t>34° / 27° _x000D_</t>
  </si>
  <si>
    <t>32° / 28° _x000D_</t>
  </si>
  <si>
    <t>34° / 28° _x000D_</t>
  </si>
  <si>
    <t>35° / 28° _x000D_</t>
  </si>
  <si>
    <t>Kênh và Công trình trên kênh</t>
  </si>
  <si>
    <t xml:space="preserve">     + TCVN 4447:2012: Công tác đất - Thi công và nghiệm thu</t>
  </si>
  <si>
    <t xml:space="preserve">     + TCVN9361:2012: Công tác nền móng - Thi công và nghiệm thu</t>
  </si>
  <si>
    <t xml:space="preserve">     + TCVN4453:1995: Kết cấu bê tông và bê tông cốt thép toàn khối. Quy phạm thi công và nghiệm thu.</t>
  </si>
  <si>
    <t xml:space="preserve">     + Kết quả thí nghiệm cường độ nén bê tông</t>
  </si>
  <si>
    <t>3. Chủng loại vật liệu:</t>
  </si>
  <si>
    <r>
      <rPr>
        <b/>
        <sz val="13"/>
        <color theme="1"/>
        <rFont val="Times New Roman"/>
        <family val="1"/>
      </rPr>
      <t>4. Yêu cầu thí nghiệm:</t>
    </r>
    <r>
      <rPr>
        <sz val="13"/>
        <color theme="1"/>
        <rFont val="Times New Roman"/>
        <family val="1"/>
      </rPr>
      <t xml:space="preserve"> Kiểm tra cường độ.</t>
    </r>
  </si>
  <si>
    <t>Cấp phối đá dăm loại 1</t>
  </si>
  <si>
    <t>Cấp phối đá dăm loại 2</t>
  </si>
  <si>
    <t>1. 1. 1. Bien ban ban giao MB</t>
  </si>
  <si>
    <t>1. 1. 2. Phieu chap thuan mo</t>
  </si>
  <si>
    <t>1. 1. 3. Bien ban KT phong TN</t>
  </si>
  <si>
    <t>1. 1. 4. Bien ban KT nhan luc</t>
  </si>
  <si>
    <t>1. 1. 5. Bien ban KT moc</t>
  </si>
  <si>
    <t>1. 1. 6. Bien ban KT dieu kien thi cong</t>
  </si>
  <si>
    <t>- Bắt đầu: : Lúc  … giờ …ngày … tháng … năm 20…</t>
  </si>
  <si>
    <t>- Kết thúc: Lúc  … giờ …ngày … tháng … năm 20…</t>
  </si>
  <si>
    <t>07h45-08h25</t>
  </si>
  <si>
    <t>Kiểm tra ván khuôn (Click vào cột L để bổ sung thêm thông tin)</t>
  </si>
  <si>
    <t>Kiểm tra cốt thép (Click vào cột L để bổ sung thêm thông tin)</t>
  </si>
  <si>
    <t>Kiểm tra cao độ, kích thước hình học bê tông, khối xây (Click vào cột L để bổ sung thêm thông tin)</t>
  </si>
  <si>
    <t>Kiểm tra cao độ, kích thước hình học đất đắp (Click vào cột L để bổ sung thêm thông tin)</t>
  </si>
  <si>
    <t>Kiểm tra cao độ, kích thước hình học hố móng (Click vào cột L để bổ sung thêm thông tin)</t>
  </si>
  <si>
    <t>Theo dõi quá trình đổ bê tông ( Click vào cột L để bổ sung thêm thông tin bê tông)</t>
  </si>
  <si>
    <t>Mỏ đá Tà Liên</t>
  </si>
  <si>
    <t>Gạch Phước Nam</t>
  </si>
  <si>
    <t>Gạch Vạn Gia</t>
  </si>
  <si>
    <t>Gạch Thành Hải</t>
  </si>
  <si>
    <t>Nước sinh hoạt</t>
  </si>
  <si>
    <t>Tại công trình</t>
  </si>
  <si>
    <t>Đơn vị tư vấn giám sát</t>
  </si>
  <si>
    <t>(Dữ liệu lấy tại https://www.accuweather.com với trạm  Du Long tỉnh Ninh Thuận)</t>
  </si>
  <si>
    <t>10 người</t>
  </si>
  <si>
    <t>35 người</t>
  </si>
  <si>
    <t>C:\Users\Admin\Desktop\HSQLCL\Hinh Anh</t>
  </si>
  <si>
    <t>Hố móng kênh đoạn K0+400 đến K0+500</t>
  </si>
  <si>
    <t>Hố móng kênh đoạn K0+500 đến K0+600</t>
  </si>
  <si>
    <t>Hố móng kênh đoạn K0+300 đến K0+400</t>
  </si>
  <si>
    <t>Cốt pha đoạn K0+300 đến K0+400</t>
  </si>
  <si>
    <t>Cốt pha đoạn K0+400 đến K0+500</t>
  </si>
  <si>
    <t>Cốt pha đoạn K0+500 đến K0+600</t>
  </si>
  <si>
    <t>Cốt thép kênh L=10m</t>
  </si>
  <si>
    <t>Kênh đoạn K0+300 đến K0+400</t>
  </si>
  <si>
    <t>Kênh đoạn K0+400 đến K0+500</t>
  </si>
  <si>
    <t>Kênh đoạn K0+500 đến K0+600</t>
  </si>
  <si>
    <t>Miền Nam</t>
  </si>
  <si>
    <t>Theo dõi quá trình đổ bê tông kênh</t>
  </si>
  <si>
    <t>TCVN4055:2012; TCVN 5637 : 1991; TCVN9361:2012; TCVN 4447:2012; TCVN4453:1995</t>
  </si>
  <si>
    <t>CP.010021; CP.010032; CP.010033</t>
  </si>
  <si>
    <t xml:space="preserve"> ngày 28 tháng 5 năm 2020</t>
  </si>
  <si>
    <t xml:space="preserve"> ngày 4 tháng 6 năm 2020</t>
  </si>
  <si>
    <t xml:space="preserve"> ngày 5 tháng 6 năm 2020</t>
  </si>
  <si>
    <t xml:space="preserve"> ngày 21 tháng 5 năm 2020</t>
  </si>
  <si>
    <t xml:space="preserve"> ngày 7 tháng 6 năm 2020</t>
  </si>
  <si>
    <t xml:space="preserve"> ngày 2 tháng 6 năm 2020</t>
  </si>
  <si>
    <t xml:space="preserve"> ngày 3 tháng 6 năm 2020</t>
  </si>
  <si>
    <t>+ TCVN4055:2012  Tổ chức thi công
+ TCVN 5637 : 1991 Quản lý chất lượng xây lắp công trình xây dựng - Nguyên tắc cơ bản
+ TCVN9361:2012 Công tác nền móng - Thi công và nghiệm thu
+ TCVN 4447:2012 Công tác đất - Thi công và nghiệm thu
+ TCVN4453:1995 Kết cấu bê tông và bê tông cốt thép toàn khối. Quy phạm thi công và nghiệm thu.</t>
  </si>
  <si>
    <t>+   Kết quả thí nghiệm xác định độ chặt  bằng phương pháp rót cát
+  Kết quả thí nghiệm cường độ nén bê tông
+  Kết quả thí nghiệm cường độ nén vữa</t>
  </si>
  <si>
    <t>- Biên bản Theo dõi quá trình đổ bê tông kênh</t>
  </si>
  <si>
    <t>*</t>
  </si>
  <si>
    <t>M200/đá 1x2cm/6-:-8/R3/R7//23</t>
  </si>
  <si>
    <t>BTXM-20/05/2020</t>
  </si>
  <si>
    <t xml:space="preserve">Bà  : </t>
  </si>
  <si>
    <t xml:space="preserve">07 giờ 45 phút </t>
  </si>
  <si>
    <t xml:space="preserve">08 giờ 25 phút </t>
  </si>
  <si>
    <t>13h40-14h20</t>
  </si>
  <si>
    <t xml:space="preserve">13 giờ 40 phút </t>
  </si>
  <si>
    <t xml:space="preserve">14 giờ 20 phút </t>
  </si>
  <si>
    <t>Sheet43</t>
  </si>
  <si>
    <t>MaBBKT</t>
  </si>
  <si>
    <t>Vatlieu</t>
  </si>
  <si>
    <t>ListTNVL</t>
  </si>
  <si>
    <t>ListTNBT</t>
  </si>
  <si>
    <t>ListTNkhac</t>
  </si>
  <si>
    <t>Sheet69</t>
  </si>
  <si>
    <t>Sheet70</t>
  </si>
  <si>
    <t>Sheet71</t>
  </si>
  <si>
    <t>Sheet72</t>
  </si>
  <si>
    <t>BBKT_Dap</t>
  </si>
  <si>
    <t>BBLMVL</t>
  </si>
  <si>
    <t>BBLMBT</t>
  </si>
  <si>
    <t>BBLMKhac</t>
  </si>
  <si>
    <t>Sheet73</t>
  </si>
  <si>
    <t>Căn BB</t>
  </si>
  <si>
    <t>Chú ý: Khi nhập xong thông tin công trình Click nút "Cập nhật tiêu đề biên bản" để căn chỉnh chiều cao dòng trong biên bản</t>
  </si>
  <si>
    <t xml:space="preserve">Lấy mẫu thí nghiệm vật liệu đầu vào </t>
  </si>
  <si>
    <t xml:space="preserve">Tập kết thiết bị </t>
  </si>
  <si>
    <t xml:space="preserve">Kiểm tra nhân lực, thiết bị thi công </t>
  </si>
  <si>
    <t xml:space="preserve">Kiểm tra điều kiện trước khi thi công </t>
  </si>
  <si>
    <t xml:space="preserve">Khép mốc cao độ, tim tuyến, định vị công trình </t>
  </si>
  <si>
    <t>Thời tiết: Trời nắng</t>
  </si>
  <si>
    <t>Nhân lực: 10 người</t>
  </si>
  <si>
    <t xml:space="preserve">Thiết bị thi công: </t>
  </si>
  <si>
    <t>Nội công việc thi công trong ngày:</t>
  </si>
  <si>
    <t xml:space="preserve">   - Khởi công công trình </t>
  </si>
  <si>
    <t xml:space="preserve">   - Kiểm tra phòng thí nghiệm tại hiện trường </t>
  </si>
  <si>
    <t xml:space="preserve">   - Lấy mẫu thí nghiệm vật liệu đầu vào </t>
  </si>
  <si>
    <t xml:space="preserve">   - Tập kết thiết bị </t>
  </si>
  <si>
    <t xml:space="preserve">   - Kiểm tra nhân lực, thiết bị thi công </t>
  </si>
  <si>
    <t xml:space="preserve">   - Kiểm tra điều kiện trước khi thi công </t>
  </si>
  <si>
    <t xml:space="preserve">   - Khép mốc cao độ, tim tuyến, định vị công trình </t>
  </si>
  <si>
    <t>Nhân lực: 35 người</t>
  </si>
  <si>
    <t>Thiết bị thi công: Máy đào</t>
  </si>
  <si>
    <t>Thiết bị thi công: Máy trộn vữa</t>
  </si>
  <si>
    <t>Thiết bị thi công: Máy cắt uốn cốt thép</t>
  </si>
  <si>
    <t>Thiết bị thi công: Máy trộn bê tông;  Máy đầm bê tông</t>
  </si>
  <si>
    <t>Thiết bị thi công: Máy đầm cóc</t>
  </si>
  <si>
    <t xml:space="preserve">     + Kết quả thí nghiệm cường độ nén vữa</t>
  </si>
  <si>
    <t>34° / 22° _x000D_</t>
  </si>
  <si>
    <t>Cát vàng(Sông Dinh)/Đá 1x2cm(Đèo Cậu)/Xi măng(Kim Đỉnh)/Thép tròn D6(Miền Nam)/Thép tròn D8(Miền Nam)/Thép tròn D10(Miền Nam)/Thép tròn D14(Miền Nam)/Đất TNCL(Tại công trình)</t>
  </si>
  <si>
    <t>Tập kết vật liệu thi công: Cát vàng, đá 1x2cm, Xi măng, bao tải nhựa đường, Thép các loại</t>
  </si>
  <si>
    <t>TCVN 1770: 1986; TCVN 1771: 1978; TCVN 6260: 2009; TCVN 6151 : 2008</t>
  </si>
  <si>
    <t>Đoạn Km0+300 đến Km0+400</t>
  </si>
  <si>
    <t>Kiểm tra cao độ, kích thước hình học hố móng kênh</t>
  </si>
  <si>
    <t>Thi công vữa lót móng M75</t>
  </si>
  <si>
    <t>TCVN4055:2012; TCVN 5637 : 1991; TCVN9361:2012</t>
  </si>
  <si>
    <t>Đổ bê tông kênh M200 đá 1x2cm</t>
  </si>
  <si>
    <t>M200/đá 1x2cm/6-:-8</t>
  </si>
  <si>
    <t>Đắp đất bờ kênh, độ chặt yêu cầu K=0,85, lớp 1</t>
  </si>
  <si>
    <t>K0+320(Trái)/K0+350(Phải)/K0+370(Trái)/K0+390(Phải)</t>
  </si>
  <si>
    <t>K0+310(Phải)/K0+340(Trái)/K0+360(Phải)/K0+380(Trái)</t>
  </si>
  <si>
    <t>K0+315(Phải)/K0+350(Trái)/K0+370(Phải)/K0+3890(Trái)</t>
  </si>
  <si>
    <t>K0+325(Phải)/K0+345(Trái)/K0+360(Phải)/K0+385(Trái)</t>
  </si>
  <si>
    <t>Đắp đất bờ kênh, độ chặt yêu cầu K=0,85</t>
  </si>
  <si>
    <t>Đoạn Km0+400 đến Km0+500</t>
  </si>
  <si>
    <t>Hômng.png/HM2</t>
  </si>
  <si>
    <t>CotPha.png/CP.1002</t>
  </si>
  <si>
    <t>K0+310(Phải)/K0+350(Trái)/K0+360(Phải)/K0+380(Trái)</t>
  </si>
  <si>
    <t>BT.png/BT.1002</t>
  </si>
  <si>
    <t>Đoạn Km0+500 đến Km0+600</t>
  </si>
  <si>
    <t>BT.png/BT.1003</t>
  </si>
  <si>
    <t>Đoạn Km0+300 đến Km0+600</t>
  </si>
  <si>
    <t>Vữa lót móng M75</t>
  </si>
  <si>
    <t>Bê tông kênh M200 đá 1x2cm</t>
  </si>
  <si>
    <t>Vật liệu thi công: Cát vàng, đá 1x2cm, Xi măng, bao tải nhựa đường, Thép các loại</t>
  </si>
  <si>
    <t>Lấy mẫu thí nghiệm vữa lót móng M75</t>
  </si>
  <si>
    <t>M75/7,07x7,07x7,07//R3/R7//13</t>
  </si>
  <si>
    <t>Lấy mẫu thí nghiệm bê tông kênh M200 đá 1x2cm</t>
  </si>
  <si>
    <t>Lấy mẫu thí nghiệm  xác định độ chặt Đắp đất bờ kênh, độ chặt yêu cầu K=0,85, lớp 1</t>
  </si>
  <si>
    <t>Lấy mẫu thí nghiệm  xác định độ chặt Đắp đất bờ kênh, độ chặt yêu cầu K=0,85, lớp 2</t>
  </si>
  <si>
    <t>Lấy mẫu thí nghiệm  xác định độ chặt Đắp đất bờ kênh, độ chặt yêu cầu K=0,85, lớp 3</t>
  </si>
  <si>
    <t>Lấy mẫu thí nghiệm  xác định độ chặt Đắp đất bờ kênh, độ chặt yêu cầu K=0,85, lớp 4</t>
  </si>
  <si>
    <t>M75/7,07x7,07x7,07//R3/R7//43</t>
  </si>
  <si>
    <t>M200/đá 1x2cm/6-:-8/R3/R7//53</t>
  </si>
  <si>
    <t>M75/7,07x7,07x7,07//R3/R7//73</t>
  </si>
  <si>
    <t>M200/đá 1x2cm/6-:-8/R3/R7//83</t>
  </si>
  <si>
    <t>+ TCVN4055:2012  Tổ chức thi công
+ TCVN 5637 : 1991 Quản lý chất lượng xây lắp công trình xây dựng - Nguyên tắc cơ bản
+ TCVN9361:2012 Công tác nền móng - Thi công và nghiệm thu</t>
  </si>
  <si>
    <t>+   Kết quả thí nghiệm cường độ nén vữa</t>
  </si>
  <si>
    <t xml:space="preserve"> ngày 1 tháng 6 năm 2020</t>
  </si>
  <si>
    <t xml:space="preserve"> ngày 11 tháng 5 năm 2020</t>
  </si>
  <si>
    <t xml:space="preserve"> ngày 29 tháng 5 năm 2020</t>
  </si>
  <si>
    <t xml:space="preserve"> ngày 14 tháng 5 năm 2020</t>
  </si>
  <si>
    <t xml:space="preserve"> ngày 6 tháng 6 năm 2020</t>
  </si>
  <si>
    <t>- Biên bản Kiểm tra cao độ, kích thước hình học hố móng kênh</t>
  </si>
  <si>
    <t>- Biên bản lấy mẫu thí nghiệm vữa lót móng M75</t>
  </si>
  <si>
    <t xml:space="preserve">     + KQTN  thí nghiệm vữa lót móng M75</t>
  </si>
  <si>
    <t>- Biên bản lấy mẫu thí nghiệm bê tông kênh M200 đá 1x2cm</t>
  </si>
  <si>
    <t xml:space="preserve">     + KQTN  thí nghiệm bê tông kênh M200 đá 1x2cm</t>
  </si>
  <si>
    <t>- Biên bản lấy mẫu thí nghiệm  xác định độ chặt Đắp đất bờ kênh, độ chặt yêu cầu K=0,85, lớp 1</t>
  </si>
  <si>
    <t xml:space="preserve">     + KQTN  thí nghiệm  xác định độ chặt Đắp đất bờ kênh, độ chặt yêu cầu K=0,85, lớp 1</t>
  </si>
  <si>
    <t>- Biên bản lấy mẫu thí nghiệm  xác định độ chặt Đắp đất bờ kênh, độ chặt yêu cầu K=0,85, lớp 2</t>
  </si>
  <si>
    <t xml:space="preserve">     + KQTN  thí nghiệm  xác định độ chặt Đắp đất bờ kênh, độ chặt yêu cầu K=0,85, lớp 2</t>
  </si>
  <si>
    <t>- Biên bản lấy mẫu thí nghiệm  xác định độ chặt Đắp đất bờ kênh, độ chặt yêu cầu K=0,85, lớp 3</t>
  </si>
  <si>
    <t xml:space="preserve">     + KQTN  thí nghiệm  xác định độ chặt Đắp đất bờ kênh, độ chặt yêu cầu K=0,85, lớp 3</t>
  </si>
  <si>
    <t>- Biên bản lấy mẫu thí nghiệm  xác định độ chặt Đắp đất bờ kênh, độ chặt yêu cầu K=0,85, lớp 4</t>
  </si>
  <si>
    <t xml:space="preserve">     + KQTN  thí nghiệm  xác định độ chặt Đắp đất bờ kênh, độ chặt yêu cầu K=0,85, lớp 4</t>
  </si>
  <si>
    <t>Xác định độ chặt Đắp đất bờ kênh, độ chặt yêu cầu K=0,85, lớp 1</t>
  </si>
  <si>
    <t>Xác định độ chặt Đắp đất bờ kênh, độ chặt yêu cầu K=0,85, lớp 2</t>
  </si>
  <si>
    <t>Xác định độ chặt Đắp đất bờ kênh, độ chặt yêu cầu K=0,85, lớp 3</t>
  </si>
  <si>
    <t>Xác định độ chặt Đắp đất bờ kênh, độ chặt yêu cầu K=0,85, lớp 4</t>
  </si>
  <si>
    <t>7,07x7,07x7,07</t>
  </si>
  <si>
    <t>VXM-10/05/2020</t>
  </si>
  <si>
    <t>VXM-12/05/2020</t>
  </si>
  <si>
    <t>BTXM-22/05/2020</t>
  </si>
  <si>
    <t>VXM-14/05/2020</t>
  </si>
  <si>
    <t>BTXM-24/05/2020</t>
  </si>
  <si>
    <t xml:space="preserve">     + TCVN 1770: 1986: Cát xây dựng- Yêu cầu kỹ thuật</t>
  </si>
  <si>
    <t xml:space="preserve">     + TCVN 1771: 1978: Đá dăm, sỏi, sỏi dăm dùng trong xây dựng</t>
  </si>
  <si>
    <t xml:space="preserve">     + TCVN 6260: 2009: Xi măng Pooc lăng hỗn hợp</t>
  </si>
  <si>
    <t xml:space="preserve">     + TCVN 6151 : 2008: Yêu cầu kỹ thuật cho thép làm cốt  trong các kết cấu bê tông.</t>
  </si>
  <si>
    <t xml:space="preserve">     + Kết quả thií nghiệm cát</t>
  </si>
  <si>
    <t xml:space="preserve">     + Kết quả thí nghiệm đá dăm</t>
  </si>
  <si>
    <t xml:space="preserve">     + Kết quả thí nghiệm xi măng</t>
  </si>
  <si>
    <t xml:space="preserve">     + Kết quả thí nghiệm thép</t>
  </si>
  <si>
    <t>Mỏ đá Đèo Cậu</t>
  </si>
  <si>
    <t>Nhà máy XM Kim Đỉnh</t>
  </si>
  <si>
    <t xml:space="preserve">Tập kết vật liệu thi công: Cát vàng, đá 1x2cm, Xi măng, bao tải nhựa đường, Thép các loại </t>
  </si>
  <si>
    <t xml:space="preserve">Vật liệu thi công: Cát vàng, đá 1x2cm, Xi măng, bao tải nhựa đường, Thép các loại </t>
  </si>
  <si>
    <t>Đào đất hố móng Đoạn Km0+300 đến Km0+400</t>
  </si>
  <si>
    <t>Kiểm tra cao độ, kích thước hình học hố móng kênh Đoạn Km0+300 đến Km0+400</t>
  </si>
  <si>
    <t>Thi công vữa lót móng M75 Đoạn Km0+300 đến Km0+400</t>
  </si>
  <si>
    <t>Lấy mẫu thí nghiệm vữa lót móng M75 Đoạn Km0+300 đến Km0+400</t>
  </si>
  <si>
    <t>Bảo dưỡng vữa lót móng M75 Đoạn Km0+300 đến Km0+400</t>
  </si>
  <si>
    <t>Vữa lót móng M75 Đoạn Km0+300 đến Km0+400</t>
  </si>
  <si>
    <t>Sản xuất, lắp dựng cốt thép kênh Đoạn Km0+300 đến Km0+400</t>
  </si>
  <si>
    <t>Kiểm tra cốt thép kênh Đoạn Km0+300 đến Km0+400</t>
  </si>
  <si>
    <t>Sản xuất, lắp dựng ván khuôn kênh Đoạn Km0+300 đến Km0+400</t>
  </si>
  <si>
    <t>Kiểm tra ván khuôn kênh Đoạn Km0+300 đến Km0+400</t>
  </si>
  <si>
    <t>Đổ bê tông kênh M200 đá 1x2cm Đoạn Km0+300 đến Km0+400</t>
  </si>
  <si>
    <t>Kiểm tra điều kiện đổ bê tông kênh Đoạn Km0+300 đến Km0+400</t>
  </si>
  <si>
    <t>Theo dõi quá trình đổ bê tông kênh Đoạn Km0+300 đến Km0+400</t>
  </si>
  <si>
    <t>Lấy mẫu thí nghiệm bê tông kênh M200 đá 1x2cm Đoạn Km0+300 đến Km0+400</t>
  </si>
  <si>
    <t>Bảo dưỡng bê tông kênh M200 đá 1x2cm Đoạn Km0+300 đến Km0+400</t>
  </si>
  <si>
    <t>Kiểm tra bề mặt bê tông kênh sau khi tháo ván khuôn Đoạn Km0+300 đến Km0+400</t>
  </si>
  <si>
    <t>Kiểm tra cao độ, kích thước hình học bê tông kênh Đoạn Km0+300 đến Km0+400</t>
  </si>
  <si>
    <t>Bê tông kênh M200 đá 1x2cm Đoạn Km0+300 đến Km0+400</t>
  </si>
  <si>
    <t>Đắp đất bờ kênh, độ chặt yêu cầu K=0,85, lớp 1 Đoạn Km0+300 đến Km0+400</t>
  </si>
  <si>
    <t>Lấy mẫu thí nghiệm  xác định độ chặt Đắp đất bờ kênh, độ chặt yêu cầu K=0,85, lớp 1 Đoạn Km0+300 đến Km0+400</t>
  </si>
  <si>
    <t>Đắp đất bờ kênh, độ chặt yêu cầu K=0,85, lớp 2 Đoạn Km0+300 đến Km0+400</t>
  </si>
  <si>
    <t>Lấy mẫu thí nghiệm  xác định độ chặt Đắp đất bờ kênh, độ chặt yêu cầu K=0,85, lớp 2 Đoạn Km0+300 đến Km0+400</t>
  </si>
  <si>
    <t>Đắp đất bờ kênh, độ chặt yêu cầu K=0,85, lớp 3 Đoạn Km0+300 đến Km0+400</t>
  </si>
  <si>
    <t>Lấy mẫu thí nghiệm  xác định độ chặt Đắp đất bờ kênh, độ chặt yêu cầu K=0,85, lớp 3 Đoạn Km0+300 đến Km0+400</t>
  </si>
  <si>
    <t>Đắp đất bờ kênh, độ chặt yêu cầu K=0,85, lớp 4 Đoạn Km0+300 đến Km0+400</t>
  </si>
  <si>
    <t>Lấy mẫu thí nghiệm  xác định độ chặt Đắp đất bờ kênh, độ chặt yêu cầu K=0,85, lớp 4 Đoạn Km0+300 đến Km0+400</t>
  </si>
  <si>
    <t>Đắp đất bờ kênh, độ chặt yêu cầu K=0,85 Đoạn Km0+300 đến Km0+400</t>
  </si>
  <si>
    <t>Đào đất hố móng Đoạn Km0+400 đến Km0+500</t>
  </si>
  <si>
    <t>Kiểm tra cao độ, kích thước hình học hố móng kênh Đoạn Km0+400 đến Km0+500</t>
  </si>
  <si>
    <t>Thi công vữa lót móng M75 Đoạn Km0+400 đến Km0+500</t>
  </si>
  <si>
    <t>Lấy mẫu thí nghiệm vữa lót móng M75 Đoạn Km0+400 đến Km0+500</t>
  </si>
  <si>
    <t>Bảo dưỡng vữa lót móng M75 Đoạn Km0+400 đến Km0+500</t>
  </si>
  <si>
    <t>Vữa lót móng M75 Đoạn Km0+400 đến Km0+500</t>
  </si>
  <si>
    <t>Sản xuất, lắp dựng cốt thép kênh Đoạn Km0+400 đến Km0+500</t>
  </si>
  <si>
    <t>Kiểm tra cốt thép kênh Đoạn Km0+400 đến Km0+500</t>
  </si>
  <si>
    <t>Sản xuất, lắp dựng ván khuôn kênh Đoạn Km0+400 đến Km0+500</t>
  </si>
  <si>
    <t>Kiểm tra ván khuôn kênh Đoạn Km0+400 đến Km0+500</t>
  </si>
  <si>
    <t>Đổ bê tông kênh M200 đá 1x2cm Đoạn Km0+400 đến Km0+500</t>
  </si>
  <si>
    <t>Kiểm tra điều kiện đổ bê tông kênh Đoạn Km0+400 đến Km0+500</t>
  </si>
  <si>
    <t>Theo dõi quá trình đổ bê tông kênh Đoạn Km0+400 đến Km0+500</t>
  </si>
  <si>
    <t>Lấy mẫu thí nghiệm bê tông kênh M200 đá 1x2cm Đoạn Km0+400 đến Km0+500</t>
  </si>
  <si>
    <t>Bảo dưỡng bê tông kênh M200 đá 1x2cm Đoạn Km0+400 đến Km0+500</t>
  </si>
  <si>
    <t>Kiểm tra bề mặt bê tông kênh sau khi tháo ván khuôn Đoạn Km0+400 đến Km0+500</t>
  </si>
  <si>
    <t>Kiểm tra cao độ, kích thước hình học bê tông kênh Đoạn Km0+400 đến Km0+500</t>
  </si>
  <si>
    <t>Bê tông kênh M200 đá 1x2cm Đoạn Km0+400 đến Km0+500</t>
  </si>
  <si>
    <t>Đắp đất bờ kênh, độ chặt yêu cầu K=0,85, lớp 1 Đoạn Km0+400 đến Km0+500</t>
  </si>
  <si>
    <t>Lấy mẫu thí nghiệm  xác định độ chặt Đắp đất bờ kênh, độ chặt yêu cầu K=0,85, lớp 1 Đoạn Km0+400 đến Km0+500</t>
  </si>
  <si>
    <t>Đắp đất bờ kênh, độ chặt yêu cầu K=0,85, lớp 2 Đoạn Km0+400 đến Km0+500</t>
  </si>
  <si>
    <t>Lấy mẫu thí nghiệm  xác định độ chặt Đắp đất bờ kênh, độ chặt yêu cầu K=0,85, lớp 2 Đoạn Km0+400 đến Km0+500</t>
  </si>
  <si>
    <t>Đắp đất bờ kênh, độ chặt yêu cầu K=0,85, lớp 3 Đoạn Km0+400 đến Km0+500</t>
  </si>
  <si>
    <t>Lấy mẫu thí nghiệm  xác định độ chặt Đắp đất bờ kênh, độ chặt yêu cầu K=0,85, lớp 3 Đoạn Km0+400 đến Km0+500</t>
  </si>
  <si>
    <t>Đắp đất bờ kênh, độ chặt yêu cầu K=0,85, lớp 4 Đoạn Km0+400 đến Km0+500</t>
  </si>
  <si>
    <t>Lấy mẫu thí nghiệm  xác định độ chặt Đắp đất bờ kênh, độ chặt yêu cầu K=0,85, lớp 4 Đoạn Km0+400 đến Km0+500</t>
  </si>
  <si>
    <t>Đắp đất bờ kênh, độ chặt yêu cầu K=0,85 Đoạn Km0+400 đến Km0+500</t>
  </si>
  <si>
    <t>Đào đất hố móng Đoạn Km0+500 đến Km0+600</t>
  </si>
  <si>
    <t>Kiểm tra cao độ, kích thước hình học hố móng kênh Đoạn Km0+500 đến Km0+600</t>
  </si>
  <si>
    <t>Thi công vữa lót móng M75 Đoạn Km0+500 đến Km0+600</t>
  </si>
  <si>
    <t>Lấy mẫu thí nghiệm vữa lót móng M75 Đoạn Km0+500 đến Km0+600</t>
  </si>
  <si>
    <t>Bảo dưỡng vữa lót móng M75 Đoạn Km0+500 đến Km0+600</t>
  </si>
  <si>
    <t>Vữa lót móng M75 Đoạn Km0+500 đến Km0+600</t>
  </si>
  <si>
    <t>Sản xuất, lắp dựng cốt thép kênh Đoạn Km0+500 đến Km0+600</t>
  </si>
  <si>
    <t>Kiểm tra cốt thép kênh Đoạn Km0+500 đến Km0+600</t>
  </si>
  <si>
    <t>Sản xuất, lắp dựng ván khuôn kênh Đoạn Km0+500 đến Km0+600</t>
  </si>
  <si>
    <t>Kiểm tra ván khuôn kênh Đoạn Km0+500 đến Km0+600</t>
  </si>
  <si>
    <t>Đổ bê tông kênh M200 đá 1x2cm Đoạn Km0+500 đến Km0+600</t>
  </si>
  <si>
    <t>Kiểm tra điều kiện đổ bê tông kênh Đoạn Km0+500 đến Km0+600</t>
  </si>
  <si>
    <t>Theo dõi quá trình đổ bê tông kênh Đoạn Km0+500 đến Km0+600</t>
  </si>
  <si>
    <t>Lấy mẫu thí nghiệm bê tông kênh M200 đá 1x2cm Đoạn Km0+500 đến Km0+600</t>
  </si>
  <si>
    <t>Bảo dưỡng bê tông kênh M200 đá 1x2cm Đoạn Km0+500 đến Km0+600</t>
  </si>
  <si>
    <t>Kiểm tra bề mặt bê tông kênh sau khi tháo ván khuôn Đoạn Km0+500 đến Km0+600</t>
  </si>
  <si>
    <t>Kiểm tra cao độ, kích thước hình học bê tông kênh Đoạn Km0+500 đến Km0+600</t>
  </si>
  <si>
    <t>Bê tông kênh M200 đá 1x2cm Đoạn Km0+500 đến Km0+600</t>
  </si>
  <si>
    <t>Đắp đất bờ kênh, độ chặt yêu cầu K=0,85, lớp 1 Đoạn Km0+500 đến Km0+600</t>
  </si>
  <si>
    <t>Lấy mẫu thí nghiệm  xác định độ chặt Đắp đất bờ kênh, độ chặt yêu cầu K=0,85, lớp 1 Đoạn Km0+500 đến Km0+600</t>
  </si>
  <si>
    <t>Đắp đất bờ kênh, độ chặt yêu cầu K=0,85, lớp 2 Đoạn Km0+500 đến Km0+600</t>
  </si>
  <si>
    <t>Lấy mẫu thí nghiệm  xác định độ chặt Đắp đất bờ kênh, độ chặt yêu cầu K=0,85, lớp 2 Đoạn Km0+500 đến Km0+600</t>
  </si>
  <si>
    <t>Đắp đất bờ kênh, độ chặt yêu cầu K=0,85, lớp 3 Đoạn Km0+500 đến Km0+600</t>
  </si>
  <si>
    <t>Lấy mẫu thí nghiệm  xác định độ chặt Đắp đất bờ kênh, độ chặt yêu cầu K=0,85, lớp 3 Đoạn Km0+500 đến Km0+600</t>
  </si>
  <si>
    <t>Đắp đất bờ kênh, độ chặt yêu cầu K=0,85, lớp 4 Đoạn Km0+500 đến Km0+600</t>
  </si>
  <si>
    <t>Lấy mẫu thí nghiệm  xác định độ chặt Đắp đất bờ kênh, độ chặt yêu cầu K=0,85, lớp 4 Đoạn Km0+500 đến Km0+600</t>
  </si>
  <si>
    <t>Đắp đất bờ kênh, độ chặt yêu cầu K=0,85 Đoạn Km0+500 đến Km0+600</t>
  </si>
  <si>
    <t>Hoàn thành công tác thi công Đoạn Km0+300 đến Km0+600</t>
  </si>
  <si>
    <t>Nghiệm thu Hoàn thành công tác thi công Đoạn Km0+300 đến Km0+600</t>
  </si>
  <si>
    <r>
      <t>Nghiệm thu</t>
    </r>
    <r>
      <rPr>
        <sz val="13"/>
        <color rgb="FF0000FF"/>
        <rFont val="Cambria"/>
        <family val="1"/>
        <charset val="163"/>
      </rPr>
      <t xml:space="preserve"> Đắp đất bờ kênh, độ chặt yêu cầu K=0,85 Đoạn Km0+500 đến Km0+600</t>
    </r>
  </si>
  <si>
    <r>
      <t>Nghiệm thu</t>
    </r>
    <r>
      <rPr>
        <sz val="13"/>
        <color rgb="FF0000FF"/>
        <rFont val="Cambria"/>
        <family val="1"/>
        <charset val="163"/>
      </rPr>
      <t xml:space="preserve"> Đắp đất bờ kênh, độ chặt yêu cầu K=0,85 Đoạn Km0+400 đến Km0+500</t>
    </r>
  </si>
  <si>
    <r>
      <t>Nghiệm thu</t>
    </r>
    <r>
      <rPr>
        <sz val="13"/>
        <color rgb="FF0000FF"/>
        <rFont val="Cambria"/>
        <family val="1"/>
        <charset val="163"/>
      </rPr>
      <t xml:space="preserve"> Đắp đất bờ kênh, độ chặt yêu cầu K=0,85 Đoạn Km0+300 đến Km0+400</t>
    </r>
  </si>
  <si>
    <r>
      <t>Nghiệm thu</t>
    </r>
    <r>
      <rPr>
        <sz val="13"/>
        <color rgb="FF0000FF"/>
        <rFont val="Cambria"/>
        <family val="1"/>
        <charset val="163"/>
      </rPr>
      <t xml:space="preserve"> Bê tông kênh M200 đá 1x2cm Đoạn Km0+500 đến Km0+600</t>
    </r>
  </si>
  <si>
    <r>
      <t>Kiểm tra</t>
    </r>
    <r>
      <rPr>
        <sz val="13"/>
        <color rgb="FF0000FF"/>
        <rFont val="Cambria"/>
        <family val="1"/>
        <charset val="163"/>
      </rPr>
      <t xml:space="preserve"> cao độ, kích thước hình học bê tông kênh Đoạn Km0+500 đến Km0+600</t>
    </r>
  </si>
  <si>
    <r>
      <t>Kiểm tra</t>
    </r>
    <r>
      <rPr>
        <sz val="13"/>
        <color rgb="FF0000FF"/>
        <rFont val="Cambria"/>
        <family val="1"/>
        <charset val="163"/>
      </rPr>
      <t xml:space="preserve"> bề mặt bê tông kênh sau khi tháo ván khuôn Đoạn Km0+500 đến Km0+600</t>
    </r>
  </si>
  <si>
    <r>
      <t>Nghiệm thu</t>
    </r>
    <r>
      <rPr>
        <sz val="13"/>
        <color rgb="FF0000FF"/>
        <rFont val="Cambria"/>
        <family val="1"/>
        <charset val="163"/>
      </rPr>
      <t xml:space="preserve"> Bê tông kênh M200 đá 1x2cm Đoạn Km0+400 đến Km0+500</t>
    </r>
  </si>
  <si>
    <r>
      <t>Kiểm tra</t>
    </r>
    <r>
      <rPr>
        <sz val="13"/>
        <color rgb="FF0000FF"/>
        <rFont val="Cambria"/>
        <family val="1"/>
        <charset val="163"/>
      </rPr>
      <t xml:space="preserve"> bề mặt bê tông kênh sau khi tháo ván khuôn Đoạn Km0+400 đến Km0+500</t>
    </r>
  </si>
  <si>
    <r>
      <t>Kiểm tra</t>
    </r>
    <r>
      <rPr>
        <sz val="13"/>
        <color rgb="FF0000FF"/>
        <rFont val="Cambria"/>
        <family val="1"/>
        <charset val="163"/>
      </rPr>
      <t xml:space="preserve"> cao độ, kích thước hình học bê tông kênh Đoạn Km0+300 đến Km0+400</t>
    </r>
  </si>
  <si>
    <r>
      <t>Kiểm tra</t>
    </r>
    <r>
      <rPr>
        <sz val="13"/>
        <color rgb="FF0000FF"/>
        <rFont val="Cambria"/>
        <family val="1"/>
        <charset val="163"/>
      </rPr>
      <t xml:space="preserve"> điều kiện đổ bê tông kênh Đoạn Km0+500 đến Km0+600</t>
    </r>
  </si>
  <si>
    <r>
      <t>Nghiệm thu</t>
    </r>
    <r>
      <rPr>
        <sz val="13"/>
        <color rgb="FF0000FF"/>
        <rFont val="Cambria"/>
        <family val="1"/>
        <charset val="163"/>
      </rPr>
      <t xml:space="preserve"> Sản xuất, lắp dựng ván khuôn kênh Đoạn Km0+500 đến Km0+600</t>
    </r>
  </si>
  <si>
    <r>
      <t>Nghiệm thu</t>
    </r>
    <r>
      <rPr>
        <sz val="13"/>
        <color rgb="FF0000FF"/>
        <rFont val="Cambria"/>
        <family val="1"/>
        <charset val="163"/>
      </rPr>
      <t xml:space="preserve"> Sản xuất, lắp dựng cốt thép kênh Đoạn Km0+500 đến Km0+600</t>
    </r>
  </si>
  <si>
    <r>
      <t>Kiểm tra</t>
    </r>
    <r>
      <rPr>
        <sz val="13"/>
        <color rgb="FF0000FF"/>
        <rFont val="Cambria"/>
        <family val="1"/>
        <charset val="163"/>
      </rPr>
      <t xml:space="preserve"> cốt thép kênh Đoạn Km0+500 đến Km0+600</t>
    </r>
  </si>
  <si>
    <r>
      <t>Nghiệm thu</t>
    </r>
    <r>
      <rPr>
        <sz val="13"/>
        <color rgb="FF0000FF"/>
        <rFont val="Cambria"/>
        <family val="1"/>
        <charset val="163"/>
      </rPr>
      <t xml:space="preserve"> Vữa lót móng M75 Đoạn Km0+500 đến Km0+600</t>
    </r>
  </si>
  <si>
    <r>
      <t>Kiểm tra</t>
    </r>
    <r>
      <rPr>
        <sz val="13"/>
        <color rgb="FF0000FF"/>
        <rFont val="Cambria"/>
        <family val="1"/>
        <charset val="163"/>
      </rPr>
      <t xml:space="preserve"> điều kiện đổ bê tông kênh Đoạn Km0+400 đến Km0+500</t>
    </r>
  </si>
  <si>
    <r>
      <t>Kiểm tra</t>
    </r>
    <r>
      <rPr>
        <sz val="13"/>
        <color rgb="FF0000FF"/>
        <rFont val="Cambria"/>
        <family val="1"/>
        <charset val="163"/>
      </rPr>
      <t xml:space="preserve"> ván khuôn kênh Đoạn Km0+400 đến Km0+500</t>
    </r>
  </si>
  <si>
    <r>
      <t>Nghiệm thu</t>
    </r>
    <r>
      <rPr>
        <sz val="13"/>
        <color rgb="FF0000FF"/>
        <rFont val="Cambria"/>
        <family val="1"/>
        <charset val="163"/>
      </rPr>
      <t xml:space="preserve"> Sản xuất, lắp dựng cốt thép kênh Đoạn Km0+400 đến Km0+500</t>
    </r>
  </si>
  <si>
    <r>
      <t>Kiểm tra</t>
    </r>
    <r>
      <rPr>
        <sz val="13"/>
        <color rgb="FF0000FF"/>
        <rFont val="Cambria"/>
        <family val="1"/>
        <charset val="163"/>
      </rPr>
      <t xml:space="preserve"> điều kiện đổ bê tông kênh Đoạn Km0+300 đến Km0+400</t>
    </r>
  </si>
  <si>
    <r>
      <t>Nghiệm thu</t>
    </r>
    <r>
      <rPr>
        <sz val="13"/>
        <color rgb="FF0000FF"/>
        <rFont val="Cambria"/>
        <family val="1"/>
        <charset val="163"/>
      </rPr>
      <t xml:space="preserve"> Sản xuất, lắp dựng ván khuôn kênh Đoạn Km0+300 đến Km0+400</t>
    </r>
  </si>
  <si>
    <r>
      <t>Kiểm tra</t>
    </r>
    <r>
      <rPr>
        <sz val="13"/>
        <color rgb="FF0000FF"/>
        <rFont val="Cambria"/>
        <family val="1"/>
        <charset val="163"/>
      </rPr>
      <t xml:space="preserve"> ván khuôn kênh Đoạn Km0+300 đến Km0+400</t>
    </r>
  </si>
  <si>
    <r>
      <t>Nghiệm thu</t>
    </r>
    <r>
      <rPr>
        <sz val="13"/>
        <color rgb="FF0000FF"/>
        <rFont val="Cambria"/>
        <family val="1"/>
        <charset val="163"/>
      </rPr>
      <t xml:space="preserve"> Sản xuất, lắp dựng cốt thép kênh Đoạn Km0+300 đến Km0+400</t>
    </r>
  </si>
  <si>
    <r>
      <t>Kiểm tra</t>
    </r>
    <r>
      <rPr>
        <sz val="13"/>
        <color rgb="FF0000FF"/>
        <rFont val="Cambria"/>
        <family val="1"/>
        <charset val="163"/>
      </rPr>
      <t xml:space="preserve"> cốt thép kênh Đoạn Km0+300 đến Km0+400</t>
    </r>
  </si>
  <si>
    <r>
      <t>Nghiệm thu</t>
    </r>
    <r>
      <rPr>
        <sz val="13"/>
        <color rgb="FF0000FF"/>
        <rFont val="Cambria"/>
        <family val="1"/>
        <charset val="163"/>
      </rPr>
      <t xml:space="preserve"> Đào đất hố móng Đoạn Km0+400 đến Km0+500</t>
    </r>
  </si>
  <si>
    <r>
      <t>Kiểm tra</t>
    </r>
    <r>
      <rPr>
        <sz val="13"/>
        <color rgb="FF0000FF"/>
        <rFont val="Cambria"/>
        <family val="1"/>
        <charset val="163"/>
      </rPr>
      <t xml:space="preserve"> cao độ, kích thước hình học hố móng kênh Đoạn Km0+400 đến Km0+500</t>
    </r>
  </si>
  <si>
    <t xml:space="preserve">   - Tập kết vật liệu thi công: Cát vàng, đá 1x2cm, Xi măng, bao tải nhựa đường, Thép các loại </t>
  </si>
  <si>
    <t xml:space="preserve">   - Nghiệm thu Vật liệu thi công: Cát vàng, đá 1x2cm, Xi măng, bao tải nhựa đường, Thép các loại </t>
  </si>
  <si>
    <t xml:space="preserve">   - Đào đất hố móng Đoạn Km0+300 đến Km0+400</t>
  </si>
  <si>
    <t xml:space="preserve">   - Kiểm tra cao độ, kích thước hình học hố móng kênh Đoạn Km0+300 đến Km0+400</t>
  </si>
  <si>
    <t>Thiết bị thi công: Máy trộn vữa; Máy đào</t>
  </si>
  <si>
    <t xml:space="preserve">   - Nghiệm thu Đào đất hố móng Đoạn Km0+300 đến Km0+400</t>
  </si>
  <si>
    <t xml:space="preserve">   - Thi công vữa lót móng M75 Đoạn Km0+300 đến Km0+400</t>
  </si>
  <si>
    <t xml:space="preserve">   - Lấy mẫu thí nghiệm vữa lót móng M75 Đoạn Km0+300 đến Km0+400</t>
  </si>
  <si>
    <t xml:space="preserve">   - Đào đất hố móng Đoạn Km0+400 đến Km0+500</t>
  </si>
  <si>
    <t xml:space="preserve">   - Bảo dưỡng vữa lót móng M75 Đoạn Km0+300 đến Km0+400</t>
  </si>
  <si>
    <t xml:space="preserve">   - Kiểm tra cao độ, kích thước hình học hố móng kênh Đoạn Km0+400 đến Km0+500</t>
  </si>
  <si>
    <t xml:space="preserve">   - Nghiệm thu Đào đất hố móng Đoạn Km0+400 đến Km0+500</t>
  </si>
  <si>
    <t xml:space="preserve">   - Thi công vữa lót móng M75 Đoạn Km0+400 đến Km0+500</t>
  </si>
  <si>
    <t xml:space="preserve">   - Lấy mẫu thí nghiệm vữa lót móng M75 Đoạn Km0+400 đến Km0+500</t>
  </si>
  <si>
    <t xml:space="preserve">   - Đào đất hố móng Đoạn Km0+500 đến Km0+600</t>
  </si>
  <si>
    <t xml:space="preserve">   - Bảo dưỡng vữa lót móng M75 Đoạn Km0+400 đến Km0+500</t>
  </si>
  <si>
    <t xml:space="preserve">   - Kiểm tra cao độ, kích thước hình học hố móng kênh Đoạn Km0+500 đến Km0+600</t>
  </si>
  <si>
    <t xml:space="preserve">   - Nghiệm thu Đào đất hố móng Đoạn Km0+500 đến Km0+600</t>
  </si>
  <si>
    <t xml:space="preserve">   - Thi công vữa lót móng M75 Đoạn Km0+500 đến Km0+600</t>
  </si>
  <si>
    <t xml:space="preserve">   - Lấy mẫu thí nghiệm vữa lót móng M75 Đoạn Km0+500 đến Km0+600</t>
  </si>
  <si>
    <t xml:space="preserve">   - Bảo dưỡng vữa lót móng M75 Đoạn Km0+500 đến Km0+600</t>
  </si>
  <si>
    <t xml:space="preserve">   - Nghiệm thu Vữa lót móng M75 Đoạn Km0+300 đến Km0+400</t>
  </si>
  <si>
    <t xml:space="preserve">   - Sản xuất, lắp dựng cốt thép kênh Đoạn Km0+300 đến Km0+400</t>
  </si>
  <si>
    <t xml:space="preserve">   - Kiểm tra cốt thép kênh Đoạn Km0+300 đến Km0+400</t>
  </si>
  <si>
    <t>Thiết bị thi công: Máy hàn;  Máy vận thăng;  Cần cẩu</t>
  </si>
  <si>
    <t xml:space="preserve">   - Nghiệm thu Sản xuất, lắp dựng cốt thép kênh Đoạn Km0+300 đến Km0+400</t>
  </si>
  <si>
    <t xml:space="preserve">   - Sản xuất, lắp dựng ván khuôn kênh Đoạn Km0+300 đến Km0+400</t>
  </si>
  <si>
    <t xml:space="preserve">   - Kiểm tra ván khuôn kênh Đoạn Km0+300 đến Km0+400</t>
  </si>
  <si>
    <t>Thiết bị thi công: Máy trộn bê tông;  Máy đầm bê tông; Máy cắt uốn cốt thép</t>
  </si>
  <si>
    <t xml:space="preserve">   - Nghiệm thu Sản xuất, lắp dựng ván khuôn kênh Đoạn Km0+300 đến Km0+400</t>
  </si>
  <si>
    <t xml:space="preserve">   - Đổ bê tông kênh M200 đá 1x2cm Đoạn Km0+300 đến Km0+400</t>
  </si>
  <si>
    <t xml:space="preserve">   - Kiểm tra điều kiện đổ bê tông kênh Đoạn Km0+300 đến Km0+400</t>
  </si>
  <si>
    <t xml:space="preserve">   - Theo dõi quá trình đổ bê tông kênh Đoạn Km0+300 đến Km0+400</t>
  </si>
  <si>
    <t xml:space="preserve">   - Lấy mẫu thí nghiệm bê tông kênh M200 đá 1x2cm Đoạn Km0+300 đến Km0+400</t>
  </si>
  <si>
    <t xml:space="preserve">   - Nghiệm thu Vữa lót móng M75 Đoạn Km0+400 đến Km0+500</t>
  </si>
  <si>
    <t xml:space="preserve">   - Sản xuất, lắp dựng cốt thép kênh Đoạn Km0+400 đến Km0+500</t>
  </si>
  <si>
    <t xml:space="preserve">   - Kiểm tra cốt thép kênh Đoạn Km0+400 đến Km0+500</t>
  </si>
  <si>
    <t xml:space="preserve">   - Nghiệm thu Sản xuất, lắp dựng cốt thép kênh Đoạn Km0+400 đến Km0+500</t>
  </si>
  <si>
    <t xml:space="preserve">   - Sản xuất, lắp dựng ván khuôn kênh Đoạn Km0+400 đến Km0+500</t>
  </si>
  <si>
    <t xml:space="preserve">   - Kiểm tra ván khuôn kênh Đoạn Km0+400 đến Km0+500</t>
  </si>
  <si>
    <t xml:space="preserve">   - Nghiệm thu Sản xuất, lắp dựng ván khuôn kênh Đoạn Km0+400 đến Km0+500</t>
  </si>
  <si>
    <t xml:space="preserve">   - Đổ bê tông kênh M200 đá 1x2cm Đoạn Km0+400 đến Km0+500</t>
  </si>
  <si>
    <t xml:space="preserve">   - Kiểm tra điều kiện đổ bê tông kênh Đoạn Km0+400 đến Km0+500</t>
  </si>
  <si>
    <t xml:space="preserve">   - Theo dõi quá trình đổ bê tông kênh Đoạn Km0+400 đến Km0+500</t>
  </si>
  <si>
    <t xml:space="preserve">   - Lấy mẫu thí nghiệm bê tông kênh M200 đá 1x2cm Đoạn Km0+400 đến Km0+500</t>
  </si>
  <si>
    <t xml:space="preserve">   - Nghiệm thu Vữa lót móng M75 Đoạn Km0+500 đến Km0+600</t>
  </si>
  <si>
    <t xml:space="preserve">   - Sản xuất, lắp dựng cốt thép kênh Đoạn Km0+500 đến Km0+600</t>
  </si>
  <si>
    <t xml:space="preserve">   - Kiểm tra cốt thép kênh Đoạn Km0+500 đến Km0+600</t>
  </si>
  <si>
    <t xml:space="preserve">   - Nghiệm thu Sản xuất, lắp dựng cốt thép kênh Đoạn Km0+500 đến Km0+600</t>
  </si>
  <si>
    <t xml:space="preserve">   - Sản xuất, lắp dựng ván khuôn kênh Đoạn Km0+500 đến Km0+600</t>
  </si>
  <si>
    <t xml:space="preserve">   - Kiểm tra ván khuôn kênh Đoạn Km0+500 đến Km0+600</t>
  </si>
  <si>
    <t xml:space="preserve">   - Nghiệm thu Sản xuất, lắp dựng ván khuôn kênh Đoạn Km0+500 đến Km0+600</t>
  </si>
  <si>
    <t xml:space="preserve">   - Đổ bê tông kênh M200 đá 1x2cm Đoạn Km0+500 đến Km0+600</t>
  </si>
  <si>
    <t xml:space="preserve">   - Kiểm tra điều kiện đổ bê tông kênh Đoạn Km0+500 đến Km0+600</t>
  </si>
  <si>
    <t xml:space="preserve">   - Theo dõi quá trình đổ bê tông kênh Đoạn Km0+500 đến Km0+600</t>
  </si>
  <si>
    <t xml:space="preserve">   - Lấy mẫu thí nghiệm bê tông kênh M200 đá 1x2cm Đoạn Km0+500 đến Km0+600</t>
  </si>
  <si>
    <t xml:space="preserve">   - Kiểm tra bề mặt bê tông kênh sau khi tháo ván khuôn Đoạn Km0+300 đến Km0+400</t>
  </si>
  <si>
    <t xml:space="preserve">   - Kiểm tra cao độ, kích thước hình học bê tông kênh Đoạn Km0+300 đến Km0+400</t>
  </si>
  <si>
    <t xml:space="preserve">   - Nghiệm thu Bê tông kênh M200 đá 1x2cm Đoạn Km0+300 đến Km0+400</t>
  </si>
  <si>
    <t xml:space="preserve">   - Đắp đất bờ kênh, độ chặt yêu cầu K=0,85, lớp 1 Đoạn Km0+300 đến Km0+400</t>
  </si>
  <si>
    <t xml:space="preserve">   - Lấy mẫu thí nghiệm  xác định độ chặt Đắp đất bờ kênh, độ chặt yêu cầu K=0,85, lớp 1 Đoạn Km0+300 đến Km0+400</t>
  </si>
  <si>
    <t xml:space="preserve">   - Đắp đất bờ kênh, độ chặt yêu cầu K=0,85, lớp 2 Đoạn Km0+300 đến Km0+400</t>
  </si>
  <si>
    <t xml:space="preserve">   - Kiểm tra bề mặt bê tông kênh sau khi tháo ván khuôn Đoạn Km0+400 đến Km0+500</t>
  </si>
  <si>
    <t xml:space="preserve">   - Kiểm tra cao độ, kích thước hình học bê tông kênh Đoạn Km0+400 đến Km0+500</t>
  </si>
  <si>
    <t xml:space="preserve">Nhân lực: </t>
  </si>
  <si>
    <t xml:space="preserve">   - Lấy mẫu thí nghiệm  xác định độ chặt Đắp đất bờ kênh, độ chặt yêu cầu K=0,85, lớp 2 Đoạn Km0+300 đến Km0+400</t>
  </si>
  <si>
    <t xml:space="preserve">   - Đắp đất bờ kênh, độ chặt yêu cầu K=0,85, lớp 3 Đoạn Km0+300 đến Km0+400</t>
  </si>
  <si>
    <t xml:space="preserve">   - Nghiệm thu Bê tông kênh M200 đá 1x2cm Đoạn Km0+400 đến Km0+500</t>
  </si>
  <si>
    <t xml:space="preserve">   - Đắp đất bờ kênh, độ chặt yêu cầu K=0,85, lớp 1 Đoạn Km0+400 đến Km0+500</t>
  </si>
  <si>
    <t xml:space="preserve">   - Lấy mẫu thí nghiệm  xác định độ chặt Đắp đất bờ kênh, độ chặt yêu cầu K=0,85, lớp 3 Đoạn Km0+300 đến Km0+400</t>
  </si>
  <si>
    <t xml:space="preserve">   - Đắp đất bờ kênh, độ chặt yêu cầu K=0,85, lớp 4 Đoạn Km0+300 đến Km0+400</t>
  </si>
  <si>
    <t xml:space="preserve">   - Lấy mẫu thí nghiệm  xác định độ chặt Đắp đất bờ kênh, độ chặt yêu cầu K=0,85, lớp 1 Đoạn Km0+400 đến Km0+500</t>
  </si>
  <si>
    <t xml:space="preserve">   - Đắp đất bờ kênh, độ chặt yêu cầu K=0,85, lớp 2 Đoạn Km0+400 đến Km0+500</t>
  </si>
  <si>
    <t xml:space="preserve">   - Kiểm tra bề mặt bê tông kênh sau khi tháo ván khuôn Đoạn Km0+500 đến Km0+600</t>
  </si>
  <si>
    <t xml:space="preserve">   - Kiểm tra cao độ, kích thước hình học bê tông kênh Đoạn Km0+500 đến Km0+600</t>
  </si>
  <si>
    <t xml:space="preserve">   - Lấy mẫu thí nghiệm  xác định độ chặt Đắp đất bờ kênh, độ chặt yêu cầu K=0,85, lớp 4 Đoạn Km0+300 đến Km0+400</t>
  </si>
  <si>
    <t xml:space="preserve">   - Lấy mẫu thí nghiệm  xác định độ chặt Đắp đất bờ kênh, độ chặt yêu cầu K=0,85, lớp 2 Đoạn Km0+400 đến Km0+500</t>
  </si>
  <si>
    <t xml:space="preserve">   - Đắp đất bờ kênh, độ chặt yêu cầu K=0,85, lớp 3 Đoạn Km0+400 đến Km0+500</t>
  </si>
  <si>
    <t xml:space="preserve">   - Nghiệm thu Bê tông kênh M200 đá 1x2cm Đoạn Km0+500 đến Km0+600</t>
  </si>
  <si>
    <t xml:space="preserve">   - Đắp đất bờ kênh, độ chặt yêu cầu K=0,85, lớp 1 Đoạn Km0+500 đến Km0+600</t>
  </si>
  <si>
    <t xml:space="preserve">   - Nghiệm thu Đắp đất bờ kênh, độ chặt yêu cầu K=0,85 Đoạn Km0+300 đến Km0+400</t>
  </si>
  <si>
    <t xml:space="preserve">   - Lấy mẫu thí nghiệm  xác định độ chặt Đắp đất bờ kênh, độ chặt yêu cầu K=0,85, lớp 3 Đoạn Km0+400 đến Km0+500</t>
  </si>
  <si>
    <t xml:space="preserve">   - Đắp đất bờ kênh, độ chặt yêu cầu K=0,85, lớp 4 Đoạn Km0+400 đến Km0+500</t>
  </si>
  <si>
    <t xml:space="preserve">   - Lấy mẫu thí nghiệm  xác định độ chặt Đắp đất bờ kênh, độ chặt yêu cầu K=0,85, lớp 1 Đoạn Km0+500 đến Km0+600</t>
  </si>
  <si>
    <t xml:space="preserve">   - Đắp đất bờ kênh, độ chặt yêu cầu K=0,85, lớp 2 Đoạn Km0+500 đến Km0+600</t>
  </si>
  <si>
    <t xml:space="preserve">   - Lấy mẫu thí nghiệm  xác định độ chặt Đắp đất bờ kênh, độ chặt yêu cầu K=0,85, lớp 4 Đoạn Km0+400 đến Km0+500</t>
  </si>
  <si>
    <t xml:space="preserve">   - Lấy mẫu thí nghiệm  xác định độ chặt Đắp đất bờ kênh, độ chặt yêu cầu K=0,85, lớp 2 Đoạn Km0+500 đến Km0+600</t>
  </si>
  <si>
    <t xml:space="preserve">   - Đắp đất bờ kênh, độ chặt yêu cầu K=0,85, lớp 3 Đoạn Km0+500 đến Km0+600</t>
  </si>
  <si>
    <t xml:space="preserve">   - Nghiệm thu Đắp đất bờ kênh, độ chặt yêu cầu K=0,85 Đoạn Km0+400 đến Km0+500</t>
  </si>
  <si>
    <t xml:space="preserve">   - Lấy mẫu thí nghiệm  xác định độ chặt Đắp đất bờ kênh, độ chặt yêu cầu K=0,85, lớp 3 Đoạn Km0+500 đến Km0+600</t>
  </si>
  <si>
    <t xml:space="preserve">   - Đắp đất bờ kênh, độ chặt yêu cầu K=0,85, lớp 4 Đoạn Km0+500 đến Km0+600</t>
  </si>
  <si>
    <t xml:space="preserve">   - Lấy mẫu thí nghiệm  xác định độ chặt Đắp đất bờ kênh, độ chặt yêu cầu K=0,85, lớp 4 Đoạn Km0+500 đến Km0+600</t>
  </si>
  <si>
    <t xml:space="preserve">   - Nghiệm thu Đắp đất bờ kênh, độ chặt yêu cầu K=0,85 Đoạn Km0+500 đến Km0+600</t>
  </si>
  <si>
    <t xml:space="preserve">   - Nghiệm thu Hoàn thành công tác thi công Đoạn Km0+300 đến Km0+600</t>
  </si>
  <si>
    <t xml:space="preserve">   - Công nhân:   35 người;</t>
  </si>
  <si>
    <t xml:space="preserve">     -  Máy trộn vữa</t>
  </si>
  <si>
    <t xml:space="preserve">   - Công nhân:   35 người; </t>
  </si>
  <si>
    <t>Đánh tên máy móc vào bảng này</t>
  </si>
  <si>
    <t>D:\chinh anh\New folder</t>
  </si>
  <si>
    <t>IMG_0888.JPG/CP.1001</t>
  </si>
  <si>
    <t>IMG_0892.JPG/HM2</t>
  </si>
  <si>
    <t>BT.png/HM1</t>
  </si>
  <si>
    <t>14h40-15h20</t>
  </si>
  <si>
    <t xml:space="preserve">14 giờ 40 phút </t>
  </si>
  <si>
    <t xml:space="preserve">15 giờ 20 phút </t>
  </si>
  <si>
    <t>- Phiếu yêu cầu nghiệm thu</t>
  </si>
  <si>
    <t>01/NTVL</t>
  </si>
  <si>
    <t>01/NTCV</t>
  </si>
  <si>
    <t>04/NTCV</t>
  </si>
  <si>
    <t>05/NTCV</t>
  </si>
  <si>
    <t>06/NTCV</t>
  </si>
  <si>
    <t>13/NTCV</t>
  </si>
  <si>
    <t>16/NTCV</t>
  </si>
  <si>
    <t>02/NTCV</t>
  </si>
  <si>
    <t>07/NTCV</t>
  </si>
  <si>
    <t>08/NTCV</t>
  </si>
  <si>
    <t>09/NTCV</t>
  </si>
  <si>
    <t>14/NTCV</t>
  </si>
  <si>
    <t>17/NTCV</t>
  </si>
  <si>
    <t>03/NTCV</t>
  </si>
  <si>
    <t>10/NTCV</t>
  </si>
  <si>
    <t>11/NTCV</t>
  </si>
  <si>
    <t>12/NTCV</t>
  </si>
  <si>
    <t>15/NTCV</t>
  </si>
  <si>
    <t>18/NTCV</t>
  </si>
  <si>
    <t>01/NTHT</t>
  </si>
  <si>
    <t>13h30-14h10</t>
  </si>
  <si>
    <t xml:space="preserve">13 giờ 30 phút </t>
  </si>
  <si>
    <t xml:space="preserve">14 giờ 10 phút </t>
  </si>
  <si>
    <r>
      <t>Kiểm tra</t>
    </r>
    <r>
      <rPr>
        <sz val="13"/>
        <color rgb="FF0000FF"/>
        <rFont val="Cambria"/>
        <family val="1"/>
        <charset val="163"/>
      </rPr>
      <t xml:space="preserve"> cao độ, kích thước hình học bê tông kênh Đoạn Km0+400 đến Km0+500</t>
    </r>
  </si>
  <si>
    <r>
      <t>Kiểm tra</t>
    </r>
    <r>
      <rPr>
        <sz val="13"/>
        <color rgb="FF0000FF"/>
        <rFont val="Cambria"/>
        <family val="1"/>
        <charset val="163"/>
      </rPr>
      <t xml:space="preserve"> bề mặt bê tông kênh sau khi tháo ván khuôn Đoạn Km0+300 đến Km0+400</t>
    </r>
  </si>
  <si>
    <r>
      <t>Kiểm tra</t>
    </r>
    <r>
      <rPr>
        <sz val="13"/>
        <color rgb="FF0000FF"/>
        <rFont val="Cambria"/>
        <family val="1"/>
        <charset val="163"/>
      </rPr>
      <t xml:space="preserve"> ván khuôn kênh Đoạn Km0+500 đến Km0+600</t>
    </r>
  </si>
  <si>
    <r>
      <t>Kiểm tra</t>
    </r>
    <r>
      <rPr>
        <sz val="13"/>
        <color rgb="FF0000FF"/>
        <rFont val="Cambria"/>
        <family val="1"/>
        <charset val="163"/>
      </rPr>
      <t xml:space="preserve"> cốt thép kênh Đoạn Km0+400 đến Km0+500</t>
    </r>
  </si>
  <si>
    <r>
      <t>Kiểm tra</t>
    </r>
    <r>
      <rPr>
        <sz val="13"/>
        <color rgb="FF0000FF"/>
        <rFont val="Cambria"/>
        <family val="1"/>
        <charset val="163"/>
      </rPr>
      <t xml:space="preserve"> cao độ, kích thước hình học hố móng kênh Đoạn Km0+500 đến Km0+600</t>
    </r>
  </si>
  <si>
    <r>
      <t>Kiểm tra</t>
    </r>
    <r>
      <rPr>
        <sz val="13"/>
        <color rgb="FF0000FF"/>
        <rFont val="Cambria"/>
        <family val="1"/>
        <charset val="163"/>
      </rPr>
      <t xml:space="preserve"> cao độ, kích thước hình học hố móng kênh Đoạn Km0+300 đến Km0+400</t>
    </r>
  </si>
  <si>
    <r>
      <t>Kiểm tra</t>
    </r>
    <r>
      <rPr>
        <sz val="13"/>
        <color rgb="FF0000FF"/>
        <rFont val="Cambria"/>
        <family val="1"/>
        <charset val="163"/>
      </rPr>
      <t xml:space="preserve"> điều kiện trước khi thi công </t>
    </r>
  </si>
  <si>
    <r>
      <t>Kiểm tra</t>
    </r>
    <r>
      <rPr>
        <sz val="13"/>
        <color rgb="FF0000FF"/>
        <rFont val="Cambria"/>
        <family val="1"/>
        <charset val="163"/>
      </rPr>
      <t xml:space="preserve"> nhân lực, thiết bị thi công </t>
    </r>
  </si>
  <si>
    <r>
      <t>Kiểm tra</t>
    </r>
    <r>
      <rPr>
        <sz val="13"/>
        <color rgb="FF0000FF"/>
        <rFont val="Cambria"/>
        <family val="1"/>
        <charset val="163"/>
      </rPr>
      <t xml:space="preserve"> phòng thí nghiệm tại hiện trường </t>
    </r>
  </si>
  <si>
    <t xml:space="preserve">   - Vật liệu thi công: Cát vàng, đá 1x2cm, Xi măng, bao tải nhựa đường, Thép các loại </t>
  </si>
  <si>
    <t xml:space="preserve">   - Vữa lót móng M75 Đoạn Km0+300 đến Km0+400</t>
  </si>
  <si>
    <t xml:space="preserve">   - Vữa lót móng M75 Đoạn Km0+400 đến Km0+500</t>
  </si>
  <si>
    <t xml:space="preserve">   - Vữa lót móng M75 Đoạn Km0+500 đến Km0+600</t>
  </si>
  <si>
    <t xml:space="preserve">   - Bê tông kênh M200 đá 1x2cm Đoạn Km0+300 đến Km0+400</t>
  </si>
  <si>
    <t xml:space="preserve">   - Bê tông kênh M200 đá 1x2cm Đoạn Km0+400 đến Km0+500</t>
  </si>
  <si>
    <t xml:space="preserve">   - Bê tông kênh M200 đá 1x2cm Đoạn Km0+500 đến Km0+600</t>
  </si>
  <si>
    <t xml:space="preserve">   - Đắp đất bờ kênh, độ chặt yêu cầu K=0,85 Đoạn Km0+300 đến Km0+400</t>
  </si>
  <si>
    <t xml:space="preserve">   - Đắp đất bờ kênh, độ chặt yêu cầu K=0,85 Đoạn Km0+400 đến Km0+500</t>
  </si>
  <si>
    <t xml:space="preserve">   - Đắp đất bờ kênh, độ chặt yêu cầu K=0,85 Đoạn Km0+500 đến Km0+600</t>
  </si>
  <si>
    <t xml:space="preserve">   - Hoàn thành công tác thi công Đoạn Km0+300 đến Km0+600</t>
  </si>
  <si>
    <r>
      <t>Nghiệm thu</t>
    </r>
    <r>
      <rPr>
        <sz val="13"/>
        <color rgb="FF0000FF"/>
        <rFont val="Cambria"/>
        <family val="1"/>
        <charset val="163"/>
      </rPr>
      <t xml:space="preserve"> Bê tông kênh M200 đá 1x2cm Đoạn Km0+300 đến Km0+400</t>
    </r>
  </si>
  <si>
    <r>
      <t>Nghiệm thu</t>
    </r>
    <r>
      <rPr>
        <sz val="13"/>
        <color rgb="FF0000FF"/>
        <rFont val="Cambria"/>
        <family val="1"/>
        <charset val="163"/>
      </rPr>
      <t xml:space="preserve"> Sản xuất, lắp dựng ván khuôn kênh Đoạn Km0+400 đến Km0+500</t>
    </r>
  </si>
  <si>
    <r>
      <t>Nghiệm thu</t>
    </r>
    <r>
      <rPr>
        <sz val="13"/>
        <color rgb="FF0000FF"/>
        <rFont val="Cambria"/>
        <family val="1"/>
        <charset val="163"/>
      </rPr>
      <t xml:space="preserve"> Vữa lót móng M75 Đoạn Km0+400 đến Km0+500</t>
    </r>
  </si>
  <si>
    <r>
      <t>Nghiệm thu</t>
    </r>
    <r>
      <rPr>
        <sz val="13"/>
        <color rgb="FF0000FF"/>
        <rFont val="Cambria"/>
        <family val="1"/>
        <charset val="163"/>
      </rPr>
      <t xml:space="preserve"> Vữa lót móng M75 Đoạn Km0+300 đến Km0+400</t>
    </r>
  </si>
  <si>
    <r>
      <t>Nghiệm thu</t>
    </r>
    <r>
      <rPr>
        <sz val="13"/>
        <color rgb="FF0000FF"/>
        <rFont val="Cambria"/>
        <family val="1"/>
        <charset val="163"/>
      </rPr>
      <t xml:space="preserve"> Đào đất hố móng Đoạn Km0+500 đến Km0+600</t>
    </r>
  </si>
  <si>
    <r>
      <t>Nghiệm thu</t>
    </r>
    <r>
      <rPr>
        <sz val="13"/>
        <color rgb="FF0000FF"/>
        <rFont val="Cambria"/>
        <family val="1"/>
        <charset val="163"/>
      </rPr>
      <t xml:space="preserve"> Đào đất hố móng Đoạn Km0+300 đến Km0+400</t>
    </r>
  </si>
  <si>
    <r>
      <t>Nghiệm thu</t>
    </r>
    <r>
      <rPr>
        <sz val="13"/>
        <color rgb="FF0000FF"/>
        <rFont val="Cambria"/>
        <family val="1"/>
        <charset val="163"/>
      </rPr>
      <t xml:space="preserve"> Vật liệu thi công: Cát vàng, đá 1x2cm, Xi măng, bao tải nhựa đường, Thép các loại </t>
    </r>
  </si>
  <si>
    <r>
      <t>Nghiệm thu</t>
    </r>
    <r>
      <rPr>
        <sz val="13"/>
        <color rgb="FF0000FF"/>
        <rFont val="Cambria"/>
        <family val="1"/>
        <charset val="163"/>
      </rPr>
      <t xml:space="preserve"> Khép mốc cao độ, tim tuyến, định vị công trình </t>
    </r>
  </si>
  <si>
    <t xml:space="preserve">   - Nghiệm thu Khép mốc cao độ, tim tuyến, định vị công trình </t>
  </si>
  <si>
    <t>8h35</t>
  </si>
  <si>
    <t>10h30-11h10</t>
  </si>
  <si>
    <t xml:space="preserve">10 giờ 30 phút </t>
  </si>
  <si>
    <t xml:space="preserve">11 giờ 10 phút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</si>
</sst>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1010000]d/m/yy;@"/>
    <numFmt numFmtId="165" formatCode="hh&quot;h&quot;mm"/>
    <numFmt numFmtId="166" formatCode="&quot;Ngµy &quot;dd&quot; th¸ng &quot;\ mm&quot; n¨m &quot;yyyy"/>
    <numFmt numFmtId="167" formatCode="&quot;Ngày bắt đầu: &quot;dd/mm/yy"/>
    <numFmt numFmtId="168" formatCode="&quot;Ngày kết thúc: &quot;dd/mm/yy"/>
    <numFmt numFmtId="169" formatCode="#&quot; Ngày&quot;"/>
    <numFmt numFmtId="170" formatCode="[$-F400]h:mm:ss\ AM/PM"/>
    <numFmt numFmtId="171" formatCode="&quot;Ngày: &quot;\ d/m/yyyy"/>
    <numFmt numFmtId="172" formatCode="&quot;§o¹n tuyÕn: Km&quot;\ 0\+000.00"/>
    <numFmt numFmtId="173" formatCode="&quot;- Km&quot;0\+000.00"/>
    <numFmt numFmtId="174" formatCode="0\ &quot;®èt mòi 11.7m;&quot;"/>
    <numFmt numFmtId="175" formatCode="&quot;-  Bắt đầu: ngày&quot;\ d&quot; tháng&quot;\ m&quot; năm&quot;\ yyyy"/>
    <numFmt numFmtId="176" formatCode="&quot;- Kết thúc:ngày &quot;d&quot; tháng &quot;m&quot; năm &quot;yyyy"/>
    <numFmt numFmtId="177" formatCode="0.000"/>
    <numFmt numFmtId="178" formatCode="0.0"/>
    <numFmt numFmtId="179" formatCode="#,##0.0"/>
    <numFmt numFmtId="180" formatCode="&quot;Bến Tre, ngày &quot;d&quot; tháng &quot;m&quot; năm &quot;yyyy"/>
    <numFmt numFmtId="181" formatCode="0\ &quot;®èt mòi 11.55m;&quot;"/>
    <numFmt numFmtId="182" formatCode="0\ &quot;®èt th©n 11.65m&quot;"/>
    <numFmt numFmtId="183" formatCode="h:mm;@"/>
  </numFmts>
  <fonts count="259">
    <font>
      <sz val="13"/>
      <color theme="1"/>
      <name val="Times New Roman"/>
      <family val="2"/>
      <charset val="163"/>
    </font>
    <font>
      <sz val="14"/>
      <color theme="1"/>
      <name val="Times New Roman"/>
      <family val="2"/>
      <charset val="163"/>
    </font>
    <font>
      <sz val="13"/>
      <color theme="1"/>
      <name val="Times New Roman"/>
      <family val="2"/>
      <charset val="163"/>
    </font>
    <font>
      <sz val="18"/>
      <color theme="3"/>
      <name val="Calibri Light"/>
      <family val="2"/>
      <charset val="163"/>
      <scheme val="major"/>
    </font>
    <font>
      <i/>
      <sz val="10"/>
      <color theme="3"/>
      <name val="Times New Roman"/>
      <family val="1"/>
    </font>
    <font>
      <sz val="11"/>
      <name val="Times New Roman"/>
      <family val="1"/>
    </font>
    <font>
      <sz val="10"/>
      <name val="Times New Roman"/>
      <family val="1"/>
    </font>
    <font>
      <i/>
      <sz val="12"/>
      <name val="Times New Roman"/>
      <family val="1"/>
    </font>
    <font>
      <sz val="14"/>
      <name val="Times New Roman"/>
      <family val="1"/>
      <charset val="163"/>
    </font>
    <font>
      <b/>
      <sz val="15"/>
      <color theme="3"/>
      <name val="Times New Roman"/>
      <family val="2"/>
      <charset val="163"/>
    </font>
    <font>
      <b/>
      <sz val="13"/>
      <color theme="3"/>
      <name val="Times New Roman"/>
      <family val="2"/>
      <charset val="163"/>
    </font>
    <font>
      <b/>
      <sz val="18"/>
      <color rgb="FF5D4668"/>
      <name val="co"/>
      <charset val="163"/>
    </font>
    <font>
      <b/>
      <sz val="11"/>
      <color theme="3"/>
      <name val="Cambria"/>
      <family val="1"/>
      <charset val="163"/>
    </font>
    <font>
      <sz val="14"/>
      <color theme="1"/>
      <name val="Times New Roman"/>
      <family val="2"/>
      <charset val="163"/>
    </font>
    <font>
      <b/>
      <sz val="11"/>
      <color theme="1" tint="0.24994659260841701"/>
      <name val="Calibri"/>
      <family val="2"/>
      <scheme val="minor"/>
    </font>
    <font>
      <sz val="11"/>
      <color theme="3"/>
      <name val="Cambria"/>
      <family val="1"/>
      <charset val="163"/>
    </font>
    <font>
      <i/>
      <sz val="11"/>
      <name val="Times New Roman"/>
      <family val="1"/>
    </font>
    <font>
      <b/>
      <sz val="10"/>
      <name val="Times New Roman"/>
      <family val="1"/>
      <charset val="163"/>
    </font>
    <font>
      <b/>
      <i/>
      <sz val="10"/>
      <name val="Times New Roman"/>
      <family val="1"/>
      <charset val="163"/>
    </font>
    <font>
      <b/>
      <sz val="11"/>
      <name val="Times New Roman"/>
      <family val="1"/>
      <charset val="163"/>
    </font>
    <font>
      <b/>
      <sz val="14"/>
      <color theme="1"/>
      <name val="Cambria"/>
      <family val="1"/>
      <charset val="163"/>
    </font>
    <font>
      <sz val="11"/>
      <color theme="1"/>
      <name val="Cambria"/>
      <family val="1"/>
      <charset val="163"/>
    </font>
    <font>
      <sz val="11"/>
      <color theme="1"/>
      <name val="Times New Roman"/>
      <family val="2"/>
      <charset val="163"/>
    </font>
    <font>
      <sz val="13"/>
      <color theme="1"/>
      <name val="Cambria"/>
      <family val="1"/>
      <charset val="163"/>
    </font>
    <font>
      <b/>
      <sz val="13"/>
      <color rgb="FFFF0000"/>
      <name val="Cambria"/>
      <family val="1"/>
      <charset val="163"/>
    </font>
    <font>
      <b/>
      <sz val="13"/>
      <color theme="1"/>
      <name val="Cambria"/>
      <family val="1"/>
      <charset val="163"/>
    </font>
    <font>
      <b/>
      <sz val="11"/>
      <name val="Cambria"/>
      <family val="1"/>
      <charset val="163"/>
    </font>
    <font>
      <b/>
      <sz val="20"/>
      <color rgb="FF002060"/>
      <name val="Cambria"/>
      <family val="1"/>
      <charset val="163"/>
    </font>
    <font>
      <b/>
      <sz val="11"/>
      <color rgb="FF002060"/>
      <name val="Cambria"/>
      <family val="1"/>
      <charset val="163"/>
    </font>
    <font>
      <sz val="13"/>
      <name val="Cambria"/>
      <family val="1"/>
      <charset val="163"/>
    </font>
    <font>
      <b/>
      <sz val="10"/>
      <color rgb="FFFF0000"/>
      <name val="Cambria"/>
      <family val="1"/>
      <charset val="163"/>
    </font>
    <font>
      <b/>
      <sz val="12"/>
      <color rgb="FFFF0000"/>
      <name val="Cambria"/>
      <family val="1"/>
      <charset val="163"/>
    </font>
    <font>
      <sz val="11"/>
      <color theme="1"/>
      <name val="Calibri"/>
      <family val="2"/>
      <charset val="163"/>
    </font>
    <font>
      <sz val="13"/>
      <color indexed="8"/>
      <name val="Times New Roman"/>
      <family val="1"/>
    </font>
    <font>
      <sz val="13"/>
      <name val="Times New Roman"/>
      <family val="1"/>
    </font>
    <font>
      <sz val="10"/>
      <name val="VNI-Times"/>
    </font>
    <font>
      <sz val="10"/>
      <name val="Arial"/>
      <family val="2"/>
    </font>
    <font>
      <sz val="13"/>
      <name val="Times New Roman"/>
      <family val="1"/>
      <charset val="163"/>
    </font>
    <font>
      <b/>
      <i/>
      <sz val="13"/>
      <color theme="1"/>
      <name val="Times New Roman"/>
      <family val="1"/>
      <charset val="163"/>
    </font>
    <font>
      <sz val="10"/>
      <color theme="1"/>
      <name val="Cambria"/>
      <family val="1"/>
      <charset val="163"/>
    </font>
    <font>
      <sz val="11"/>
      <name val="Cambria"/>
      <family val="1"/>
      <charset val="163"/>
    </font>
    <font>
      <b/>
      <sz val="13"/>
      <name val="Times New Roman"/>
      <family val="1"/>
      <charset val="163"/>
    </font>
    <font>
      <sz val="13"/>
      <color theme="1"/>
      <name val="Times New Roman"/>
      <family val="1"/>
      <charset val="163"/>
    </font>
    <font>
      <b/>
      <sz val="13"/>
      <color theme="1"/>
      <name val="Times New Roman"/>
      <family val="1"/>
      <charset val="163"/>
    </font>
    <font>
      <sz val="13"/>
      <color indexed="8"/>
      <name val="Wingdings 2"/>
      <family val="1"/>
      <charset val="2"/>
    </font>
    <font>
      <b/>
      <sz val="13"/>
      <color theme="1"/>
      <name val="Times New Roman"/>
      <family val="2"/>
      <charset val="163"/>
    </font>
    <font>
      <sz val="13"/>
      <name val="Times New Roman"/>
      <family val="2"/>
      <charset val="163"/>
    </font>
    <font>
      <sz val="13"/>
      <color rgb="FF0000FF"/>
      <name val="Times New Roman"/>
      <family val="2"/>
      <charset val="163"/>
    </font>
    <font>
      <b/>
      <sz val="13"/>
      <color theme="4" tint="-0.249977111117893"/>
      <name val="Times New Roman"/>
      <family val="1"/>
    </font>
    <font>
      <i/>
      <sz val="13"/>
      <color theme="0"/>
      <name val="Arial"/>
      <family val="2"/>
      <charset val="163"/>
    </font>
    <font>
      <i/>
      <sz val="13"/>
      <name val="Times New Roman"/>
      <family val="2"/>
      <charset val="163"/>
    </font>
    <font>
      <b/>
      <sz val="13"/>
      <name val="Times New Roman"/>
      <family val="2"/>
      <charset val="163"/>
    </font>
    <font>
      <sz val="13"/>
      <color rgb="FF000099"/>
      <name val="Times New Roman"/>
      <family val="2"/>
      <charset val="163"/>
    </font>
    <font>
      <i/>
      <sz val="13"/>
      <color theme="1"/>
      <name val="Times New Roman"/>
      <family val="2"/>
      <charset val="163"/>
    </font>
    <font>
      <b/>
      <i/>
      <sz val="13"/>
      <name val="Times New Roman"/>
      <family val="2"/>
      <charset val="163"/>
    </font>
    <font>
      <b/>
      <i/>
      <sz val="13"/>
      <color theme="1"/>
      <name val="Times New Roman"/>
      <family val="2"/>
      <charset val="163"/>
    </font>
    <font>
      <sz val="13"/>
      <color theme="0"/>
      <name val="Times New Roman"/>
      <family val="2"/>
      <charset val="163"/>
    </font>
    <font>
      <b/>
      <sz val="13"/>
      <color theme="0"/>
      <name val="Times New Roman"/>
      <family val="2"/>
      <charset val="163"/>
    </font>
    <font>
      <sz val="13"/>
      <color theme="1"/>
      <name val="Times New Roman"/>
      <family val="1"/>
    </font>
    <font>
      <sz val="13"/>
      <color indexed="8"/>
      <name val="Times New Roman"/>
      <family val="2"/>
      <charset val="163"/>
    </font>
    <font>
      <b/>
      <sz val="16"/>
      <color theme="1"/>
      <name val="Times New Roman"/>
      <family val="2"/>
      <charset val="163"/>
    </font>
    <font>
      <sz val="16"/>
      <color theme="1"/>
      <name val="Times New Roman"/>
      <family val="2"/>
      <charset val="163"/>
    </font>
    <font>
      <sz val="13"/>
      <color rgb="FF002060"/>
      <name val="Times New Roman"/>
      <family val="2"/>
      <charset val="163"/>
    </font>
    <font>
      <sz val="13"/>
      <color rgb="FFFF0000"/>
      <name val="Cambria"/>
      <family val="1"/>
      <charset val="163"/>
    </font>
    <font>
      <u/>
      <sz val="13"/>
      <color rgb="FF0000FF"/>
      <name val="Cambria"/>
      <family val="1"/>
      <charset val="163"/>
    </font>
    <font>
      <sz val="13"/>
      <color rgb="FF002060"/>
      <name val="Cambria"/>
      <family val="1"/>
      <charset val="163"/>
    </font>
    <font>
      <b/>
      <i/>
      <sz val="13"/>
      <color theme="1"/>
      <name val="Cambria"/>
      <family val="1"/>
      <charset val="163"/>
    </font>
    <font>
      <b/>
      <sz val="20"/>
      <color theme="1"/>
      <name val="Cambria"/>
      <family val="1"/>
      <charset val="163"/>
    </font>
    <font>
      <b/>
      <sz val="18"/>
      <color theme="1"/>
      <name val="Cambria"/>
      <family val="1"/>
      <charset val="163"/>
    </font>
    <font>
      <b/>
      <sz val="36"/>
      <color theme="1"/>
      <name val="Cambria"/>
      <family val="1"/>
      <charset val="163"/>
    </font>
    <font>
      <sz val="13"/>
      <color theme="1" tint="0.499984740745262"/>
      <name val="Cambria"/>
      <family val="1"/>
      <charset val="163"/>
    </font>
    <font>
      <b/>
      <sz val="16"/>
      <color rgb="FF002060"/>
      <name val="Cambria"/>
      <family val="1"/>
      <charset val="163"/>
    </font>
    <font>
      <b/>
      <sz val="14"/>
      <color rgb="FF002060"/>
      <name val="Cambria"/>
      <family val="1"/>
      <charset val="163"/>
    </font>
    <font>
      <b/>
      <sz val="14"/>
      <color theme="1"/>
      <name val="Times New Roman"/>
      <family val="2"/>
      <charset val="163"/>
    </font>
    <font>
      <b/>
      <sz val="12"/>
      <color theme="1"/>
      <name val="Times New Roman"/>
      <family val="2"/>
      <charset val="163"/>
    </font>
    <font>
      <sz val="12"/>
      <color theme="1"/>
      <name val="Times New Roman"/>
      <family val="2"/>
      <charset val="163"/>
    </font>
    <font>
      <b/>
      <sz val="10"/>
      <color rgb="FFFF0000"/>
      <name val="Times New Roman"/>
      <family val="1"/>
      <charset val="163"/>
    </font>
    <font>
      <sz val="13"/>
      <color theme="3"/>
      <name val="Cambria"/>
      <family val="1"/>
      <charset val="163"/>
    </font>
    <font>
      <sz val="12"/>
      <color theme="1"/>
      <name val="Cambria"/>
      <family val="1"/>
      <charset val="163"/>
    </font>
    <font>
      <sz val="12"/>
      <color theme="3"/>
      <name val="Cambria"/>
      <family val="1"/>
      <charset val="163"/>
    </font>
    <font>
      <sz val="12"/>
      <color rgb="FFFF0000"/>
      <name val="Cambria"/>
      <family val="1"/>
      <charset val="163"/>
    </font>
    <font>
      <u/>
      <sz val="13"/>
      <color theme="10"/>
      <name val="Times New Roman"/>
      <family val="2"/>
      <charset val="163"/>
    </font>
    <font>
      <b/>
      <sz val="13"/>
      <name val="Times New Roman"/>
      <family val="1"/>
    </font>
    <font>
      <i/>
      <sz val="13"/>
      <name val="Times New Roman"/>
      <family val="1"/>
    </font>
    <font>
      <b/>
      <sz val="16"/>
      <name val="Times New Roman"/>
      <family val="1"/>
    </font>
    <font>
      <b/>
      <sz val="13"/>
      <color indexed="8"/>
      <name val="Times New Roman"/>
      <family val="1"/>
    </font>
    <font>
      <i/>
      <sz val="10"/>
      <name val="Times New Roman"/>
      <family val="1"/>
    </font>
    <font>
      <sz val="10"/>
      <color rgb="FF0000FF"/>
      <name val="Times New Roman"/>
      <family val="1"/>
    </font>
    <font>
      <i/>
      <sz val="10"/>
      <color rgb="FF0000FF"/>
      <name val="Times New Roman"/>
      <family val="1"/>
    </font>
    <font>
      <sz val="12"/>
      <color theme="1"/>
      <name val="Times New Roman"/>
      <family val="1"/>
    </font>
    <font>
      <b/>
      <sz val="11"/>
      <color theme="0"/>
      <name val="Calibri"/>
      <family val="2"/>
      <scheme val="minor"/>
    </font>
    <font>
      <b/>
      <sz val="16"/>
      <color theme="1"/>
      <name val="Times New Roman"/>
      <family val="1"/>
    </font>
    <font>
      <i/>
      <sz val="12"/>
      <color theme="1"/>
      <name val="Times New Roman"/>
      <family val="1"/>
    </font>
    <font>
      <b/>
      <sz val="12"/>
      <color theme="1"/>
      <name val="Times New Roman"/>
      <family val="1"/>
    </font>
    <font>
      <sz val="11"/>
      <color theme="0"/>
      <name val="Calibri"/>
      <family val="2"/>
      <scheme val="minor"/>
    </font>
    <font>
      <b/>
      <sz val="13"/>
      <color theme="1"/>
      <name val="Times New Roman"/>
      <family val="1"/>
    </font>
    <font>
      <i/>
      <sz val="13"/>
      <color theme="1"/>
      <name val="Times New Roman"/>
      <family val="1"/>
    </font>
    <font>
      <sz val="12"/>
      <color theme="0"/>
      <name val="Times New Roman"/>
      <family val="1"/>
    </font>
    <font>
      <b/>
      <sz val="16"/>
      <color rgb="FFFF0000"/>
      <name val="Times New Roman"/>
      <family val="1"/>
    </font>
    <font>
      <sz val="10"/>
      <color indexed="8"/>
      <name val="Arial"/>
      <family val="2"/>
    </font>
    <font>
      <sz val="11"/>
      <color indexed="8"/>
      <name val="Calibri"/>
      <family val="2"/>
    </font>
    <font>
      <b/>
      <sz val="10"/>
      <color theme="3"/>
      <name val="Cambria"/>
      <family val="1"/>
      <charset val="163"/>
    </font>
    <font>
      <sz val="13"/>
      <color rgb="FF000000"/>
      <name val="Times New Roman"/>
      <family val="1"/>
    </font>
    <font>
      <sz val="12"/>
      <color indexed="8"/>
      <name val="Times New Roman"/>
      <family val="1"/>
    </font>
    <font>
      <i/>
      <sz val="13"/>
      <color indexed="8"/>
      <name val="Times New Roman"/>
      <family val="1"/>
    </font>
    <font>
      <b/>
      <sz val="16"/>
      <color indexed="8"/>
      <name val="Times New Roman"/>
      <family val="1"/>
    </font>
    <font>
      <i/>
      <sz val="12"/>
      <color indexed="8"/>
      <name val="Times New Roman"/>
      <family val="1"/>
    </font>
    <font>
      <b/>
      <i/>
      <sz val="13"/>
      <color indexed="8"/>
      <name val="Times New Roman"/>
      <family val="1"/>
    </font>
    <font>
      <sz val="13"/>
      <color indexed="8"/>
      <name val="Wingdings"/>
      <charset val="2"/>
    </font>
    <font>
      <sz val="12"/>
      <name val=".VnTime"/>
      <family val="2"/>
    </font>
    <font>
      <b/>
      <sz val="10.5"/>
      <name val="Times New Roman"/>
      <family val="1"/>
    </font>
    <font>
      <b/>
      <sz val="12"/>
      <color indexed="8"/>
      <name val="Times New Roman"/>
      <family val="1"/>
    </font>
    <font>
      <sz val="13"/>
      <color rgb="FF002060"/>
      <name val="Times New Roman"/>
      <family val="1"/>
    </font>
    <font>
      <sz val="13"/>
      <color theme="1" tint="0.499984740745262"/>
      <name val="Times New Roman"/>
      <family val="2"/>
      <charset val="163"/>
    </font>
    <font>
      <b/>
      <sz val="13"/>
      <color rgb="FF000000"/>
      <name val="Times New Roman"/>
      <family val="1"/>
    </font>
    <font>
      <i/>
      <sz val="13"/>
      <name val="Times New Roman"/>
      <family val="1"/>
      <charset val="163"/>
    </font>
    <font>
      <b/>
      <i/>
      <sz val="13"/>
      <color rgb="FF000000"/>
      <name val="Times New Roman"/>
      <family val="1"/>
      <charset val="163"/>
    </font>
    <font>
      <b/>
      <sz val="13"/>
      <color rgb="FF000000"/>
      <name val=".VnTime"/>
      <family val="2"/>
    </font>
    <font>
      <sz val="12"/>
      <color indexed="40"/>
      <name val="Times New Roman"/>
      <family val="1"/>
    </font>
    <font>
      <sz val="13"/>
      <color indexed="8"/>
      <name val="Times New Roman"/>
      <family val="1"/>
      <charset val="163"/>
    </font>
    <font>
      <b/>
      <sz val="13"/>
      <color rgb="FF000000"/>
      <name val=".VnTimeH"/>
      <family val="2"/>
    </font>
    <font>
      <b/>
      <u/>
      <sz val="13"/>
      <color indexed="8"/>
      <name val="Times New Roman"/>
      <family val="1"/>
    </font>
    <font>
      <b/>
      <sz val="13"/>
      <color theme="0"/>
      <name val="Times New Roman"/>
      <family val="1"/>
      <charset val="163"/>
    </font>
    <font>
      <sz val="13"/>
      <color theme="0"/>
      <name val="Times New Roman"/>
      <family val="1"/>
      <charset val="163"/>
    </font>
    <font>
      <sz val="13"/>
      <color rgb="FF207340"/>
      <name val="Cambria"/>
      <family val="1"/>
      <charset val="163"/>
    </font>
    <font>
      <sz val="10"/>
      <name val="Times New Roman"/>
      <family val="2"/>
      <charset val="163"/>
    </font>
    <font>
      <sz val="10"/>
      <color theme="0"/>
      <name val="Times New Roman"/>
      <family val="2"/>
      <charset val="163"/>
    </font>
    <font>
      <i/>
      <sz val="12"/>
      <color rgb="FFFF0000"/>
      <name val="Cambria"/>
      <family val="1"/>
      <charset val="163"/>
    </font>
    <font>
      <sz val="10"/>
      <color theme="3"/>
      <name val="Arial"/>
      <family val="2"/>
    </font>
    <font>
      <b/>
      <sz val="18"/>
      <color theme="1"/>
      <name val="Times New Roman"/>
      <family val="1"/>
    </font>
    <font>
      <b/>
      <u/>
      <sz val="13"/>
      <color theme="1"/>
      <name val="Times New Roman"/>
      <family val="1"/>
    </font>
    <font>
      <b/>
      <i/>
      <sz val="13"/>
      <color theme="1"/>
      <name val="Times New Roman"/>
      <family val="1"/>
    </font>
    <font>
      <b/>
      <sz val="13"/>
      <color rgb="FF0000FF"/>
      <name val="Times New Roman"/>
      <family val="1"/>
    </font>
    <font>
      <i/>
      <sz val="14"/>
      <color theme="1"/>
      <name val="Times New Roman"/>
      <family val="1"/>
    </font>
    <font>
      <b/>
      <sz val="16"/>
      <color rgb="FF000000"/>
      <name val="Times New Roman"/>
      <family val="1"/>
    </font>
    <font>
      <b/>
      <sz val="18"/>
      <color rgb="FF000000"/>
      <name val="Times New Roman"/>
      <family val="1"/>
    </font>
    <font>
      <b/>
      <i/>
      <sz val="13"/>
      <color rgb="FF000000"/>
      <name val="Times New Roman"/>
      <family val="1"/>
    </font>
    <font>
      <sz val="7"/>
      <color theme="1"/>
      <name val="Times New Roman"/>
      <family val="1"/>
    </font>
    <font>
      <sz val="13"/>
      <color rgb="FF0000FF"/>
      <name val="Times New Roman"/>
      <family val="1"/>
    </font>
    <font>
      <b/>
      <sz val="20"/>
      <color theme="1"/>
      <name val="Times New Roman"/>
      <family val="1"/>
    </font>
    <font>
      <sz val="13"/>
      <color rgb="FFFF0000"/>
      <name val="Times New Roman"/>
      <family val="1"/>
    </font>
    <font>
      <b/>
      <i/>
      <sz val="11"/>
      <color theme="3"/>
      <name val="Cambria"/>
      <family val="1"/>
      <charset val="163"/>
    </font>
    <font>
      <i/>
      <sz val="11"/>
      <color rgb="FF5D4668"/>
      <name val="Cambria"/>
      <family val="1"/>
      <charset val="163"/>
    </font>
    <font>
      <b/>
      <sz val="11.5"/>
      <color indexed="8"/>
      <name val="Times New Roman"/>
      <family val="1"/>
    </font>
    <font>
      <sz val="14"/>
      <color rgb="FF0000FF"/>
      <name val="Times New Roman"/>
      <family val="2"/>
      <charset val="163"/>
    </font>
    <font>
      <sz val="14"/>
      <color rgb="FFFF0000"/>
      <name val="Times New Roman"/>
      <family val="2"/>
      <charset val="163"/>
    </font>
    <font>
      <sz val="4"/>
      <color theme="1"/>
      <name val="Times New Roman"/>
      <family val="1"/>
    </font>
    <font>
      <sz val="4"/>
      <color theme="9" tint="-0.249977111117893"/>
      <name val="Times New Roman"/>
      <family val="1"/>
    </font>
    <font>
      <b/>
      <sz val="18"/>
      <color rgb="FF5D4668"/>
      <name val="Times New Roman"/>
      <family val="1"/>
    </font>
    <font>
      <b/>
      <sz val="11"/>
      <color theme="3"/>
      <name val="Times New Roman"/>
      <family val="1"/>
    </font>
    <font>
      <sz val="10"/>
      <color theme="1"/>
      <name val="Times New Roman"/>
      <family val="1"/>
    </font>
    <font>
      <sz val="14"/>
      <color theme="1"/>
      <name val="Times New Roman"/>
      <family val="1"/>
    </font>
    <font>
      <b/>
      <sz val="11"/>
      <color theme="1" tint="0.24994659260841701"/>
      <name val="Times New Roman"/>
      <family val="1"/>
    </font>
    <font>
      <sz val="11"/>
      <color theme="3"/>
      <name val="Times New Roman"/>
      <family val="1"/>
    </font>
    <font>
      <b/>
      <sz val="10"/>
      <color rgb="FF3D0179"/>
      <name val="Times New Roman"/>
      <family val="1"/>
    </font>
    <font>
      <b/>
      <sz val="11"/>
      <color rgb="FF3D0179"/>
      <name val="Times New Roman"/>
      <family val="1"/>
    </font>
    <font>
      <sz val="9"/>
      <color theme="1"/>
      <name val="Times New Roman"/>
      <family val="1"/>
    </font>
    <font>
      <sz val="10"/>
      <color rgb="FF7030A0"/>
      <name val="Times New Roman"/>
      <family val="1"/>
    </font>
    <font>
      <sz val="11"/>
      <color rgb="FF7030A0"/>
      <name val="Times New Roman"/>
      <family val="1"/>
    </font>
    <font>
      <sz val="9"/>
      <color rgb="FF7030A0"/>
      <name val="Times New Roman"/>
      <family val="1"/>
    </font>
    <font>
      <i/>
      <sz val="11"/>
      <color rgb="FF0000FF"/>
      <name val="Times New Roman"/>
      <family val="1"/>
    </font>
    <font>
      <i/>
      <sz val="9"/>
      <color rgb="FF0000FF"/>
      <name val="Times New Roman"/>
      <family val="1"/>
    </font>
    <font>
      <sz val="11"/>
      <color rgb="FF080000"/>
      <name val="Times New Roman"/>
      <family val="1"/>
    </font>
    <font>
      <sz val="9"/>
      <color rgb="FF080000"/>
      <name val="Times New Roman"/>
      <family val="1"/>
    </font>
    <font>
      <sz val="12"/>
      <color rgb="FF080000"/>
      <name val="Times New Roman"/>
      <family val="1"/>
    </font>
    <font>
      <sz val="14"/>
      <name val="Times New Roman"/>
      <family val="1"/>
    </font>
    <font>
      <b/>
      <sz val="9"/>
      <color rgb="FF3D0179"/>
      <name val="Times New Roman"/>
      <family val="1"/>
    </font>
    <font>
      <sz val="10"/>
      <color rgb="FF080000"/>
      <name val="Times New Roman"/>
      <family val="1"/>
    </font>
    <font>
      <sz val="9"/>
      <name val="Times New Roman"/>
      <family val="1"/>
    </font>
    <font>
      <b/>
      <sz val="13"/>
      <color rgb="FFFF0000"/>
      <name val="Times New Roman"/>
      <family val="1"/>
    </font>
    <font>
      <b/>
      <sz val="9"/>
      <color rgb="FFFF0000"/>
      <name val="Times New Roman"/>
      <family val="1"/>
    </font>
    <font>
      <b/>
      <sz val="10"/>
      <color rgb="FFFF0000"/>
      <name val="Times New Roman"/>
      <family val="1"/>
    </font>
    <font>
      <sz val="11"/>
      <color theme="1"/>
      <name val="Times New Roman"/>
      <family val="1"/>
    </font>
    <font>
      <b/>
      <sz val="11"/>
      <color rgb="FFFF0000"/>
      <name val="Times New Roman"/>
      <family val="1"/>
    </font>
    <font>
      <b/>
      <sz val="11"/>
      <color theme="0"/>
      <name val="Cambria"/>
      <family val="1"/>
      <charset val="163"/>
    </font>
    <font>
      <b/>
      <sz val="20"/>
      <color theme="0"/>
      <name val="Cambria"/>
      <family val="1"/>
      <charset val="163"/>
    </font>
    <font>
      <sz val="11"/>
      <color theme="0"/>
      <name val="Cambria"/>
      <family val="1"/>
      <charset val="163"/>
    </font>
    <font>
      <b/>
      <sz val="18"/>
      <color theme="0"/>
      <name val="Cambria"/>
      <family val="1"/>
      <charset val="163"/>
    </font>
    <font>
      <b/>
      <sz val="11"/>
      <color theme="9" tint="0.59999389629810485"/>
      <name val="Cambria"/>
      <family val="1"/>
      <charset val="163"/>
    </font>
    <font>
      <b/>
      <sz val="18"/>
      <color rgb="FF002060"/>
      <name val="Cambria"/>
      <family val="1"/>
      <charset val="163"/>
    </font>
    <font>
      <b/>
      <sz val="16"/>
      <color rgb="FF002060"/>
      <name val="Times New Roman"/>
      <family val="1"/>
      <charset val="163"/>
    </font>
    <font>
      <b/>
      <sz val="11"/>
      <color rgb="FF002060"/>
      <name val="Times New Roman"/>
      <family val="1"/>
      <charset val="163"/>
    </font>
    <font>
      <i/>
      <sz val="13"/>
      <color theme="1"/>
      <name val="Times New Roman"/>
      <family val="1"/>
      <charset val="163"/>
    </font>
    <font>
      <b/>
      <sz val="12"/>
      <color rgb="FF002060"/>
      <name val="Times New Roman"/>
      <family val="1"/>
      <charset val="163"/>
    </font>
    <font>
      <sz val="12"/>
      <color rgb="FF002060"/>
      <name val="Times New Roman"/>
      <family val="1"/>
    </font>
    <font>
      <b/>
      <sz val="16"/>
      <color rgb="FF002060"/>
      <name val="Times New Roman"/>
      <family val="1"/>
    </font>
    <font>
      <b/>
      <sz val="16"/>
      <color theme="1" tint="0.24994659260841701"/>
      <name val="Times New Roman"/>
      <family val="1"/>
    </font>
    <font>
      <b/>
      <sz val="14"/>
      <color theme="1" tint="0.24994659260841701"/>
      <name val="Times New Roman"/>
      <family val="1"/>
    </font>
    <font>
      <sz val="14"/>
      <color theme="1" tint="0.24994659260841701"/>
      <name val="Times New Roman"/>
      <family val="1"/>
    </font>
    <font>
      <sz val="13"/>
      <color theme="1" tint="0.24994659260841701"/>
      <name val="Times New Roman"/>
      <family val="1"/>
    </font>
    <font>
      <i/>
      <sz val="13"/>
      <color indexed="8"/>
      <name val="Wingdings"/>
      <charset val="2"/>
    </font>
    <font>
      <b/>
      <sz val="14"/>
      <color indexed="8"/>
      <name val="Times New Roman"/>
      <family val="1"/>
    </font>
    <font>
      <i/>
      <sz val="10"/>
      <color rgb="FFFF0000"/>
      <name val="Times New Roman"/>
      <family val="1"/>
    </font>
    <font>
      <i/>
      <sz val="11"/>
      <color rgb="FFFF0000"/>
      <name val="Times New Roman"/>
      <family val="1"/>
    </font>
    <font>
      <i/>
      <sz val="9"/>
      <color rgb="FFFF0000"/>
      <name val="Times New Roman"/>
      <family val="1"/>
    </font>
    <font>
      <sz val="10"/>
      <color rgb="FFFF0000"/>
      <name val="Times New Roman"/>
      <family val="1"/>
    </font>
    <font>
      <sz val="13"/>
      <color theme="0" tint="-0.499984740745262"/>
      <name val="Times New Roman"/>
      <family val="2"/>
      <charset val="163"/>
    </font>
    <font>
      <b/>
      <sz val="10"/>
      <color theme="1"/>
      <name val="Times New Roman"/>
      <family val="1"/>
    </font>
    <font>
      <b/>
      <sz val="10"/>
      <name val="Times New Roman"/>
      <family val="1"/>
    </font>
    <font>
      <sz val="13"/>
      <color theme="1" tint="0.34998626667073579"/>
      <name val="Times New Roman"/>
      <family val="2"/>
      <charset val="163"/>
    </font>
    <font>
      <b/>
      <i/>
      <sz val="10"/>
      <color rgb="FF3D0179"/>
      <name val="Times New Roman"/>
      <family val="1"/>
    </font>
    <font>
      <b/>
      <i/>
      <sz val="11"/>
      <color rgb="FF3D0179"/>
      <name val="Times New Roman"/>
      <family val="1"/>
    </font>
    <font>
      <i/>
      <sz val="8"/>
      <color theme="1"/>
      <name val="Times New Roman"/>
      <family val="1"/>
    </font>
    <font>
      <b/>
      <sz val="16"/>
      <color rgb="FFFF0000"/>
      <name val="Cambria"/>
      <family val="1"/>
      <charset val="163"/>
    </font>
    <font>
      <sz val="8"/>
      <name val="Times New Roman"/>
      <family val="2"/>
      <charset val="163"/>
    </font>
    <font>
      <b/>
      <sz val="14"/>
      <color theme="1"/>
      <name val="Times New Roman"/>
      <family val="1"/>
    </font>
    <font>
      <b/>
      <sz val="30"/>
      <color theme="1"/>
      <name val="Times New Roman"/>
      <family val="1"/>
    </font>
    <font>
      <b/>
      <sz val="28"/>
      <color theme="1"/>
      <name val="Times New Roman"/>
      <family val="1"/>
    </font>
    <font>
      <b/>
      <sz val="36"/>
      <color theme="1"/>
      <name val="Times New Roman"/>
      <family val="1"/>
    </font>
    <font>
      <sz val="13"/>
      <color theme="1" tint="0.499984740745262"/>
      <name val="Times New Roman"/>
      <family val="1"/>
    </font>
    <font>
      <sz val="2"/>
      <color theme="1"/>
      <name val="Times New Roman"/>
      <family val="1"/>
    </font>
    <font>
      <b/>
      <sz val="8"/>
      <color theme="1"/>
      <name val="Times New Roman"/>
      <family val="1"/>
    </font>
    <font>
      <b/>
      <i/>
      <sz val="14"/>
      <color theme="1"/>
      <name val="Times New Roman"/>
      <family val="1"/>
    </font>
    <font>
      <sz val="5"/>
      <color theme="1"/>
      <name val="Times New Roman"/>
      <family val="1"/>
    </font>
    <font>
      <sz val="13"/>
      <color theme="1"/>
      <name val="Wingdings"/>
      <charset val="2"/>
    </font>
    <font>
      <sz val="10"/>
      <color theme="0" tint="-0.499984740745262"/>
      <name val="Times New Roman"/>
      <family val="2"/>
      <charset val="163"/>
    </font>
    <font>
      <b/>
      <sz val="13"/>
      <color theme="0" tint="-0.499984740745262"/>
      <name val="Times New Roman"/>
      <family val="1"/>
    </font>
    <font>
      <b/>
      <sz val="18"/>
      <color rgb="FF002060"/>
      <name val="co"/>
      <charset val="163"/>
    </font>
    <font>
      <sz val="7"/>
      <name val="Times New Roman"/>
      <family val="1"/>
    </font>
    <font>
      <sz val="13"/>
      <color theme="1"/>
      <name val=".VnTime"/>
      <family val="2"/>
    </font>
    <font>
      <sz val="14"/>
      <color theme="1"/>
      <name val=".VnTime"/>
      <family val="2"/>
    </font>
    <font>
      <b/>
      <sz val="12"/>
      <color rgb="FF000000"/>
      <name val="Times New Roman"/>
      <family val="1"/>
    </font>
    <font>
      <i/>
      <sz val="13"/>
      <color rgb="FF000000"/>
      <name val="Times New Roman"/>
      <family val="1"/>
    </font>
    <font>
      <sz val="12"/>
      <color rgb="FF000000"/>
      <name val="Times New Roman"/>
      <family val="1"/>
    </font>
    <font>
      <i/>
      <sz val="12"/>
      <color rgb="FF000000"/>
      <name val="Times New Roman"/>
      <family val="1"/>
    </font>
    <font>
      <i/>
      <sz val="12"/>
      <color theme="0"/>
      <name val="Times New Roman"/>
      <family val="1"/>
    </font>
    <font>
      <b/>
      <sz val="14"/>
      <name val="Times New Roman"/>
      <family val="1"/>
    </font>
    <font>
      <b/>
      <sz val="11"/>
      <color rgb="FF0000FF"/>
      <name val="Calibri"/>
      <family val="2"/>
      <scheme val="minor"/>
    </font>
    <font>
      <b/>
      <sz val="13"/>
      <color theme="0"/>
      <name val="Times New Roman"/>
      <family val="1"/>
    </font>
    <font>
      <b/>
      <sz val="13"/>
      <color rgb="FF0000FF"/>
      <name val="Times New Roman"/>
      <family val="2"/>
      <charset val="163"/>
    </font>
    <font>
      <b/>
      <i/>
      <sz val="12"/>
      <color theme="1"/>
      <name val="Times New Roman"/>
      <family val="1"/>
    </font>
    <font>
      <sz val="12"/>
      <color rgb="FFFFFFFF"/>
      <name val="Times New Roman"/>
      <family val="1"/>
    </font>
    <font>
      <b/>
      <sz val="12"/>
      <color theme="1"/>
      <name val="Wingdings"/>
      <charset val="2"/>
    </font>
    <font>
      <b/>
      <u/>
      <sz val="13"/>
      <color rgb="FF000000"/>
      <name val="Times New Roman"/>
      <family val="1"/>
    </font>
    <font>
      <b/>
      <sz val="13"/>
      <color rgb="FF000000"/>
      <name val="Wingdings"/>
      <charset val="2"/>
    </font>
    <font>
      <sz val="8"/>
      <color theme="0" tint="-0.499984740745262"/>
      <name val="Times New Roman"/>
      <family val="2"/>
      <charset val="163"/>
    </font>
    <font>
      <sz val="11"/>
      <color theme="1" tint="0.34998626667073579"/>
      <name val="Times New Roman"/>
      <family val="2"/>
      <charset val="163"/>
    </font>
    <font>
      <sz val="13"/>
      <name val="VNtimes new roman"/>
      <family val="2"/>
    </font>
    <font>
      <sz val="11"/>
      <color theme="1" tint="0.249977111117893"/>
      <name val="Times New Roman"/>
      <family val="2"/>
      <charset val="163"/>
    </font>
    <font>
      <sz val="11"/>
      <color indexed="8"/>
      <name val="Times New Roman"/>
      <family val="1"/>
    </font>
    <font>
      <sz val="9"/>
      <color indexed="9"/>
      <name val="Times New Roman"/>
      <family val="1"/>
    </font>
    <font>
      <b/>
      <sz val="11"/>
      <color rgb="FFFF0000"/>
      <name val="VNtimes new roman"/>
      <family val="2"/>
    </font>
    <font>
      <sz val="12"/>
      <color rgb="FF000099"/>
      <name val="Times New Roman"/>
      <family val="1"/>
    </font>
    <font>
      <sz val="13"/>
      <color rgb="FF000099"/>
      <name val="Times New Roman"/>
      <family val="1"/>
    </font>
    <font>
      <b/>
      <sz val="12"/>
      <color theme="0"/>
      <name val="Cambria"/>
      <family val="1"/>
      <charset val="163"/>
    </font>
    <font>
      <b/>
      <sz val="13"/>
      <color rgb="FF002060"/>
      <name val="Times New Roman"/>
      <family val="1"/>
    </font>
    <font>
      <sz val="8"/>
      <color theme="1" tint="0.249977111117893"/>
      <name val="Times New Roman"/>
      <family val="2"/>
      <charset val="163"/>
    </font>
    <font>
      <sz val="8"/>
      <color theme="1" tint="0.34998626667073579"/>
      <name val="Times New Roman"/>
      <family val="2"/>
      <charset val="163"/>
    </font>
    <font>
      <sz val="12"/>
      <name val="Times New Roman"/>
      <family val="1"/>
    </font>
    <font>
      <b/>
      <i/>
      <sz val="13"/>
      <name val="Times New Roman"/>
      <family val="1"/>
    </font>
    <font>
      <sz val="11"/>
      <color theme="8" tint="-0.499984740745262"/>
      <name val="Times New Roman"/>
      <family val="1"/>
    </font>
    <font>
      <sz val="12"/>
      <color rgb="FF7030A0"/>
      <name val="Times New Roman"/>
      <family val="1"/>
    </font>
    <font>
      <sz val="13"/>
      <color theme="0" tint="-0.499984740745262"/>
      <name val="Times New Roman"/>
      <family val="1"/>
    </font>
    <font>
      <sz val="13"/>
      <color theme="0"/>
      <name val="Cambria"/>
      <family val="1"/>
      <charset val="163"/>
    </font>
    <font>
      <sz val="13"/>
      <color theme="0" tint="-0.499984740745262"/>
      <name val="Cambria"/>
      <family val="1"/>
      <charset val="163"/>
    </font>
    <font>
      <sz val="13"/>
      <color theme="0"/>
      <name val="Times New Roman"/>
      <family val="1"/>
    </font>
    <font>
      <b/>
      <i/>
      <sz val="10"/>
      <color theme="0"/>
      <name val="Times New Roman"/>
      <family val="1"/>
    </font>
    <font>
      <sz val="13"/>
      <color rgb="FF0000FF"/>
      <name val="Cambria"/>
      <family val="1"/>
      <charset val="163"/>
    </font>
    <font>
      <u/>
      <sz val="11"/>
      <name val="Times New Roman"/>
      <family val="1"/>
    </font>
  </fonts>
  <fills count="28">
    <fill>
      <patternFill patternType="none"/>
    </fill>
    <fill>
      <patternFill patternType="gray125"/>
    </fill>
    <fill>
      <patternFill patternType="solid">
        <fgColor theme="0"/>
        <bgColor indexed="64"/>
      </patternFill>
    </fill>
    <fill>
      <patternFill patternType="solid">
        <fgColor theme="0"/>
        <bgColor rgb="FFC5D9F1"/>
      </patternFill>
    </fill>
    <fill>
      <patternFill patternType="solid">
        <fgColor rgb="FFFFFFCC"/>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rgb="FFFFFF00"/>
        <bgColor indexed="64"/>
      </patternFill>
    </fill>
    <fill>
      <patternFill patternType="solid">
        <fgColor theme="1"/>
        <bgColor indexed="64"/>
      </patternFill>
    </fill>
    <fill>
      <patternFill patternType="solid">
        <fgColor indexed="22"/>
        <bgColor indexed="0"/>
      </patternFill>
    </fill>
    <fill>
      <patternFill patternType="solid">
        <fgColor theme="9"/>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FFFF"/>
        <bgColor indexed="64"/>
      </patternFill>
    </fill>
    <fill>
      <patternFill patternType="solid">
        <fgColor theme="7" tint="0.59999389629810485"/>
        <bgColor indexed="64"/>
      </patternFill>
    </fill>
    <fill>
      <patternFill patternType="solid">
        <fgColor theme="1" tint="0.249977111117893"/>
        <bgColor indexed="64"/>
      </patternFill>
    </fill>
  </fills>
  <borders count="1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ck">
        <color theme="4"/>
      </bottom>
      <diagonal/>
    </border>
    <border>
      <left/>
      <right/>
      <top/>
      <bottom style="thick">
        <color theme="4" tint="0.499984740745262"/>
      </bottom>
      <diagonal/>
    </border>
    <border>
      <left/>
      <right/>
      <top style="thin">
        <color rgb="FF5D4668"/>
      </top>
      <bottom style="thin">
        <color rgb="FF5D4668"/>
      </bottom>
      <diagonal/>
    </border>
    <border>
      <left/>
      <right/>
      <top style="thin">
        <color theme="9" tint="-0.24994659260841701"/>
      </top>
      <bottom style="thin">
        <color theme="9" tint="-0.24994659260841701"/>
      </bottom>
      <diagonal/>
    </border>
    <border>
      <left/>
      <right/>
      <top style="thin">
        <color rgb="FF5D4668"/>
      </top>
      <bottom/>
      <diagonal/>
    </border>
    <border>
      <left/>
      <right/>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24994659260841701"/>
      </left>
      <right/>
      <top/>
      <bottom/>
      <diagonal/>
    </border>
    <border>
      <left/>
      <right style="thin">
        <color theme="9" tint="-0.24994659260841701"/>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hair">
        <color theme="9" tint="-0.24994659260841701"/>
      </bottom>
      <diagonal/>
    </border>
    <border>
      <left/>
      <right/>
      <top style="thin">
        <color theme="9" tint="-0.24994659260841701"/>
      </top>
      <bottom style="hair">
        <color theme="9" tint="-0.24994659260841701"/>
      </bottom>
      <diagonal/>
    </border>
    <border>
      <left style="thin">
        <color theme="9" tint="-0.24994659260841701"/>
      </left>
      <right/>
      <top style="hair">
        <color theme="9" tint="-0.24994659260841701"/>
      </top>
      <bottom style="hair">
        <color theme="9" tint="-0.24994659260841701"/>
      </bottom>
      <diagonal/>
    </border>
    <border>
      <left/>
      <right/>
      <top style="hair">
        <color theme="9" tint="-0.24994659260841701"/>
      </top>
      <bottom style="hair">
        <color theme="9" tint="-0.24994659260841701"/>
      </bottom>
      <diagonal/>
    </border>
    <border>
      <left style="thin">
        <color theme="9" tint="-0.24994659260841701"/>
      </left>
      <right/>
      <top style="hair">
        <color theme="9" tint="-0.24994659260841701"/>
      </top>
      <bottom style="thin">
        <color theme="9" tint="-0.24994659260841701"/>
      </bottom>
      <diagonal/>
    </border>
    <border>
      <left/>
      <right/>
      <top style="hair">
        <color theme="9" tint="-0.24994659260841701"/>
      </top>
      <bottom style="thin">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thin">
        <color theme="9" tint="-0.24994659260841701"/>
      </left>
      <right style="thin">
        <color theme="9" tint="-0.24994659260841701"/>
      </right>
      <top/>
      <bottom style="hair">
        <color theme="9" tint="-0.24994659260841701"/>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style="thin">
        <color theme="9" tint="-0.499984740745262"/>
      </right>
      <top/>
      <bottom style="thin">
        <color theme="9" tint="-0.499984740745262"/>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top style="thin">
        <color theme="9" tint="-0.499984740745262"/>
      </top>
      <bottom style="thin">
        <color theme="9" tint="-0.499984740745262"/>
      </bottom>
      <diagonal/>
    </border>
    <border>
      <left/>
      <right/>
      <top style="thin">
        <color rgb="FF5D4668"/>
      </top>
      <bottom style="thin">
        <color theme="9" tint="-0.24994659260841701"/>
      </bottom>
      <diagonal/>
    </border>
    <border>
      <left style="thin">
        <color rgb="FF5D4668"/>
      </left>
      <right/>
      <top style="thin">
        <color rgb="FF5D4668"/>
      </top>
      <bottom/>
      <diagonal/>
    </border>
    <border>
      <left/>
      <right style="thin">
        <color rgb="FF5D4668"/>
      </right>
      <top style="thin">
        <color rgb="FF5D4668"/>
      </top>
      <bottom/>
      <diagonal/>
    </border>
    <border>
      <left/>
      <right/>
      <top/>
      <bottom style="thin">
        <color rgb="FF5D4668"/>
      </bottom>
      <diagonal/>
    </border>
    <border>
      <left/>
      <right/>
      <top/>
      <bottom style="thin">
        <color rgb="FF002060"/>
      </bottom>
      <diagonal/>
    </border>
    <border>
      <left/>
      <right style="thin">
        <color rgb="FF002060"/>
      </right>
      <top/>
      <bottom style="thin">
        <color rgb="FF002060"/>
      </bottom>
      <diagonal/>
    </border>
    <border>
      <left/>
      <right style="thin">
        <color rgb="FF002060"/>
      </right>
      <top/>
      <bottom/>
      <diagonal/>
    </border>
    <border>
      <left/>
      <right/>
      <top style="thin">
        <color rgb="FF002060"/>
      </top>
      <bottom style="thin">
        <color theme="9" tint="-0.24994659260841701"/>
      </bottom>
      <diagonal/>
    </border>
    <border>
      <left/>
      <right/>
      <top style="thin">
        <color rgb="FF002060"/>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9"/>
      </left>
      <right style="thin">
        <color theme="9"/>
      </right>
      <top style="thin">
        <color theme="9"/>
      </top>
      <bottom style="thin">
        <color theme="9"/>
      </bottom>
      <diagonal/>
    </border>
    <border>
      <left style="thin">
        <color theme="9"/>
      </left>
      <right style="thin">
        <color theme="9"/>
      </right>
      <top style="thin">
        <color theme="9" tint="-0.24994659260841701"/>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theme="9"/>
      </left>
      <right style="thin">
        <color theme="9"/>
      </right>
      <top style="thin">
        <color theme="9"/>
      </top>
      <bottom/>
      <diagonal/>
    </border>
    <border>
      <left style="thin">
        <color theme="9" tint="0.39994506668294322"/>
      </left>
      <right style="thin">
        <color theme="9" tint="0.39994506668294322"/>
      </right>
      <top style="thin">
        <color rgb="FF5D4668"/>
      </top>
      <bottom style="thin">
        <color theme="9"/>
      </bottom>
      <diagonal/>
    </border>
    <border>
      <left/>
      <right/>
      <top/>
      <bottom style="hair">
        <color auto="1"/>
      </bottom>
      <diagonal/>
    </border>
    <border>
      <left/>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style="thin">
        <color rgb="FF000000"/>
      </top>
      <bottom/>
      <diagonal/>
    </border>
    <border>
      <left style="thin">
        <color rgb="FF000000"/>
      </left>
      <right style="thin">
        <color rgb="FF000000"/>
      </right>
      <top/>
      <bottom style="hair">
        <color rgb="FF000000"/>
      </bottom>
      <diagonal/>
    </border>
    <border>
      <left/>
      <right/>
      <top/>
      <bottom style="thin">
        <color theme="1" tint="0.499984740745262"/>
      </bottom>
      <diagonal/>
    </border>
    <border>
      <left style="thin">
        <color theme="9"/>
      </left>
      <right style="thin">
        <color theme="9"/>
      </right>
      <top style="thin">
        <color theme="9" tint="-0.24994659260841701"/>
      </top>
      <bottom style="thin">
        <color theme="9"/>
      </bottom>
      <diagonal/>
    </border>
    <border>
      <left style="thin">
        <color auto="1"/>
      </left>
      <right/>
      <top/>
      <bottom/>
      <diagonal/>
    </border>
    <border>
      <left style="thin">
        <color auto="1"/>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hair">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theme="9" tint="-0.24994659260841701"/>
      </right>
      <top style="hair">
        <color theme="9" tint="-0.24994659260841701"/>
      </top>
      <bottom style="thin">
        <color theme="9" tint="-0.24994659260841701"/>
      </bottom>
      <diagonal/>
    </border>
    <border>
      <left/>
      <right style="thin">
        <color theme="9" tint="-0.24994659260841701"/>
      </right>
      <top style="hair">
        <color theme="9" tint="-0.24994659260841701"/>
      </top>
      <bottom style="hair">
        <color theme="9" tint="-0.24994659260841701"/>
      </bottom>
      <diagonal/>
    </border>
    <border>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theme="9" tint="-0.24994659260841701"/>
      </left>
      <right style="thin">
        <color theme="9" tint="-0.24994659260841701"/>
      </right>
      <top style="thin">
        <color theme="9" tint="-0.2499465926084170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theme="9"/>
      </left>
      <right style="thin">
        <color theme="9"/>
      </right>
      <top style="hair">
        <color theme="9"/>
      </top>
      <bottom style="hair">
        <color theme="9"/>
      </bottom>
      <diagonal/>
    </border>
    <border>
      <left style="thin">
        <color theme="9"/>
      </left>
      <right style="thin">
        <color theme="9"/>
      </right>
      <top style="hair">
        <color theme="9"/>
      </top>
      <bottom style="thin">
        <color theme="9"/>
      </bottom>
      <diagonal/>
    </border>
    <border>
      <left style="thin">
        <color rgb="FF002060"/>
      </left>
      <right/>
      <top/>
      <bottom style="thin">
        <color rgb="FF002060"/>
      </bottom>
      <diagonal/>
    </border>
    <border>
      <left style="thin">
        <color rgb="FF002060"/>
      </left>
      <right/>
      <top style="thin">
        <color rgb="FF002060"/>
      </top>
      <bottom/>
      <diagonal/>
    </border>
    <border>
      <left/>
      <right style="thin">
        <color rgb="FF002060"/>
      </right>
      <top style="thin">
        <color rgb="FF002060"/>
      </top>
      <bottom/>
      <diagonal/>
    </border>
    <border>
      <left style="thin">
        <color rgb="FF002060"/>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2060"/>
      </left>
      <right/>
      <top style="thin">
        <color rgb="FF002060"/>
      </top>
      <bottom style="thin">
        <color auto="1"/>
      </bottom>
      <diagonal/>
    </border>
    <border>
      <left/>
      <right style="thin">
        <color rgb="FF002060"/>
      </right>
      <top style="thin">
        <color rgb="FF002060"/>
      </top>
      <bottom style="thin">
        <color auto="1"/>
      </bottom>
      <diagonal/>
    </border>
    <border>
      <left/>
      <right/>
      <top style="thin">
        <color rgb="FF002060"/>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9.9948118533890809E-2"/>
      </left>
      <right/>
      <top/>
      <bottom/>
      <diagonal/>
    </border>
    <border>
      <left/>
      <right style="thin">
        <color theme="2" tint="-9.9948118533890809E-2"/>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theme="9" tint="-0.24994659260841701"/>
      </left>
      <right style="thin">
        <color theme="9" tint="-0.24994659260841701"/>
      </right>
      <top style="hair">
        <color theme="9" tint="-0.24994659260841701"/>
      </top>
      <bottom/>
      <diagonal/>
    </border>
    <border>
      <left style="thin">
        <color theme="9" tint="-0.24994659260841701"/>
      </left>
      <right style="thin">
        <color theme="9" tint="-0.24994659260841701"/>
      </right>
      <top style="hair">
        <color indexed="64"/>
      </top>
      <bottom style="hair">
        <color indexed="64"/>
      </bottom>
      <diagonal/>
    </border>
    <border>
      <left style="thin">
        <color theme="9" tint="-0.24994659260841701"/>
      </left>
      <right style="thin">
        <color theme="9" tint="-0.24994659260841701"/>
      </right>
      <top style="hair">
        <color indexed="64"/>
      </top>
      <bottom/>
      <diagonal/>
    </border>
    <border>
      <left style="thin">
        <color indexed="8"/>
      </left>
      <right style="thin">
        <color indexed="8"/>
      </right>
      <top style="thin">
        <color indexed="8"/>
      </top>
      <bottom style="thin">
        <color indexed="8"/>
      </bottom>
      <diagonal/>
    </border>
    <border>
      <left style="thin">
        <color theme="9"/>
      </left>
      <right/>
      <top style="thin">
        <color theme="9"/>
      </top>
      <bottom style="thin">
        <color theme="9"/>
      </bottom>
      <diagonal/>
    </border>
    <border>
      <left style="thin">
        <color theme="1" tint="0.499984740745262"/>
      </left>
      <right style="thin">
        <color theme="1" tint="0.499984740745262"/>
      </right>
      <top style="thin">
        <color theme="1" tint="0.499984740745262"/>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style="dotted">
        <color auto="1"/>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thin">
        <color rgb="FF5D4668"/>
      </left>
      <right/>
      <top/>
      <bottom/>
      <diagonal/>
    </border>
    <border>
      <left/>
      <right style="thin">
        <color rgb="FF5D4668"/>
      </right>
      <top/>
      <bottom/>
      <diagonal/>
    </border>
    <border>
      <left style="thin">
        <color rgb="FF5D4668"/>
      </left>
      <right/>
      <top/>
      <bottom style="thin">
        <color theme="9" tint="-0.499984740745262"/>
      </bottom>
      <diagonal/>
    </border>
    <border>
      <left/>
      <right/>
      <top/>
      <bottom style="thin">
        <color theme="9" tint="-0.499984740745262"/>
      </bottom>
      <diagonal/>
    </border>
    <border>
      <left/>
      <right style="thin">
        <color rgb="FF5D4668"/>
      </right>
      <top/>
      <bottom style="thin">
        <color theme="9" tint="-0.499984740745262"/>
      </bottom>
      <diagonal/>
    </border>
    <border>
      <left style="thin">
        <color theme="9"/>
      </left>
      <right style="thin">
        <color theme="9"/>
      </right>
      <top style="thin">
        <color theme="9"/>
      </top>
      <bottom style="hair">
        <color theme="9"/>
      </bottom>
      <diagonal/>
    </border>
  </borders>
  <cellStyleXfs count="17">
    <xf numFmtId="0" fontId="0" fillId="0" borderId="0"/>
    <xf numFmtId="0" fontId="3" fillId="0" borderId="0" applyNumberFormat="0" applyFill="0" applyBorder="0" applyAlignment="0" applyProtection="0"/>
    <xf numFmtId="0" fontId="2" fillId="0" borderId="0"/>
    <xf numFmtId="0" fontId="8" fillId="0" borderId="0"/>
    <xf numFmtId="0" fontId="9" fillId="0" borderId="7" applyNumberFormat="0" applyFill="0" applyAlignment="0" applyProtection="0"/>
    <xf numFmtId="0" fontId="10" fillId="0" borderId="8" applyNumberFormat="0" applyFill="0" applyAlignment="0" applyProtection="0"/>
    <xf numFmtId="0" fontId="13" fillId="0" borderId="0"/>
    <xf numFmtId="0" fontId="14" fillId="5" borderId="10" applyNumberFormat="0" applyProtection="0">
      <alignment horizontal="left" vertical="center"/>
    </xf>
    <xf numFmtId="164" fontId="32" fillId="0" borderId="0"/>
    <xf numFmtId="0" fontId="32" fillId="0" borderId="0"/>
    <xf numFmtId="0" fontId="35" fillId="0" borderId="0"/>
    <xf numFmtId="0" fontId="36" fillId="0" borderId="0"/>
    <xf numFmtId="0" fontId="81" fillId="0" borderId="0" applyNumberFormat="0" applyFill="0" applyBorder="0" applyAlignment="0" applyProtection="0"/>
    <xf numFmtId="0" fontId="99" fillId="0" borderId="0"/>
    <xf numFmtId="0" fontId="99" fillId="0" borderId="0"/>
    <xf numFmtId="0" fontId="99" fillId="0" borderId="0"/>
    <xf numFmtId="0" fontId="109" fillId="0" borderId="0"/>
  </cellStyleXfs>
  <cellXfs count="1981">
    <xf numFmtId="0" fontId="0" fillId="0" borderId="0" xfId="0"/>
    <xf numFmtId="0" fontId="4" fillId="3" borderId="0" xfId="1" applyFont="1" applyFill="1" applyBorder="1" applyAlignment="1" applyProtection="1">
      <alignment horizontal="left" vertical="center" wrapText="1"/>
    </xf>
    <xf numFmtId="0" fontId="0" fillId="0" borderId="0" xfId="0" applyAlignment="1">
      <alignment horizontal="center"/>
    </xf>
    <xf numFmtId="0" fontId="15" fillId="0" borderId="14" xfId="4" applyFont="1" applyBorder="1" applyAlignment="1">
      <alignment horizontal="center" vertical="center" wrapText="1"/>
    </xf>
    <xf numFmtId="14" fontId="15" fillId="0" borderId="14" xfId="4" applyNumberFormat="1" applyFont="1" applyBorder="1" applyAlignment="1">
      <alignment horizontal="center" vertical="center" wrapText="1"/>
    </xf>
    <xf numFmtId="0" fontId="7" fillId="2" borderId="0" xfId="0" applyFont="1" applyFill="1" applyBorder="1" applyAlignment="1" applyProtection="1">
      <alignment vertical="top"/>
    </xf>
    <xf numFmtId="0" fontId="4" fillId="3" borderId="0" xfId="1" applyFont="1" applyFill="1" applyBorder="1" applyAlignment="1" applyProtection="1">
      <alignment horizontal="left" vertical="center"/>
    </xf>
    <xf numFmtId="0" fontId="4" fillId="3" borderId="26" xfId="1" applyFont="1" applyFill="1" applyBorder="1" applyAlignment="1" applyProtection="1">
      <alignment horizontal="left" vertical="center" wrapText="1"/>
    </xf>
    <xf numFmtId="0" fontId="4" fillId="3" borderId="28" xfId="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24" xfId="1" applyFont="1" applyFill="1" applyBorder="1" applyAlignment="1" applyProtection="1">
      <alignment horizontal="left" vertical="center" wrapText="1"/>
    </xf>
    <xf numFmtId="0" fontId="4" fillId="3" borderId="35" xfId="1" applyFont="1" applyFill="1" applyBorder="1" applyAlignment="1" applyProtection="1">
      <alignment horizontal="left" vertical="center" wrapText="1"/>
    </xf>
    <xf numFmtId="1" fontId="6" fillId="0" borderId="14" xfId="0" applyNumberFormat="1" applyFont="1" applyFill="1" applyBorder="1" applyAlignment="1" applyProtection="1">
      <alignment vertical="center"/>
      <protection locked="0"/>
    </xf>
    <xf numFmtId="0" fontId="4" fillId="3" borderId="14" xfId="1" applyFont="1" applyFill="1" applyBorder="1" applyAlignment="1" applyProtection="1">
      <alignment horizontal="left" vertical="center"/>
    </xf>
    <xf numFmtId="1" fontId="6" fillId="0" borderId="30" xfId="0" applyNumberFormat="1" applyFont="1" applyFill="1" applyBorder="1" applyAlignment="1" applyProtection="1">
      <alignment horizontal="center" vertical="center" shrinkToFit="1"/>
      <protection locked="0"/>
    </xf>
    <xf numFmtId="1" fontId="6" fillId="0" borderId="29" xfId="0" applyNumberFormat="1" applyFont="1" applyFill="1" applyBorder="1" applyAlignment="1" applyProtection="1">
      <alignment horizontal="center" vertical="center"/>
      <protection locked="0"/>
    </xf>
    <xf numFmtId="1" fontId="6" fillId="0" borderId="35" xfId="0" applyNumberFormat="1" applyFont="1" applyFill="1" applyBorder="1" applyAlignment="1" applyProtection="1">
      <alignment horizontal="center" vertical="center" shrinkToFit="1"/>
      <protection locked="0"/>
    </xf>
    <xf numFmtId="1" fontId="6" fillId="0" borderId="35" xfId="0" applyNumberFormat="1" applyFont="1" applyFill="1" applyBorder="1" applyAlignment="1" applyProtection="1">
      <alignment horizontal="center" vertical="center"/>
      <protection locked="0"/>
    </xf>
    <xf numFmtId="1" fontId="6" fillId="0" borderId="30" xfId="0" applyNumberFormat="1" applyFont="1" applyFill="1" applyBorder="1" applyAlignment="1" applyProtection="1">
      <alignment horizontal="center" vertical="center"/>
      <protection locked="0"/>
    </xf>
    <xf numFmtId="1" fontId="6" fillId="0" borderId="14" xfId="0" applyNumberFormat="1" applyFont="1" applyFill="1" applyBorder="1" applyAlignment="1" applyProtection="1">
      <alignment horizontal="center" vertical="center"/>
      <protection locked="0"/>
    </xf>
    <xf numFmtId="0" fontId="16" fillId="0" borderId="15" xfId="1" applyFont="1" applyFill="1" applyBorder="1" applyAlignment="1" applyProtection="1">
      <alignment horizontal="justify" vertical="center" wrapText="1"/>
      <protection locked="0"/>
    </xf>
    <xf numFmtId="0" fontId="4" fillId="3" borderId="19" xfId="1" applyFont="1" applyFill="1" applyBorder="1" applyAlignment="1" applyProtection="1">
      <alignment horizontal="justify" vertical="center" wrapText="1"/>
    </xf>
    <xf numFmtId="0" fontId="16" fillId="0" borderId="15" xfId="1" applyFont="1" applyFill="1" applyBorder="1" applyAlignment="1" applyProtection="1">
      <alignment horizontal="justify" vertical="center" wrapText="1"/>
    </xf>
    <xf numFmtId="0" fontId="21" fillId="0" borderId="0" xfId="6" applyFont="1" applyAlignment="1">
      <alignment horizontal="center" vertical="center"/>
    </xf>
    <xf numFmtId="0" fontId="21" fillId="0" borderId="0" xfId="6" applyFont="1"/>
    <xf numFmtId="0" fontId="21" fillId="0" borderId="0" xfId="6" applyFont="1" applyAlignment="1">
      <alignment horizontal="center"/>
    </xf>
    <xf numFmtId="0" fontId="21" fillId="0" borderId="0" xfId="6" applyFont="1" applyAlignment="1">
      <alignment horizontal="left"/>
    </xf>
    <xf numFmtId="14" fontId="21" fillId="0" borderId="0" xfId="6" applyNumberFormat="1" applyFont="1"/>
    <xf numFmtId="0" fontId="23" fillId="0" borderId="0" xfId="0" applyFont="1"/>
    <xf numFmtId="0" fontId="23" fillId="0" borderId="0" xfId="0" applyFont="1" applyAlignment="1">
      <alignment vertical="center"/>
    </xf>
    <xf numFmtId="0" fontId="24" fillId="4" borderId="1" xfId="0" applyFont="1" applyFill="1" applyBorder="1" applyAlignment="1">
      <alignment horizontal="center"/>
    </xf>
    <xf numFmtId="0" fontId="23" fillId="0" borderId="5"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0" xfId="0" applyFont="1" applyAlignment="1">
      <alignment horizontal="center"/>
    </xf>
    <xf numFmtId="0" fontId="30" fillId="4" borderId="6" xfId="0" applyFont="1" applyFill="1" applyBorder="1" applyAlignment="1">
      <alignment horizontal="center" vertical="center" wrapText="1"/>
    </xf>
    <xf numFmtId="0" fontId="23" fillId="0" borderId="0" xfId="0" applyFont="1" applyAlignment="1">
      <alignment horizontal="center" vertical="center"/>
    </xf>
    <xf numFmtId="0" fontId="33" fillId="7" borderId="0" xfId="9" applyFont="1" applyFill="1" applyBorder="1"/>
    <xf numFmtId="164" fontId="33" fillId="7" borderId="0" xfId="8" applyFont="1" applyFill="1" applyBorder="1"/>
    <xf numFmtId="0" fontId="34" fillId="7" borderId="0" xfId="9" applyFont="1" applyFill="1" applyBorder="1" applyAlignment="1">
      <alignment horizontal="right"/>
    </xf>
    <xf numFmtId="0" fontId="34" fillId="7" borderId="0" xfId="9" applyFont="1" applyFill="1" applyBorder="1" applyAlignment="1">
      <alignment horizontal="left"/>
    </xf>
    <xf numFmtId="0" fontId="46" fillId="10" borderId="0" xfId="0" applyFont="1" applyFill="1" applyProtection="1"/>
    <xf numFmtId="0" fontId="48" fillId="10" borderId="0" xfId="0" applyFont="1" applyFill="1" applyBorder="1" applyAlignment="1" applyProtection="1">
      <alignment vertical="center" wrapText="1"/>
    </xf>
    <xf numFmtId="0" fontId="46" fillId="0" borderId="0" xfId="0" applyFont="1" applyAlignment="1" applyProtection="1">
      <alignment horizontal="center"/>
      <protection locked="0"/>
    </xf>
    <xf numFmtId="0" fontId="46" fillId="0" borderId="0" xfId="0" applyFont="1" applyProtection="1">
      <protection locked="0"/>
    </xf>
    <xf numFmtId="0" fontId="46" fillId="10" borderId="0" xfId="0" applyFont="1" applyFill="1" applyProtection="1">
      <protection locked="0"/>
    </xf>
    <xf numFmtId="0" fontId="0" fillId="0" borderId="0" xfId="0" applyFont="1" applyAlignment="1" applyProtection="1">
      <protection locked="0"/>
    </xf>
    <xf numFmtId="0" fontId="52" fillId="0" borderId="0" xfId="0" applyFont="1" applyAlignment="1" applyProtection="1">
      <alignment horizontal="center"/>
      <protection locked="0"/>
    </xf>
    <xf numFmtId="0" fontId="46" fillId="0" borderId="0" xfId="0" applyFont="1" applyAlignment="1" applyProtection="1">
      <protection locked="0"/>
    </xf>
    <xf numFmtId="0" fontId="46" fillId="7" borderId="0" xfId="9" applyFont="1" applyFill="1" applyBorder="1" applyAlignment="1">
      <alignment horizontal="right"/>
    </xf>
    <xf numFmtId="0" fontId="46" fillId="7" borderId="0" xfId="9" applyFont="1" applyFill="1" applyBorder="1" applyAlignment="1">
      <alignment horizontal="left"/>
    </xf>
    <xf numFmtId="0" fontId="46" fillId="0" borderId="0" xfId="0" applyFont="1" applyAlignment="1" applyProtection="1">
      <alignment vertical="center"/>
      <protection locked="0"/>
    </xf>
    <xf numFmtId="164" fontId="46" fillId="0" borderId="0" xfId="0" applyNumberFormat="1" applyFont="1" applyProtection="1">
      <protection locked="0"/>
    </xf>
    <xf numFmtId="0" fontId="0" fillId="0" borderId="0" xfId="0" applyFont="1" applyAlignment="1" applyProtection="1">
      <alignment vertical="center"/>
      <protection locked="0"/>
    </xf>
    <xf numFmtId="0" fontId="37" fillId="0" borderId="0" xfId="0" applyFont="1" applyAlignment="1" applyProtection="1">
      <alignment horizontal="left" vertical="center"/>
      <protection locked="0"/>
    </xf>
    <xf numFmtId="0" fontId="56" fillId="10" borderId="0" xfId="0" applyFont="1" applyFill="1" applyProtection="1">
      <protection locked="0"/>
    </xf>
    <xf numFmtId="0" fontId="53" fillId="7" borderId="0" xfId="0" applyFont="1" applyFill="1" applyBorder="1" applyAlignment="1" applyProtection="1">
      <alignment horizontal="right" vertical="center"/>
      <protection locked="0"/>
    </xf>
    <xf numFmtId="0" fontId="45" fillId="7" borderId="0" xfId="0" applyFont="1" applyFill="1" applyBorder="1" applyAlignment="1" applyProtection="1">
      <alignment horizontal="center" vertical="top" wrapText="1"/>
      <protection locked="0"/>
    </xf>
    <xf numFmtId="0" fontId="34" fillId="0" borderId="0" xfId="0" applyFont="1" applyProtection="1">
      <protection locked="0"/>
    </xf>
    <xf numFmtId="0" fontId="58" fillId="0" borderId="0" xfId="0" applyFont="1" applyAlignment="1" applyProtection="1">
      <alignment vertical="center"/>
      <protection locked="0"/>
    </xf>
    <xf numFmtId="164" fontId="59" fillId="7" borderId="0" xfId="8" applyFont="1" applyFill="1" applyBorder="1" applyAlignment="1">
      <alignment horizontal="right"/>
    </xf>
    <xf numFmtId="164" fontId="59" fillId="7" borderId="0" xfId="8" applyFont="1" applyFill="1" applyBorder="1" applyAlignment="1">
      <alignment horizontal="left"/>
    </xf>
    <xf numFmtId="0" fontId="59" fillId="7" borderId="0" xfId="9" applyFont="1" applyFill="1" applyBorder="1"/>
    <xf numFmtId="0" fontId="46" fillId="10" borderId="0" xfId="0" applyFont="1" applyFill="1" applyAlignment="1" applyProtection="1">
      <alignment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left"/>
      <protection locked="0"/>
    </xf>
    <xf numFmtId="0" fontId="46" fillId="0" borderId="0" xfId="0" applyFont="1" applyAlignment="1" applyProtection="1">
      <alignment horizontal="left" vertical="top"/>
      <protection locked="0"/>
    </xf>
    <xf numFmtId="0" fontId="50" fillId="0" borderId="0" xfId="0" quotePrefix="1" applyFont="1" applyAlignment="1" applyProtection="1">
      <protection locked="0"/>
    </xf>
    <xf numFmtId="0" fontId="46" fillId="10" borderId="0" xfId="0" applyFont="1" applyFill="1" applyAlignment="1" applyProtection="1">
      <alignment horizontal="right"/>
    </xf>
    <xf numFmtId="0" fontId="46" fillId="10" borderId="0" xfId="0" applyFont="1" applyFill="1" applyAlignment="1" applyProtection="1">
      <alignment horizontal="right"/>
      <protection locked="0"/>
    </xf>
    <xf numFmtId="0" fontId="56" fillId="10" borderId="0" xfId="0" applyFont="1" applyFill="1" applyAlignment="1" applyProtection="1">
      <alignment horizontal="right"/>
      <protection locked="0"/>
    </xf>
    <xf numFmtId="0" fontId="46" fillId="10" borderId="0" xfId="0" applyFont="1" applyFill="1" applyAlignment="1" applyProtection="1">
      <alignment horizontal="right" vertical="center"/>
      <protection locked="0"/>
    </xf>
    <xf numFmtId="0" fontId="46" fillId="0" borderId="0" xfId="0" applyFont="1" applyAlignment="1" applyProtection="1">
      <alignment horizontal="right"/>
      <protection locked="0"/>
    </xf>
    <xf numFmtId="0" fontId="41" fillId="2" borderId="0" xfId="0" applyFont="1" applyFill="1" applyAlignment="1" applyProtection="1">
      <alignment horizontal="center"/>
      <protection locked="0"/>
    </xf>
    <xf numFmtId="0" fontId="0" fillId="0" borderId="0" xfId="0" applyAlignment="1">
      <alignment wrapText="1"/>
    </xf>
    <xf numFmtId="0" fontId="12" fillId="8" borderId="14" xfId="4" applyFont="1" applyFill="1" applyBorder="1" applyAlignment="1">
      <alignment horizontal="center" vertical="center" wrapText="1"/>
    </xf>
    <xf numFmtId="14" fontId="23" fillId="0" borderId="0" xfId="0" applyNumberFormat="1" applyFont="1"/>
    <xf numFmtId="14" fontId="23" fillId="0" borderId="54" xfId="0" applyNumberFormat="1" applyFont="1" applyFill="1" applyBorder="1"/>
    <xf numFmtId="14" fontId="12" fillId="8" borderId="14" xfId="4" applyNumberFormat="1" applyFont="1" applyFill="1" applyBorder="1" applyAlignment="1">
      <alignment horizontal="center" vertical="center" wrapText="1"/>
    </xf>
    <xf numFmtId="0" fontId="23" fillId="0" borderId="0" xfId="0" applyFont="1" applyFill="1" applyBorder="1"/>
    <xf numFmtId="0" fontId="12" fillId="0" borderId="0" xfId="4" applyFont="1" applyFill="1" applyBorder="1" applyAlignment="1">
      <alignment vertical="top"/>
    </xf>
    <xf numFmtId="14" fontId="26" fillId="8" borderId="57" xfId="4" applyNumberFormat="1" applyFont="1" applyFill="1" applyBorder="1" applyAlignment="1">
      <alignment horizontal="center" vertical="center" wrapText="1"/>
    </xf>
    <xf numFmtId="0" fontId="26" fillId="8" borderId="57" xfId="4" applyFont="1" applyFill="1" applyBorder="1" applyAlignment="1">
      <alignment horizontal="center" vertical="center" wrapText="1"/>
    </xf>
    <xf numFmtId="0" fontId="23" fillId="0" borderId="0" xfId="0" applyFont="1" applyAlignment="1">
      <alignment wrapText="1"/>
    </xf>
    <xf numFmtId="0" fontId="56" fillId="11" borderId="3" xfId="0" applyFont="1" applyFill="1" applyBorder="1"/>
    <xf numFmtId="0" fontId="56" fillId="11" borderId="4" xfId="0" applyFont="1" applyFill="1" applyBorder="1"/>
    <xf numFmtId="0" fontId="23" fillId="9" borderId="0" xfId="0" applyFont="1" applyFill="1"/>
    <xf numFmtId="0" fontId="23" fillId="0" borderId="0" xfId="0" applyFont="1" applyAlignment="1"/>
    <xf numFmtId="0" fontId="23" fillId="0" borderId="0" xfId="0" applyFont="1" applyAlignment="1">
      <alignment vertical="top"/>
    </xf>
    <xf numFmtId="0" fontId="70" fillId="9" borderId="0" xfId="0" applyFont="1" applyFill="1"/>
    <xf numFmtId="0" fontId="23" fillId="9" borderId="0" xfId="0" applyFont="1" applyFill="1" applyAlignment="1">
      <alignment vertical="center"/>
    </xf>
    <xf numFmtId="0" fontId="23" fillId="0" borderId="0" xfId="0" applyFont="1" applyAlignment="1">
      <alignment vertical="center"/>
    </xf>
    <xf numFmtId="0" fontId="23" fillId="0" borderId="0" xfId="0" applyFont="1" applyAlignment="1">
      <alignment vertical="center"/>
    </xf>
    <xf numFmtId="0" fontId="21" fillId="0" borderId="0" xfId="6" applyFont="1" applyAlignment="1"/>
    <xf numFmtId="0" fontId="40" fillId="0" borderId="0" xfId="6" applyFont="1"/>
    <xf numFmtId="0" fontId="21" fillId="0" borderId="0" xfId="6" applyFont="1" applyAlignment="1">
      <alignment horizontal="right"/>
    </xf>
    <xf numFmtId="0" fontId="40" fillId="0" borderId="0" xfId="0" applyFont="1"/>
    <xf numFmtId="0" fontId="21" fillId="0" borderId="0" xfId="0" applyFont="1"/>
    <xf numFmtId="0" fontId="21" fillId="0" borderId="0" xfId="0" applyFont="1" applyBorder="1"/>
    <xf numFmtId="0" fontId="25" fillId="2" borderId="0" xfId="0" applyFont="1" applyFill="1" applyAlignment="1">
      <alignment horizontal="center"/>
    </xf>
    <xf numFmtId="170" fontId="23" fillId="0" borderId="3" xfId="0" applyNumberFormat="1" applyFont="1" applyBorder="1"/>
    <xf numFmtId="170" fontId="29" fillId="11" borderId="3" xfId="0" applyNumberFormat="1" applyFont="1" applyFill="1" applyBorder="1"/>
    <xf numFmtId="170" fontId="23" fillId="11" borderId="3" xfId="0" applyNumberFormat="1" applyFont="1" applyFill="1" applyBorder="1"/>
    <xf numFmtId="170" fontId="23" fillId="0" borderId="4" xfId="0" applyNumberFormat="1" applyFont="1" applyBorder="1"/>
    <xf numFmtId="170" fontId="29" fillId="11" borderId="4" xfId="0" applyNumberFormat="1" applyFont="1" applyFill="1" applyBorder="1"/>
    <xf numFmtId="170" fontId="23" fillId="11" borderId="4" xfId="0" applyNumberFormat="1" applyFont="1" applyFill="1" applyBorder="1"/>
    <xf numFmtId="170" fontId="23" fillId="0" borderId="5" xfId="0" applyNumberFormat="1" applyFont="1" applyBorder="1"/>
    <xf numFmtId="170" fontId="29" fillId="11" borderId="5" xfId="0" applyNumberFormat="1" applyFont="1" applyFill="1" applyBorder="1"/>
    <xf numFmtId="0" fontId="56" fillId="11" borderId="5" xfId="0" applyFont="1" applyFill="1" applyBorder="1"/>
    <xf numFmtId="170" fontId="23" fillId="11" borderId="5" xfId="0" applyNumberFormat="1" applyFont="1" applyFill="1" applyBorder="1"/>
    <xf numFmtId="0" fontId="21" fillId="0" borderId="0" xfId="6" applyFont="1" applyBorder="1" applyAlignment="1">
      <alignment horizontal="center" vertical="center"/>
    </xf>
    <xf numFmtId="0" fontId="40" fillId="0" borderId="0" xfId="0" applyFont="1" applyBorder="1"/>
    <xf numFmtId="0" fontId="15" fillId="12" borderId="14" xfId="4" applyFont="1" applyFill="1" applyBorder="1" applyAlignment="1">
      <alignment horizontal="center" vertical="center" wrapText="1"/>
    </xf>
    <xf numFmtId="170" fontId="15" fillId="12" borderId="14" xfId="4" applyNumberFormat="1" applyFont="1" applyFill="1" applyBorder="1" applyAlignment="1">
      <alignment horizontal="center" vertical="center" wrapText="1"/>
    </xf>
    <xf numFmtId="14" fontId="15" fillId="12" borderId="14" xfId="4" applyNumberFormat="1"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22" fillId="0" borderId="54" xfId="0" applyFont="1" applyFill="1" applyBorder="1" applyAlignment="1">
      <alignment horizontal="center" vertical="center" wrapText="1"/>
    </xf>
    <xf numFmtId="0" fontId="22" fillId="0" borderId="54" xfId="0" applyFont="1" applyFill="1" applyBorder="1" applyAlignment="1">
      <alignment vertical="center" wrapText="1"/>
    </xf>
    <xf numFmtId="0" fontId="0" fillId="0" borderId="0" xfId="0" applyAlignment="1">
      <alignment vertical="top"/>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vertical="center"/>
    </xf>
    <xf numFmtId="14" fontId="0" fillId="0" borderId="0" xfId="0" applyNumberFormat="1"/>
    <xf numFmtId="0" fontId="49" fillId="10" borderId="0" xfId="0" applyNumberFormat="1" applyFont="1" applyFill="1" applyBorder="1" applyAlignment="1" applyProtection="1">
      <alignment horizontal="center" vertical="center" wrapText="1"/>
    </xf>
    <xf numFmtId="0" fontId="12" fillId="6" borderId="0" xfId="4" applyFont="1" applyFill="1" applyBorder="1" applyAlignment="1">
      <alignment vertical="top"/>
    </xf>
    <xf numFmtId="0" fontId="12" fillId="6" borderId="0" xfId="4" applyFont="1" applyFill="1" applyBorder="1" applyAlignment="1">
      <alignment horizontal="left" vertical="top"/>
    </xf>
    <xf numFmtId="0" fontId="12" fillId="6" borderId="0" xfId="4" applyFont="1" applyFill="1" applyBorder="1" applyAlignment="1">
      <alignment horizontal="center" vertical="top"/>
    </xf>
    <xf numFmtId="0" fontId="4" fillId="3" borderId="15" xfId="1" applyFont="1" applyFill="1" applyBorder="1" applyAlignment="1" applyProtection="1">
      <alignment horizontal="justify" vertical="center" wrapText="1"/>
    </xf>
    <xf numFmtId="1" fontId="6" fillId="0" borderId="15" xfId="0" applyNumberFormat="1" applyFont="1" applyFill="1" applyBorder="1" applyAlignment="1" applyProtection="1">
      <alignment vertical="center" wrapText="1"/>
      <protection locked="0"/>
    </xf>
    <xf numFmtId="1" fontId="86" fillId="0" borderId="15" xfId="0" applyNumberFormat="1" applyFont="1" applyFill="1" applyBorder="1" applyAlignment="1" applyProtection="1">
      <alignment horizontal="center" vertical="center" wrapText="1"/>
      <protection locked="0"/>
    </xf>
    <xf numFmtId="1" fontId="6" fillId="0" borderId="35" xfId="0" applyNumberFormat="1" applyFont="1" applyFill="1" applyBorder="1" applyAlignment="1" applyProtection="1">
      <alignment horizontal="left" vertical="center"/>
      <protection locked="0"/>
    </xf>
    <xf numFmtId="1" fontId="6" fillId="0" borderId="29" xfId="0" applyNumberFormat="1" applyFont="1" applyFill="1" applyBorder="1" applyAlignment="1" applyProtection="1">
      <alignment horizontal="left" vertical="center"/>
      <protection locked="0"/>
    </xf>
    <xf numFmtId="0" fontId="4" fillId="3" borderId="35" xfId="1" applyFont="1" applyFill="1" applyBorder="1" applyAlignment="1" applyProtection="1">
      <alignment horizontal="left" vertical="center"/>
    </xf>
    <xf numFmtId="1" fontId="6" fillId="0" borderId="29" xfId="0" applyNumberFormat="1" applyFont="1" applyFill="1" applyBorder="1" applyAlignment="1" applyProtection="1">
      <alignment horizontal="center" vertical="center" shrinkToFit="1"/>
      <protection locked="0"/>
    </xf>
    <xf numFmtId="0" fontId="4" fillId="3" borderId="29" xfId="1" applyFont="1" applyFill="1" applyBorder="1" applyAlignment="1" applyProtection="1">
      <alignment horizontal="left" vertical="center"/>
    </xf>
    <xf numFmtId="14" fontId="87" fillId="0" borderId="15" xfId="0" applyNumberFormat="1" applyFont="1" applyFill="1" applyBorder="1" applyAlignment="1" applyProtection="1">
      <alignment horizontal="center" vertical="center" wrapText="1"/>
      <protection locked="0"/>
    </xf>
    <xf numFmtId="14" fontId="88" fillId="0" borderId="15" xfId="0" applyNumberFormat="1" applyFont="1" applyFill="1" applyBorder="1" applyAlignment="1" applyProtection="1">
      <alignment horizontal="center" vertical="center" wrapText="1"/>
      <protection locked="0"/>
    </xf>
    <xf numFmtId="0" fontId="90" fillId="11" borderId="14" xfId="0" applyFont="1" applyFill="1" applyBorder="1" applyAlignment="1">
      <alignment horizontal="center"/>
    </xf>
    <xf numFmtId="0" fontId="0" fillId="0" borderId="14" xfId="0" applyBorder="1"/>
    <xf numFmtId="0" fontId="81" fillId="0" borderId="14" xfId="12" applyBorder="1" applyAlignment="1">
      <alignment vertical="center" wrapText="1"/>
    </xf>
    <xf numFmtId="0" fontId="92" fillId="13" borderId="0" xfId="0" applyFont="1" applyFill="1" applyAlignment="1">
      <alignment horizontal="center"/>
    </xf>
    <xf numFmtId="14" fontId="92" fillId="13" borderId="0" xfId="0" applyNumberFormat="1" applyFont="1" applyFill="1" applyAlignment="1">
      <alignment horizontal="center"/>
    </xf>
    <xf numFmtId="0" fontId="95" fillId="0" borderId="0" xfId="0" applyFont="1"/>
    <xf numFmtId="0" fontId="97" fillId="0" borderId="0" xfId="0" applyFont="1"/>
    <xf numFmtId="0" fontId="97" fillId="0" borderId="0" xfId="0" applyFont="1" applyAlignment="1">
      <alignment horizontal="center" wrapText="1"/>
    </xf>
    <xf numFmtId="0" fontId="23" fillId="0" borderId="0" xfId="0" applyFont="1" applyAlignment="1">
      <alignment vertical="center"/>
    </xf>
    <xf numFmtId="0" fontId="0" fillId="16" borderId="0" xfId="0" applyFill="1"/>
    <xf numFmtId="0" fontId="0" fillId="16" borderId="0" xfId="0" applyFill="1" applyAlignment="1">
      <alignment horizontal="center" wrapText="1"/>
    </xf>
    <xf numFmtId="0" fontId="95" fillId="16" borderId="0" xfId="0" applyFont="1" applyFill="1"/>
    <xf numFmtId="0" fontId="97" fillId="16" borderId="0" xfId="0" applyFont="1" applyFill="1"/>
    <xf numFmtId="0" fontId="90" fillId="17" borderId="0" xfId="0" applyFont="1" applyFill="1" applyAlignment="1">
      <alignment horizontal="center"/>
    </xf>
    <xf numFmtId="0" fontId="0" fillId="0" borderId="0" xfId="0" applyFont="1" applyAlignment="1" applyProtection="1">
      <alignment horizontal="left"/>
      <protection locked="0"/>
    </xf>
    <xf numFmtId="0" fontId="0" fillId="0" borderId="0" xfId="0" applyFont="1" applyAlignment="1" applyProtection="1">
      <alignment horizontal="center" wrapText="1"/>
      <protection locked="0"/>
    </xf>
    <xf numFmtId="0" fontId="45" fillId="0" borderId="0" xfId="0" applyFont="1" applyAlignment="1" applyProtection="1">
      <alignment horizontal="center" vertical="top" wrapText="1"/>
      <protection locked="0"/>
    </xf>
    <xf numFmtId="0" fontId="45" fillId="0" borderId="0" xfId="0" applyFont="1" applyAlignment="1" applyProtection="1">
      <alignment horizontal="center"/>
      <protection locked="0"/>
    </xf>
    <xf numFmtId="0" fontId="53" fillId="0" borderId="0" xfId="0" applyFont="1" applyAlignment="1" applyProtection="1">
      <alignment horizontal="center" wrapText="1"/>
      <protection locked="0"/>
    </xf>
    <xf numFmtId="0" fontId="0" fillId="0" borderId="0" xfId="0" applyFont="1" applyAlignment="1" applyProtection="1">
      <alignment horizontal="center" vertical="top" wrapText="1"/>
      <protection locked="0"/>
    </xf>
    <xf numFmtId="164" fontId="15" fillId="0" borderId="14" xfId="4" applyNumberFormat="1" applyFont="1" applyBorder="1" applyAlignment="1">
      <alignment horizontal="center" vertical="center" wrapText="1"/>
    </xf>
    <xf numFmtId="164" fontId="15" fillId="0" borderId="14" xfId="4" applyNumberFormat="1" applyFont="1" applyBorder="1" applyAlignment="1">
      <alignment horizontal="right" vertical="center" wrapText="1"/>
    </xf>
    <xf numFmtId="0" fontId="46" fillId="10" borderId="0" xfId="0" applyFont="1" applyFill="1" applyBorder="1" applyAlignment="1" applyProtection="1">
      <alignment horizontal="right"/>
      <protection locked="0"/>
    </xf>
    <xf numFmtId="0" fontId="53" fillId="0" borderId="0" xfId="0" quotePrefix="1" applyFont="1" applyAlignment="1" applyProtection="1">
      <alignment horizontal="justify" vertical="center" wrapText="1"/>
      <protection locked="0"/>
    </xf>
    <xf numFmtId="164" fontId="46" fillId="7" borderId="0" xfId="8" applyFont="1" applyFill="1" applyBorder="1" applyAlignment="1">
      <alignment horizontal="right"/>
    </xf>
    <xf numFmtId="164" fontId="46" fillId="7" borderId="0" xfId="8" applyFont="1" applyFill="1" applyBorder="1"/>
    <xf numFmtId="0" fontId="46" fillId="7" borderId="0" xfId="9" applyFont="1" applyFill="1" applyBorder="1"/>
    <xf numFmtId="164" fontId="46" fillId="7" borderId="0" xfId="8" applyFont="1" applyFill="1" applyBorder="1" applyAlignment="1">
      <alignment horizontal="left"/>
    </xf>
    <xf numFmtId="170" fontId="46" fillId="10" borderId="0" xfId="0" applyNumberFormat="1" applyFont="1" applyFill="1" applyProtection="1">
      <protection locked="0"/>
    </xf>
    <xf numFmtId="16" fontId="46" fillId="10" borderId="0" xfId="0" applyNumberFormat="1" applyFont="1" applyFill="1" applyProtection="1">
      <protection locked="0"/>
    </xf>
    <xf numFmtId="0" fontId="46" fillId="0" borderId="0" xfId="0" applyNumberFormat="1" applyFont="1" applyAlignment="1" applyProtection="1">
      <alignment vertical="center"/>
      <protection locked="0"/>
    </xf>
    <xf numFmtId="170" fontId="46" fillId="10" borderId="0" xfId="0" applyNumberFormat="1" applyFont="1" applyFill="1" applyAlignment="1" applyProtection="1">
      <alignment horizontal="left"/>
      <protection locked="0"/>
    </xf>
    <xf numFmtId="0" fontId="46" fillId="0" borderId="0" xfId="0" applyNumberFormat="1" applyFont="1" applyAlignment="1" applyProtection="1">
      <alignment horizontal="left" vertical="center"/>
      <protection locked="0"/>
    </xf>
    <xf numFmtId="0" fontId="46" fillId="0" borderId="0" xfId="0" applyFont="1" applyAlignment="1" applyProtection="1">
      <alignment horizontal="left" vertical="center"/>
      <protection locked="0"/>
    </xf>
    <xf numFmtId="0" fontId="0" fillId="0" borderId="0" xfId="0" applyFont="1" applyAlignment="1" applyProtection="1">
      <alignment horizontal="left" vertical="center"/>
      <protection locked="0"/>
    </xf>
    <xf numFmtId="0" fontId="45" fillId="0" borderId="0" xfId="0" applyFont="1" applyAlignment="1" applyProtection="1">
      <protection locked="0"/>
    </xf>
    <xf numFmtId="164" fontId="12" fillId="6" borderId="0" xfId="4" applyNumberFormat="1" applyFont="1" applyFill="1" applyBorder="1" applyAlignment="1">
      <alignment horizontal="center" vertical="top"/>
    </xf>
    <xf numFmtId="164" fontId="26" fillId="8" borderId="57" xfId="4" applyNumberFormat="1" applyFont="1" applyFill="1" applyBorder="1" applyAlignment="1">
      <alignment horizontal="center" vertical="center" wrapText="1"/>
    </xf>
    <xf numFmtId="164" fontId="23" fillId="0" borderId="0" xfId="0" applyNumberFormat="1" applyFont="1" applyAlignment="1">
      <alignment wrapText="1"/>
    </xf>
    <xf numFmtId="0" fontId="100" fillId="18" borderId="73" xfId="14" applyFont="1" applyFill="1" applyBorder="1" applyAlignment="1">
      <alignment horizontal="center"/>
    </xf>
    <xf numFmtId="0" fontId="100" fillId="0" borderId="74" xfId="14" applyFont="1" applyFill="1" applyBorder="1" applyAlignment="1">
      <alignment wrapText="1"/>
    </xf>
    <xf numFmtId="0" fontId="100" fillId="18" borderId="73" xfId="15" applyFont="1" applyFill="1" applyBorder="1" applyAlignment="1">
      <alignment horizontal="center" vertical="center"/>
    </xf>
    <xf numFmtId="0" fontId="100" fillId="0" borderId="74" xfId="15" applyFont="1" applyFill="1" applyBorder="1" applyAlignment="1">
      <alignment vertical="center" wrapText="1"/>
    </xf>
    <xf numFmtId="0" fontId="28" fillId="6" borderId="13" xfId="2" applyFont="1" applyFill="1" applyBorder="1" applyAlignment="1">
      <alignment horizontal="center"/>
    </xf>
    <xf numFmtId="0" fontId="23" fillId="0" borderId="53" xfId="0" applyFont="1" applyFill="1" applyBorder="1"/>
    <xf numFmtId="14" fontId="23" fillId="0" borderId="0" xfId="0" applyNumberFormat="1" applyFont="1" applyAlignment="1">
      <alignment wrapText="1"/>
    </xf>
    <xf numFmtId="0" fontId="29" fillId="0" borderId="0" xfId="0" applyFont="1" applyBorder="1"/>
    <xf numFmtId="0" fontId="0" fillId="11" borderId="0" xfId="0" applyFill="1"/>
    <xf numFmtId="0" fontId="0" fillId="11" borderId="0" xfId="0" applyFill="1" applyAlignment="1">
      <alignment horizontal="center" wrapText="1"/>
    </xf>
    <xf numFmtId="0" fontId="97" fillId="11" borderId="0" xfId="0" applyFont="1" applyFill="1"/>
    <xf numFmtId="0" fontId="95" fillId="11" borderId="0" xfId="0" applyFont="1" applyFill="1"/>
    <xf numFmtId="0" fontId="29" fillId="0" borderId="52" xfId="0" applyFont="1" applyFill="1" applyBorder="1" applyAlignment="1">
      <alignment horizontal="center" vertical="center" wrapText="1"/>
    </xf>
    <xf numFmtId="0" fontId="29" fillId="0" borderId="52" xfId="0" applyFont="1" applyFill="1" applyBorder="1" applyAlignment="1">
      <alignment vertical="center" wrapText="1"/>
    </xf>
    <xf numFmtId="0" fontId="63" fillId="0" borderId="0" xfId="0" applyFont="1" applyAlignment="1">
      <alignment vertical="center"/>
    </xf>
    <xf numFmtId="0" fontId="22" fillId="0" borderId="53" xfId="0" applyFont="1" applyFill="1" applyBorder="1" applyAlignment="1">
      <alignment horizontal="center" vertical="center" wrapText="1"/>
    </xf>
    <xf numFmtId="0" fontId="22" fillId="0" borderId="53" xfId="0" applyFont="1" applyFill="1" applyBorder="1" applyAlignment="1">
      <alignment vertical="center" wrapText="1"/>
    </xf>
    <xf numFmtId="0" fontId="22" fillId="0" borderId="55" xfId="0" applyFont="1" applyFill="1" applyBorder="1" applyAlignment="1">
      <alignment horizontal="center" vertical="center" wrapText="1"/>
    </xf>
    <xf numFmtId="0" fontId="22" fillId="0" borderId="55" xfId="0" applyFont="1" applyFill="1" applyBorder="1" applyAlignment="1">
      <alignment vertical="center" wrapText="1"/>
    </xf>
    <xf numFmtId="0" fontId="89" fillId="0" borderId="0" xfId="0" applyFont="1"/>
    <xf numFmtId="0" fontId="89" fillId="0" borderId="0" xfId="0" applyFont="1" applyAlignment="1">
      <alignment horizontal="center"/>
    </xf>
    <xf numFmtId="0" fontId="78" fillId="0" borderId="0" xfId="0" applyFont="1" applyBorder="1" applyAlignment="1">
      <alignment vertical="center" wrapText="1"/>
    </xf>
    <xf numFmtId="0" fontId="78" fillId="0" borderId="0" xfId="0" applyFont="1" applyBorder="1" applyAlignment="1">
      <alignment horizontal="justify" vertical="top" wrapText="1"/>
    </xf>
    <xf numFmtId="0" fontId="33" fillId="0" borderId="0" xfId="0" applyFont="1" applyAlignment="1">
      <alignment vertical="center"/>
    </xf>
    <xf numFmtId="0" fontId="103" fillId="0" borderId="0" xfId="0" applyFont="1" applyAlignment="1">
      <alignment vertical="center"/>
    </xf>
    <xf numFmtId="0" fontId="34" fillId="0" borderId="0" xfId="0" applyFont="1" applyBorder="1" applyAlignment="1">
      <alignment vertical="center"/>
    </xf>
    <xf numFmtId="0" fontId="85" fillId="0" borderId="0" xfId="0" applyFont="1" applyAlignment="1">
      <alignment horizontal="right" vertical="center"/>
    </xf>
    <xf numFmtId="0" fontId="85" fillId="0" borderId="0" xfId="0" applyFont="1" applyAlignment="1">
      <alignment vertical="center"/>
    </xf>
    <xf numFmtId="172" fontId="33" fillId="0" borderId="0" xfId="0" applyNumberFormat="1" applyFont="1" applyAlignment="1">
      <alignment vertical="center"/>
    </xf>
    <xf numFmtId="173" fontId="33" fillId="0" borderId="0" xfId="0" applyNumberFormat="1" applyFont="1" applyAlignment="1">
      <alignment vertical="center"/>
    </xf>
    <xf numFmtId="0" fontId="33" fillId="0" borderId="0" xfId="0" quotePrefix="1" applyFont="1" applyAlignment="1">
      <alignment vertical="center"/>
    </xf>
    <xf numFmtId="174" fontId="33" fillId="0" borderId="0" xfId="0" applyNumberFormat="1" applyFont="1" applyAlignment="1">
      <alignment vertical="center"/>
    </xf>
    <xf numFmtId="0" fontId="33" fillId="0" borderId="0" xfId="0" applyFont="1"/>
    <xf numFmtId="0" fontId="103" fillId="0" borderId="0" xfId="0" applyFont="1"/>
    <xf numFmtId="0" fontId="107" fillId="0" borderId="0" xfId="0" applyFont="1" applyAlignment="1">
      <alignment vertical="center"/>
    </xf>
    <xf numFmtId="0" fontId="103" fillId="0" borderId="0" xfId="0" applyFont="1" applyBorder="1" applyAlignment="1">
      <alignment vertical="center"/>
    </xf>
    <xf numFmtId="0" fontId="85" fillId="0" borderId="1" xfId="0" applyFont="1" applyBorder="1" applyAlignment="1">
      <alignment vertical="center"/>
    </xf>
    <xf numFmtId="0" fontId="33" fillId="0" borderId="2" xfId="0" quotePrefix="1" applyFont="1" applyBorder="1" applyAlignment="1">
      <alignment horizontal="center" vertical="center"/>
    </xf>
    <xf numFmtId="2" fontId="108" fillId="0" borderId="2" xfId="0" applyNumberFormat="1" applyFont="1" applyBorder="1" applyAlignment="1">
      <alignment horizontal="center" vertical="center"/>
    </xf>
    <xf numFmtId="0" fontId="33" fillId="0" borderId="2" xfId="0" applyFont="1" applyBorder="1" applyAlignment="1">
      <alignment horizontal="center" vertical="center"/>
    </xf>
    <xf numFmtId="0" fontId="33" fillId="0" borderId="3" xfId="0" quotePrefix="1" applyFont="1" applyBorder="1" applyAlignment="1">
      <alignment horizontal="center" vertical="center"/>
    </xf>
    <xf numFmtId="2" fontId="108" fillId="0" borderId="3" xfId="0" applyNumberFormat="1" applyFont="1" applyBorder="1" applyAlignment="1">
      <alignment horizontal="center" vertical="center"/>
    </xf>
    <xf numFmtId="0" fontId="33" fillId="0" borderId="3" xfId="0" applyFont="1" applyBorder="1" applyAlignment="1">
      <alignment horizontal="center" vertical="center"/>
    </xf>
    <xf numFmtId="0" fontId="33" fillId="0" borderId="4" xfId="0" quotePrefix="1" applyFont="1" applyBorder="1" applyAlignment="1">
      <alignment horizontal="center" vertical="center"/>
    </xf>
    <xf numFmtId="0" fontId="33" fillId="0" borderId="4" xfId="0" applyFont="1" applyBorder="1" applyAlignment="1">
      <alignment horizontal="center" vertical="center"/>
    </xf>
    <xf numFmtId="0" fontId="85" fillId="0" borderId="0" xfId="0" quotePrefix="1" applyFont="1" applyAlignment="1">
      <alignment horizontal="right" vertical="center"/>
    </xf>
    <xf numFmtId="0" fontId="33" fillId="0" borderId="0" xfId="0" applyFont="1" applyBorder="1" applyAlignment="1">
      <alignment vertical="center"/>
    </xf>
    <xf numFmtId="0" fontId="33" fillId="0" borderId="0" xfId="0" applyFont="1" applyBorder="1" applyAlignment="1"/>
    <xf numFmtId="0" fontId="85" fillId="0" borderId="0" xfId="0" applyFont="1" applyBorder="1" applyAlignment="1">
      <alignment horizontal="center" vertical="center"/>
    </xf>
    <xf numFmtId="0" fontId="0" fillId="9" borderId="0" xfId="0" applyFill="1"/>
    <xf numFmtId="0" fontId="46" fillId="11" borderId="0" xfId="0" applyFont="1" applyFill="1" applyProtection="1">
      <protection locked="0"/>
    </xf>
    <xf numFmtId="0" fontId="43" fillId="2" borderId="0" xfId="0" applyFont="1" applyFill="1" applyAlignment="1">
      <alignment horizontal="center"/>
    </xf>
    <xf numFmtId="0" fontId="34" fillId="0" borderId="0" xfId="0" applyFont="1" applyAlignment="1">
      <alignment vertical="center"/>
    </xf>
    <xf numFmtId="0" fontId="82" fillId="0" borderId="0" xfId="0" applyFont="1" applyBorder="1" applyAlignment="1">
      <alignment vertical="center"/>
    </xf>
    <xf numFmtId="0" fontId="113" fillId="14" borderId="0" xfId="0" applyFont="1" applyFill="1"/>
    <xf numFmtId="0" fontId="82" fillId="0" borderId="0" xfId="2" applyFont="1" applyBorder="1" applyAlignment="1">
      <alignment horizontal="center" vertical="center"/>
    </xf>
    <xf numFmtId="0" fontId="113" fillId="14" borderId="0" xfId="0" applyFont="1" applyFill="1" applyAlignment="1" applyProtection="1">
      <alignment horizontal="center"/>
      <protection locked="0"/>
    </xf>
    <xf numFmtId="0" fontId="102" fillId="0" borderId="0" xfId="2" quotePrefix="1" applyNumberFormat="1" applyFont="1" applyAlignment="1">
      <alignment vertical="center"/>
    </xf>
    <xf numFmtId="0" fontId="34" fillId="0" borderId="0" xfId="10" applyFont="1" applyFill="1" applyBorder="1" applyAlignment="1">
      <alignment vertical="center"/>
    </xf>
    <xf numFmtId="0" fontId="114" fillId="0" borderId="0" xfId="2" applyNumberFormat="1" applyFont="1" applyAlignment="1">
      <alignment vertical="center"/>
    </xf>
    <xf numFmtId="0" fontId="82" fillId="0" borderId="0" xfId="10" applyFont="1" applyFill="1" applyBorder="1" applyAlignment="1">
      <alignment vertical="center"/>
    </xf>
    <xf numFmtId="0" fontId="117" fillId="0" borderId="0" xfId="2" applyFont="1"/>
    <xf numFmtId="0" fontId="102" fillId="0" borderId="0" xfId="2" quotePrefix="1" applyNumberFormat="1" applyFont="1" applyAlignment="1"/>
    <xf numFmtId="0" fontId="34" fillId="0" borderId="0" xfId="10" applyFont="1" applyFill="1" applyBorder="1"/>
    <xf numFmtId="0" fontId="82" fillId="0" borderId="0" xfId="10" applyFont="1" applyFill="1" applyBorder="1"/>
    <xf numFmtId="0" fontId="37" fillId="0" borderId="0" xfId="10" applyFont="1" applyFill="1"/>
    <xf numFmtId="0" fontId="82" fillId="0" borderId="0" xfId="10" applyFont="1" applyFill="1"/>
    <xf numFmtId="0" fontId="82" fillId="0" borderId="0" xfId="2" applyFont="1" applyFill="1" applyBorder="1" applyAlignment="1">
      <alignment vertical="center"/>
    </xf>
    <xf numFmtId="164" fontId="33" fillId="7" borderId="0" xfId="8" applyFont="1" applyFill="1" applyBorder="1" applyAlignment="1">
      <alignment horizontal="left"/>
    </xf>
    <xf numFmtId="0" fontId="82" fillId="0" borderId="0" xfId="10" applyFont="1" applyFill="1" applyAlignment="1">
      <alignment vertical="center"/>
    </xf>
    <xf numFmtId="0" fontId="34" fillId="0" borderId="0" xfId="10" applyFont="1" applyFill="1" applyAlignment="1">
      <alignment vertical="center"/>
    </xf>
    <xf numFmtId="164" fontId="103" fillId="7" borderId="0" xfId="8" applyFont="1" applyFill="1" applyBorder="1"/>
    <xf numFmtId="164" fontId="33" fillId="0" borderId="0" xfId="8" quotePrefix="1" applyNumberFormat="1" applyFont="1" applyBorder="1"/>
    <xf numFmtId="165" fontId="118" fillId="7" borderId="0" xfId="8" applyNumberFormat="1" applyFont="1" applyFill="1" applyBorder="1" applyAlignment="1">
      <alignment horizontal="center"/>
    </xf>
    <xf numFmtId="166" fontId="118" fillId="7" borderId="0" xfId="8" applyNumberFormat="1" applyFont="1" applyFill="1" applyBorder="1" applyAlignment="1">
      <alignment horizontal="center"/>
    </xf>
    <xf numFmtId="164" fontId="119" fillId="0" borderId="0" xfId="8" quotePrefix="1" applyNumberFormat="1" applyFont="1" applyBorder="1"/>
    <xf numFmtId="0" fontId="120" fillId="0" borderId="0" xfId="2" applyFont="1" applyAlignment="1">
      <alignment vertical="center"/>
    </xf>
    <xf numFmtId="0" fontId="120" fillId="0" borderId="0" xfId="2" applyFont="1" applyAlignment="1">
      <alignment horizontal="center" vertical="center"/>
    </xf>
    <xf numFmtId="0" fontId="85" fillId="0" borderId="0" xfId="0" applyFont="1" applyBorder="1" applyAlignment="1">
      <alignment vertical="center"/>
    </xf>
    <xf numFmtId="0" fontId="105" fillId="0" borderId="0" xfId="0" applyFont="1" applyAlignment="1">
      <alignment vertical="center" wrapText="1"/>
    </xf>
    <xf numFmtId="181" fontId="33" fillId="0" borderId="0" xfId="0" applyNumberFormat="1" applyFont="1" applyAlignment="1">
      <alignment vertical="center"/>
    </xf>
    <xf numFmtId="182" fontId="33" fillId="0" borderId="0" xfId="0" applyNumberFormat="1" applyFont="1" applyAlignment="1">
      <alignment vertical="center"/>
    </xf>
    <xf numFmtId="0" fontId="33" fillId="0" borderId="0" xfId="0" quotePrefix="1" applyFont="1"/>
    <xf numFmtId="0" fontId="85" fillId="0" borderId="85" xfId="0" applyFont="1" applyBorder="1" applyAlignment="1">
      <alignment horizontal="center" vertical="center" wrapText="1"/>
    </xf>
    <xf numFmtId="0" fontId="85" fillId="0" borderId="85" xfId="0" applyFont="1" applyBorder="1" applyAlignment="1">
      <alignment horizontal="center" vertical="center"/>
    </xf>
    <xf numFmtId="0" fontId="108" fillId="0" borderId="3" xfId="0" applyFont="1" applyBorder="1" applyAlignment="1">
      <alignment horizontal="center" vertical="center"/>
    </xf>
    <xf numFmtId="2" fontId="108" fillId="0" borderId="4" xfId="0" applyNumberFormat="1" applyFont="1" applyBorder="1" applyAlignment="1">
      <alignment horizontal="center" vertical="center"/>
    </xf>
    <xf numFmtId="0" fontId="111" fillId="0" borderId="0" xfId="0" applyFont="1" applyAlignment="1">
      <alignment vertical="center"/>
    </xf>
    <xf numFmtId="0" fontId="107" fillId="0" borderId="0" xfId="0" applyFont="1"/>
    <xf numFmtId="177" fontId="0" fillId="0" borderId="0" xfId="0" applyNumberFormat="1"/>
    <xf numFmtId="0" fontId="0" fillId="19" borderId="0" xfId="0" applyFill="1"/>
    <xf numFmtId="183" fontId="0" fillId="20" borderId="0" xfId="0" applyNumberFormat="1" applyFill="1"/>
    <xf numFmtId="170" fontId="0" fillId="16" borderId="0" xfId="0" applyNumberFormat="1" applyFill="1"/>
    <xf numFmtId="170" fontId="0" fillId="0" borderId="0" xfId="0" applyNumberFormat="1"/>
    <xf numFmtId="183" fontId="0" fillId="0" borderId="0" xfId="0" applyNumberFormat="1"/>
    <xf numFmtId="0" fontId="0" fillId="0" borderId="0" xfId="0" applyAlignment="1">
      <alignment horizontal="right"/>
    </xf>
    <xf numFmtId="0" fontId="83" fillId="0" borderId="0" xfId="0" applyFont="1" applyBorder="1" applyAlignment="1">
      <alignment horizontal="left" vertical="center"/>
    </xf>
    <xf numFmtId="0" fontId="82" fillId="0" borderId="0" xfId="10" applyFont="1" applyFill="1" applyAlignment="1">
      <alignment horizontal="center" vertical="center"/>
    </xf>
    <xf numFmtId="0" fontId="102" fillId="0" borderId="0" xfId="2" quotePrefix="1" applyNumberFormat="1" applyFont="1" applyAlignment="1">
      <alignment horizontal="right"/>
    </xf>
    <xf numFmtId="0" fontId="83" fillId="0" borderId="0" xfId="10" applyFont="1" applyFill="1" applyBorder="1" applyAlignment="1">
      <alignment horizontal="left" vertical="center"/>
    </xf>
    <xf numFmtId="0" fontId="82" fillId="0" borderId="1" xfId="10" applyFont="1" applyFill="1" applyBorder="1" applyAlignment="1">
      <alignment horizontal="center" vertical="center"/>
    </xf>
    <xf numFmtId="0" fontId="34" fillId="0" borderId="1" xfId="10" applyFont="1" applyFill="1" applyBorder="1" applyAlignment="1">
      <alignment horizontal="center" vertical="center"/>
    </xf>
    <xf numFmtId="0" fontId="34" fillId="0" borderId="0" xfId="2" quotePrefix="1" applyFont="1" applyAlignment="1">
      <alignment horizontal="left" vertical="center"/>
    </xf>
    <xf numFmtId="0" fontId="34" fillId="0" borderId="0" xfId="0" applyFont="1" applyBorder="1" applyAlignment="1">
      <alignment horizontal="left" vertical="center"/>
    </xf>
    <xf numFmtId="0" fontId="122" fillId="11" borderId="5" xfId="0" applyFont="1" applyFill="1" applyBorder="1" applyAlignment="1">
      <alignment horizontal="center"/>
    </xf>
    <xf numFmtId="0" fontId="123" fillId="11" borderId="3" xfId="0" applyFont="1" applyFill="1" applyBorder="1"/>
    <xf numFmtId="0" fontId="12" fillId="8" borderId="13" xfId="4" applyFont="1" applyFill="1" applyBorder="1" applyAlignment="1">
      <alignment horizontal="center" vertical="top" wrapText="1"/>
    </xf>
    <xf numFmtId="0" fontId="12" fillId="8" borderId="13" xfId="4" applyFont="1" applyFill="1" applyBorder="1" applyAlignment="1">
      <alignment horizontal="justify" vertical="top" wrapText="1"/>
    </xf>
    <xf numFmtId="164" fontId="12" fillId="8" borderId="13" xfId="4" applyNumberFormat="1" applyFont="1" applyFill="1" applyBorder="1" applyAlignment="1">
      <alignment horizontal="center" vertical="top" wrapText="1"/>
    </xf>
    <xf numFmtId="0" fontId="124" fillId="12" borderId="30" xfId="0" applyFont="1" applyFill="1" applyBorder="1" applyAlignment="1">
      <alignment horizontal="center"/>
    </xf>
    <xf numFmtId="0" fontId="124" fillId="6" borderId="31" xfId="0" applyFont="1" applyFill="1" applyBorder="1"/>
    <xf numFmtId="0" fontId="124" fillId="2" borderId="31" xfId="0" applyFont="1" applyFill="1" applyBorder="1" applyAlignment="1">
      <alignment horizontal="center"/>
    </xf>
    <xf numFmtId="0" fontId="124" fillId="0" borderId="31" xfId="0" applyFont="1" applyFill="1" applyBorder="1" applyAlignment="1">
      <alignment horizontal="center"/>
    </xf>
    <xf numFmtId="14" fontId="124" fillId="0" borderId="31" xfId="0" applyNumberFormat="1" applyFont="1" applyFill="1" applyBorder="1" applyAlignment="1">
      <alignment horizontal="center"/>
    </xf>
    <xf numFmtId="0" fontId="124" fillId="0" borderId="31" xfId="0" applyFont="1" applyFill="1" applyBorder="1"/>
    <xf numFmtId="0" fontId="124" fillId="2" borderId="31" xfId="0" applyFont="1" applyFill="1" applyBorder="1"/>
    <xf numFmtId="0" fontId="95" fillId="2" borderId="0" xfId="0" applyFont="1" applyFill="1" applyAlignment="1">
      <alignment horizontal="center" vertical="center"/>
    </xf>
    <xf numFmtId="0" fontId="103" fillId="14" borderId="0" xfId="0" applyFont="1" applyFill="1" applyAlignment="1">
      <alignment vertical="center"/>
    </xf>
    <xf numFmtId="14" fontId="103" fillId="14" borderId="0" xfId="0" applyNumberFormat="1" applyFont="1" applyFill="1" applyAlignment="1">
      <alignment vertical="center"/>
    </xf>
    <xf numFmtId="0" fontId="33" fillId="14" borderId="0" xfId="0" applyFont="1" applyFill="1" applyAlignment="1">
      <alignment vertical="top" wrapText="1"/>
    </xf>
    <xf numFmtId="0" fontId="33" fillId="14" borderId="0" xfId="0" applyFont="1" applyFill="1" applyAlignment="1">
      <alignment vertical="center"/>
    </xf>
    <xf numFmtId="173" fontId="33" fillId="14" borderId="0" xfId="0" applyNumberFormat="1" applyFont="1" applyFill="1" applyAlignment="1">
      <alignment vertical="center"/>
    </xf>
    <xf numFmtId="0" fontId="107" fillId="14" borderId="0" xfId="0" applyFont="1" applyFill="1" applyAlignment="1">
      <alignment vertical="center" wrapText="1"/>
    </xf>
    <xf numFmtId="20" fontId="103" fillId="14" borderId="0" xfId="0" applyNumberFormat="1" applyFont="1" applyFill="1"/>
    <xf numFmtId="0" fontId="103" fillId="14" borderId="0" xfId="0" applyFont="1" applyFill="1"/>
    <xf numFmtId="0" fontId="111" fillId="14" borderId="0" xfId="0" applyFont="1" applyFill="1" applyAlignment="1">
      <alignment vertical="center"/>
    </xf>
    <xf numFmtId="0" fontId="111" fillId="2" borderId="0" xfId="0" applyFont="1" applyFill="1" applyAlignment="1">
      <alignment horizontal="center" vertical="center"/>
    </xf>
    <xf numFmtId="1" fontId="6" fillId="0" borderId="35" xfId="0" applyNumberFormat="1" applyFont="1" applyFill="1" applyBorder="1" applyAlignment="1" applyProtection="1">
      <alignment horizontal="left" vertical="center"/>
      <protection locked="0"/>
    </xf>
    <xf numFmtId="1" fontId="6" fillId="0" borderId="29" xfId="0" applyNumberFormat="1" applyFont="1" applyFill="1" applyBorder="1" applyAlignment="1" applyProtection="1">
      <alignment horizontal="left" vertical="center"/>
      <protection locked="0"/>
    </xf>
    <xf numFmtId="1" fontId="6" fillId="0" borderId="30" xfId="0" applyNumberFormat="1" applyFont="1" applyFill="1" applyBorder="1" applyAlignment="1" applyProtection="1">
      <alignment horizontal="left" vertical="center"/>
      <protection locked="0"/>
    </xf>
    <xf numFmtId="164" fontId="125" fillId="10" borderId="0" xfId="0" applyNumberFormat="1" applyFont="1" applyFill="1" applyProtection="1">
      <protection locked="0"/>
    </xf>
    <xf numFmtId="14" fontId="126" fillId="9" borderId="0" xfId="0" applyNumberFormat="1" applyFont="1" applyFill="1"/>
    <xf numFmtId="0" fontId="33" fillId="0" borderId="0" xfId="0" applyFont="1" applyBorder="1" applyAlignment="1">
      <alignment horizontal="left" vertical="top" wrapText="1"/>
    </xf>
    <xf numFmtId="0" fontId="108" fillId="0" borderId="0" xfId="0" applyFont="1" applyBorder="1" applyAlignment="1">
      <alignment horizontal="center" vertical="center"/>
    </xf>
    <xf numFmtId="0" fontId="33" fillId="0" borderId="0" xfId="0" applyFont="1" applyBorder="1" applyAlignment="1">
      <alignment horizontal="center" vertical="center"/>
    </xf>
    <xf numFmtId="0" fontId="33" fillId="0" borderId="0" xfId="0" quotePrefix="1" applyFont="1" applyBorder="1" applyAlignment="1">
      <alignment horizontal="center" vertical="top" wrapText="1"/>
    </xf>
    <xf numFmtId="0" fontId="93" fillId="11" borderId="93" xfId="0" applyFont="1" applyFill="1" applyBorder="1" applyAlignment="1">
      <alignment horizontal="center" vertical="center"/>
    </xf>
    <xf numFmtId="0" fontId="89" fillId="0" borderId="94" xfId="0" applyFont="1" applyBorder="1" applyAlignment="1">
      <alignment horizontal="center"/>
    </xf>
    <xf numFmtId="49" fontId="103" fillId="0" borderId="94" xfId="0" applyNumberFormat="1" applyFont="1" applyFill="1" applyBorder="1"/>
    <xf numFmtId="0" fontId="89" fillId="0" borderId="94" xfId="0" applyFont="1" applyBorder="1"/>
    <xf numFmtId="0" fontId="89" fillId="0" borderId="3" xfId="0" applyFont="1" applyBorder="1" applyAlignment="1">
      <alignment horizontal="center"/>
    </xf>
    <xf numFmtId="0" fontId="89" fillId="0" borderId="3" xfId="0" applyFont="1" applyBorder="1"/>
    <xf numFmtId="0" fontId="89" fillId="0" borderId="4" xfId="0" applyFont="1" applyBorder="1"/>
    <xf numFmtId="49" fontId="103" fillId="0" borderId="3" xfId="0" applyNumberFormat="1" applyFont="1" applyFill="1" applyBorder="1"/>
    <xf numFmtId="0" fontId="80" fillId="4" borderId="14" xfId="0" applyFont="1" applyFill="1" applyBorder="1" applyAlignment="1">
      <alignment horizontal="center" vertical="center" wrapText="1"/>
    </xf>
    <xf numFmtId="14" fontId="0" fillId="0" borderId="52" xfId="0" applyNumberFormat="1" applyFill="1" applyBorder="1"/>
    <xf numFmtId="0" fontId="0" fillId="0" borderId="52" xfId="0" applyFill="1" applyBorder="1" applyAlignment="1">
      <alignment horizontal="center"/>
    </xf>
    <xf numFmtId="0" fontId="0" fillId="0" borderId="52" xfId="0" applyFill="1" applyBorder="1" applyAlignment="1">
      <alignment horizontal="center" wrapText="1"/>
    </xf>
    <xf numFmtId="0" fontId="0" fillId="0" borderId="52" xfId="0" applyFill="1" applyBorder="1"/>
    <xf numFmtId="0" fontId="0" fillId="0" borderId="52" xfId="0" applyFill="1" applyBorder="1" applyAlignment="1">
      <alignment wrapText="1"/>
    </xf>
    <xf numFmtId="9" fontId="0" fillId="0" borderId="52" xfId="0" applyNumberFormat="1" applyFill="1" applyBorder="1" applyAlignment="1">
      <alignment horizontal="center"/>
    </xf>
    <xf numFmtId="14" fontId="92" fillId="13" borderId="0" xfId="0" applyNumberFormat="1" applyFont="1" applyFill="1" applyAlignment="1">
      <alignment horizontal="left"/>
    </xf>
    <xf numFmtId="0" fontId="95" fillId="0" borderId="0" xfId="0" applyFont="1" applyAlignment="1">
      <alignment horizontal="left" vertical="center"/>
    </xf>
    <xf numFmtId="0" fontId="58" fillId="0" borderId="0" xfId="0" applyFont="1"/>
    <xf numFmtId="0" fontId="58" fillId="0" borderId="0" xfId="0" quotePrefix="1" applyFont="1" applyAlignment="1">
      <alignment wrapText="1"/>
    </xf>
    <xf numFmtId="0" fontId="58" fillId="0" borderId="0" xfId="0" quotePrefix="1" applyFont="1"/>
    <xf numFmtId="0" fontId="130" fillId="0" borderId="0" xfId="0" quotePrefix="1" applyFont="1"/>
    <xf numFmtId="0" fontId="58" fillId="0" borderId="0" xfId="0" applyFont="1" applyAlignment="1">
      <alignment horizontal="right"/>
    </xf>
    <xf numFmtId="0" fontId="95" fillId="0" borderId="0" xfId="0" applyFont="1" applyAlignment="1"/>
    <xf numFmtId="0" fontId="58" fillId="0" borderId="0" xfId="0" applyFont="1" applyAlignment="1"/>
    <xf numFmtId="0" fontId="34" fillId="0" borderId="0" xfId="0" applyFont="1" applyAlignment="1"/>
    <xf numFmtId="0" fontId="132" fillId="0" borderId="0" xfId="0" applyFont="1" applyAlignment="1"/>
    <xf numFmtId="0" fontId="130" fillId="0" borderId="0" xfId="0" applyFont="1"/>
    <xf numFmtId="0" fontId="58" fillId="0" borderId="58" xfId="0" applyFont="1" applyBorder="1"/>
    <xf numFmtId="0" fontId="132" fillId="0" borderId="58" xfId="0" applyFont="1" applyBorder="1" applyAlignment="1"/>
    <xf numFmtId="0" fontId="34" fillId="0" borderId="58" xfId="0" applyFont="1" applyBorder="1" applyAlignment="1"/>
    <xf numFmtId="0" fontId="58" fillId="0" borderId="59" xfId="0" applyFont="1" applyBorder="1"/>
    <xf numFmtId="0" fontId="132" fillId="0" borderId="59" xfId="0" applyFont="1" applyBorder="1" applyAlignment="1"/>
    <xf numFmtId="0" fontId="34" fillId="0" borderId="59" xfId="0" applyFont="1" applyBorder="1" applyAlignment="1"/>
    <xf numFmtId="0" fontId="58" fillId="0" borderId="0" xfId="0" applyFont="1" applyAlignment="1">
      <alignment horizontal="center" vertical="top" wrapText="1"/>
    </xf>
    <xf numFmtId="0" fontId="58" fillId="0" borderId="1" xfId="0" applyFont="1" applyBorder="1" applyAlignment="1">
      <alignment horizontal="center" vertical="center" wrapText="1"/>
    </xf>
    <xf numFmtId="0" fontId="58" fillId="0" borderId="5" xfId="0" applyFont="1" applyBorder="1" applyAlignment="1">
      <alignment horizontal="left" vertical="center" wrapText="1"/>
    </xf>
    <xf numFmtId="0" fontId="58" fillId="0" borderId="3" xfId="0" applyFont="1" applyBorder="1" applyAlignment="1">
      <alignment horizontal="left" vertical="center" wrapText="1"/>
    </xf>
    <xf numFmtId="0" fontId="58" fillId="0" borderId="4" xfId="0" applyFont="1" applyBorder="1" applyAlignment="1">
      <alignment horizontal="left" vertical="center" wrapText="1"/>
    </xf>
    <xf numFmtId="0" fontId="58" fillId="0" borderId="58" xfId="0" applyFont="1" applyBorder="1" applyAlignment="1">
      <alignment horizontal="left" vertical="center" wrapText="1"/>
    </xf>
    <xf numFmtId="0" fontId="58" fillId="0" borderId="59" xfId="0" applyFont="1" applyBorder="1" applyAlignment="1">
      <alignment horizontal="left" vertical="center" wrapText="1"/>
    </xf>
    <xf numFmtId="0" fontId="58" fillId="0" borderId="0" xfId="0" applyFont="1" applyAlignment="1">
      <alignment horizontal="center" vertical="center"/>
    </xf>
    <xf numFmtId="0" fontId="95" fillId="0" borderId="0" xfId="0" applyFont="1" applyAlignment="1">
      <alignment horizontal="justify" vertical="center"/>
    </xf>
    <xf numFmtId="0" fontId="114" fillId="0" borderId="0" xfId="2" applyFont="1"/>
    <xf numFmtId="0" fontId="34" fillId="0" borderId="0" xfId="10" applyFont="1" applyFill="1"/>
    <xf numFmtId="164" fontId="107" fillId="7" borderId="0" xfId="8" applyFont="1" applyFill="1" applyBorder="1" applyAlignment="1">
      <alignment horizontal="left"/>
    </xf>
    <xf numFmtId="164" fontId="111" fillId="7" borderId="0" xfId="8" applyFont="1" applyFill="1" applyBorder="1" applyAlignment="1">
      <alignment horizontal="left"/>
    </xf>
    <xf numFmtId="0" fontId="58" fillId="0" borderId="60" xfId="0" applyFont="1" applyBorder="1" applyAlignment="1">
      <alignment horizontal="center" vertical="center" wrapText="1"/>
    </xf>
    <xf numFmtId="0" fontId="58" fillId="0" borderId="61" xfId="0" applyFont="1" applyBorder="1" applyAlignment="1">
      <alignment horizontal="center" vertical="center" wrapText="1"/>
    </xf>
    <xf numFmtId="0" fontId="58" fillId="0" borderId="62" xfId="0" applyFont="1" applyBorder="1" applyAlignment="1">
      <alignment horizontal="center" vertical="center" wrapText="1"/>
    </xf>
    <xf numFmtId="0" fontId="58" fillId="0" borderId="63" xfId="0" applyFont="1" applyBorder="1" applyAlignment="1">
      <alignment horizontal="center" vertical="center" wrapText="1"/>
    </xf>
    <xf numFmtId="0" fontId="58" fillId="0" borderId="0" xfId="0" applyFont="1" applyAlignment="1">
      <alignment horizontal="justify" vertical="center"/>
    </xf>
    <xf numFmtId="0" fontId="96" fillId="0" borderId="0" xfId="0" applyFont="1" applyAlignment="1">
      <alignment horizontal="center" vertical="center" wrapText="1"/>
    </xf>
    <xf numFmtId="0" fontId="96" fillId="0" borderId="0" xfId="0" quotePrefix="1" applyFont="1" applyAlignment="1">
      <alignment vertical="center"/>
    </xf>
    <xf numFmtId="0" fontId="58" fillId="0" borderId="0" xfId="0" applyFont="1" applyAlignment="1">
      <alignment vertical="center"/>
    </xf>
    <xf numFmtId="0" fontId="95" fillId="0" borderId="0" xfId="0" quotePrefix="1" applyFont="1" applyAlignment="1">
      <alignment vertical="center"/>
    </xf>
    <xf numFmtId="0" fontId="96" fillId="0" borderId="0" xfId="0" applyFont="1" applyAlignment="1">
      <alignment vertical="center"/>
    </xf>
    <xf numFmtId="0" fontId="114" fillId="0" borderId="60"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0" xfId="0" quotePrefix="1" applyFont="1" applyAlignment="1">
      <alignment horizontal="left" vertical="center"/>
    </xf>
    <xf numFmtId="0" fontId="101" fillId="0" borderId="0" xfId="4" applyFont="1" applyFill="1" applyBorder="1" applyAlignment="1">
      <alignment vertical="top"/>
    </xf>
    <xf numFmtId="14" fontId="101" fillId="8" borderId="14" xfId="4" applyNumberFormat="1" applyFont="1" applyFill="1" applyBorder="1" applyAlignment="1">
      <alignment horizontal="center" vertical="center"/>
    </xf>
    <xf numFmtId="0" fontId="39" fillId="0" borderId="0" xfId="0" applyFont="1" applyAlignment="1"/>
    <xf numFmtId="0" fontId="23" fillId="0" borderId="53" xfId="0" applyFont="1" applyFill="1" applyBorder="1" applyAlignment="1">
      <alignment horizontal="center"/>
    </xf>
    <xf numFmtId="0" fontId="23" fillId="0" borderId="53" xfId="0" applyFont="1" applyFill="1" applyBorder="1" applyAlignment="1">
      <alignment wrapText="1"/>
    </xf>
    <xf numFmtId="14" fontId="23" fillId="0" borderId="53" xfId="0" applyNumberFormat="1" applyFont="1" applyFill="1" applyBorder="1" applyAlignment="1">
      <alignment wrapText="1"/>
    </xf>
    <xf numFmtId="14" fontId="23" fillId="0" borderId="53" xfId="0" applyNumberFormat="1" applyFont="1" applyFill="1" applyBorder="1"/>
    <xf numFmtId="0" fontId="39" fillId="0" borderId="53" xfId="0" applyFont="1" applyFill="1" applyBorder="1" applyAlignment="1"/>
    <xf numFmtId="0" fontId="23" fillId="0" borderId="54" xfId="0" applyFont="1" applyFill="1" applyBorder="1" applyAlignment="1">
      <alignment horizontal="center"/>
    </xf>
    <xf numFmtId="0" fontId="23" fillId="0" borderId="54" xfId="0" applyFont="1" applyFill="1" applyBorder="1" applyAlignment="1">
      <alignment wrapText="1"/>
    </xf>
    <xf numFmtId="14" fontId="23" fillId="0" borderId="54" xfId="0" applyNumberFormat="1" applyFont="1" applyFill="1" applyBorder="1" applyAlignment="1">
      <alignment wrapText="1"/>
    </xf>
    <xf numFmtId="0" fontId="39" fillId="0" borderId="54" xfId="0" applyFont="1" applyFill="1" applyBorder="1" applyAlignment="1"/>
    <xf numFmtId="0" fontId="58" fillId="0" borderId="0" xfId="0" applyFont="1" applyBorder="1" applyAlignment="1">
      <alignment horizontal="center" vertical="center"/>
    </xf>
    <xf numFmtId="0" fontId="58" fillId="0" borderId="0" xfId="0" applyFont="1" applyBorder="1" applyAlignment="1">
      <alignment horizontal="left" vertical="center"/>
    </xf>
    <xf numFmtId="0" fontId="58" fillId="0" borderId="0" xfId="0" applyFont="1" applyFill="1" applyBorder="1" applyAlignment="1">
      <alignment horizontal="center" vertical="center"/>
    </xf>
    <xf numFmtId="0" fontId="58" fillId="0" borderId="0" xfId="0" applyFont="1" applyFill="1" applyBorder="1" applyAlignment="1">
      <alignment horizontal="left" vertical="center"/>
    </xf>
    <xf numFmtId="0" fontId="140" fillId="4" borderId="52" xfId="4" applyFont="1" applyFill="1" applyBorder="1" applyAlignment="1">
      <alignment horizontal="center" vertical="center" wrapText="1"/>
    </xf>
    <xf numFmtId="0" fontId="81" fillId="0" borderId="14" xfId="12" applyBorder="1"/>
    <xf numFmtId="0" fontId="0" fillId="0" borderId="0" xfId="0" applyAlignment="1">
      <alignment horizontal="left"/>
    </xf>
    <xf numFmtId="0" fontId="141" fillId="6" borderId="0" xfId="4" applyFont="1" applyFill="1" applyBorder="1" applyAlignment="1">
      <alignment horizontal="center" vertical="center"/>
    </xf>
    <xf numFmtId="0" fontId="141" fillId="6" borderId="108" xfId="4" applyFont="1" applyFill="1" applyBorder="1" applyAlignment="1">
      <alignment horizontal="center" vertical="center"/>
    </xf>
    <xf numFmtId="0" fontId="141" fillId="6" borderId="109" xfId="4" applyFont="1" applyFill="1" applyBorder="1" applyAlignment="1">
      <alignment vertical="center"/>
    </xf>
    <xf numFmtId="0" fontId="142" fillId="6" borderId="0" xfId="1" applyFont="1" applyFill="1" applyBorder="1" applyAlignment="1">
      <alignment horizontal="left" vertical="center"/>
    </xf>
    <xf numFmtId="0" fontId="141" fillId="6" borderId="0" xfId="4" applyFont="1" applyFill="1" applyBorder="1" applyAlignment="1">
      <alignment horizontal="left" vertical="center"/>
    </xf>
    <xf numFmtId="0" fontId="95" fillId="4" borderId="0" xfId="0" applyFont="1" applyFill="1" applyAlignment="1">
      <alignment horizontal="center" vertical="center"/>
    </xf>
    <xf numFmtId="0" fontId="0" fillId="12" borderId="0" xfId="0" applyFill="1"/>
    <xf numFmtId="0" fontId="0" fillId="12" borderId="0" xfId="0" applyFill="1" applyAlignment="1">
      <alignment horizontal="center"/>
    </xf>
    <xf numFmtId="0" fontId="85" fillId="4" borderId="107" xfId="0" applyFont="1" applyFill="1" applyBorder="1" applyAlignment="1">
      <alignment horizontal="center" vertical="center" wrapText="1"/>
    </xf>
    <xf numFmtId="0" fontId="82" fillId="4" borderId="107" xfId="0" applyFont="1" applyFill="1" applyBorder="1" applyAlignment="1">
      <alignment horizontal="center" vertical="center" wrapText="1"/>
    </xf>
    <xf numFmtId="0" fontId="142" fillId="6" borderId="41" xfId="1" applyFont="1" applyFill="1" applyBorder="1" applyAlignment="1">
      <alignment vertical="center"/>
    </xf>
    <xf numFmtId="0" fontId="0" fillId="21" borderId="0" xfId="0" applyFill="1"/>
    <xf numFmtId="0" fontId="0" fillId="21" borderId="0" xfId="0" applyFill="1" applyAlignment="1">
      <alignment horizontal="center"/>
    </xf>
    <xf numFmtId="0" fontId="23" fillId="21" borderId="0" xfId="0" applyFont="1" applyFill="1"/>
    <xf numFmtId="179" fontId="0" fillId="21" borderId="0" xfId="0" applyNumberFormat="1" applyFill="1"/>
    <xf numFmtId="179" fontId="0" fillId="0" borderId="0" xfId="0" applyNumberFormat="1" applyAlignment="1">
      <alignment horizontal="right"/>
    </xf>
    <xf numFmtId="179" fontId="0" fillId="0" borderId="0" xfId="0" applyNumberFormat="1"/>
    <xf numFmtId="0" fontId="0" fillId="21" borderId="0" xfId="0" applyFill="1" applyAlignment="1">
      <alignment horizontal="left"/>
    </xf>
    <xf numFmtId="0" fontId="0" fillId="22" borderId="0" xfId="0" applyFill="1"/>
    <xf numFmtId="0" fontId="141" fillId="6" borderId="0" xfId="4" applyFont="1" applyFill="1" applyBorder="1" applyAlignment="1">
      <alignment vertical="center"/>
    </xf>
    <xf numFmtId="0" fontId="142" fillId="6" borderId="70" xfId="1" applyFont="1" applyFill="1" applyBorder="1" applyAlignment="1">
      <alignment horizontal="left" vertical="center"/>
    </xf>
    <xf numFmtId="0" fontId="141" fillId="21" borderId="0" xfId="4" applyFont="1" applyFill="1" applyBorder="1" applyAlignment="1">
      <alignment horizontal="center" vertical="center"/>
    </xf>
    <xf numFmtId="0" fontId="141" fillId="21" borderId="0" xfId="4" applyFont="1" applyFill="1" applyBorder="1" applyAlignment="1">
      <alignment vertical="center"/>
    </xf>
    <xf numFmtId="0" fontId="142" fillId="21" borderId="0" xfId="1" applyFont="1" applyFill="1" applyBorder="1" applyAlignment="1">
      <alignment horizontal="left" vertical="center"/>
    </xf>
    <xf numFmtId="0" fontId="142" fillId="21" borderId="70" xfId="1" applyFont="1" applyFill="1" applyBorder="1" applyAlignment="1">
      <alignment horizontal="left" vertical="center"/>
    </xf>
    <xf numFmtId="0" fontId="142" fillId="6" borderId="0" xfId="1" applyFont="1" applyFill="1" applyBorder="1" applyAlignment="1">
      <alignment vertical="center"/>
    </xf>
    <xf numFmtId="179" fontId="146" fillId="21" borderId="0" xfId="0" applyNumberFormat="1" applyFont="1" applyFill="1" applyAlignment="1">
      <alignment horizontal="center" vertical="center"/>
    </xf>
    <xf numFmtId="179" fontId="147" fillId="21" borderId="0" xfId="0" applyNumberFormat="1" applyFont="1" applyFill="1" applyAlignment="1">
      <alignment horizontal="center" vertical="center"/>
    </xf>
    <xf numFmtId="0" fontId="142" fillId="6" borderId="42" xfId="1" applyFont="1" applyFill="1" applyBorder="1" applyAlignment="1">
      <alignment vertical="center"/>
    </xf>
    <xf numFmtId="0" fontId="95" fillId="4" borderId="45" xfId="0" applyFont="1" applyFill="1" applyBorder="1" applyAlignment="1">
      <alignment horizontal="center" vertical="center"/>
    </xf>
    <xf numFmtId="0" fontId="95" fillId="4" borderId="99" xfId="0" applyFont="1" applyFill="1" applyBorder="1" applyAlignment="1">
      <alignment horizontal="center" vertical="center"/>
    </xf>
    <xf numFmtId="179" fontId="95" fillId="4" borderId="45" xfId="0" applyNumberFormat="1" applyFont="1" applyFill="1" applyBorder="1" applyAlignment="1">
      <alignment horizontal="center" vertical="center"/>
    </xf>
    <xf numFmtId="0" fontId="12" fillId="6" borderId="0" xfId="4" applyFont="1" applyFill="1" applyBorder="1" applyAlignment="1">
      <alignment horizontal="center" vertical="top"/>
    </xf>
    <xf numFmtId="0" fontId="143" fillId="4" borderId="102" xfId="0" applyFont="1" applyFill="1" applyBorder="1" applyAlignment="1">
      <alignment horizontal="center" vertical="center" wrapText="1"/>
    </xf>
    <xf numFmtId="0" fontId="143" fillId="4" borderId="106" xfId="0" applyFont="1" applyFill="1" applyBorder="1" applyAlignment="1">
      <alignment horizontal="center" vertical="center" wrapText="1"/>
    </xf>
    <xf numFmtId="0" fontId="143" fillId="4" borderId="84" xfId="0" applyFont="1" applyFill="1" applyBorder="1" applyAlignment="1">
      <alignment horizontal="center" vertical="center" wrapText="1"/>
    </xf>
    <xf numFmtId="0" fontId="45" fillId="0" borderId="0" xfId="0" applyFont="1" applyAlignment="1" applyProtection="1">
      <alignment horizontal="center" vertical="top" wrapText="1"/>
      <protection locked="0"/>
    </xf>
    <xf numFmtId="0" fontId="45" fillId="0" borderId="0" xfId="0" applyFont="1" applyAlignment="1" applyProtection="1">
      <alignment horizontal="center"/>
      <protection locked="0"/>
    </xf>
    <xf numFmtId="0" fontId="85" fillId="0" borderId="1" xfId="0" applyFont="1" applyBorder="1" applyAlignment="1">
      <alignment horizontal="center" vertical="center"/>
    </xf>
    <xf numFmtId="0" fontId="85" fillId="0" borderId="1" xfId="0" applyFont="1" applyBorder="1" applyAlignment="1">
      <alignment horizontal="center" vertical="center" wrapText="1"/>
    </xf>
    <xf numFmtId="0" fontId="85" fillId="0" borderId="0" xfId="0" applyFont="1" applyBorder="1" applyAlignment="1">
      <alignment horizontal="left"/>
    </xf>
    <xf numFmtId="176" fontId="104" fillId="0" borderId="0" xfId="0" applyNumberFormat="1" applyFont="1" applyAlignment="1">
      <alignment horizontal="left"/>
    </xf>
    <xf numFmtId="0" fontId="85" fillId="0" borderId="0" xfId="0" applyFont="1" applyBorder="1" applyAlignment="1">
      <alignment horizontal="center" vertical="center"/>
    </xf>
    <xf numFmtId="0" fontId="34" fillId="7" borderId="0" xfId="9" applyFont="1" applyFill="1" applyBorder="1" applyAlignment="1">
      <alignment horizontal="left"/>
    </xf>
    <xf numFmtId="0" fontId="150" fillId="0" borderId="0" xfId="6" applyFont="1" applyAlignment="1">
      <alignment horizontal="center" vertical="center"/>
    </xf>
    <xf numFmtId="0" fontId="151" fillId="0" borderId="0" xfId="6" applyFont="1" applyAlignment="1">
      <alignment horizontal="center" vertical="center"/>
    </xf>
    <xf numFmtId="167" fontId="152" fillId="5" borderId="45" xfId="7" applyNumberFormat="1" applyFont="1" applyBorder="1" applyAlignment="1">
      <alignment vertical="center"/>
    </xf>
    <xf numFmtId="0" fontId="152" fillId="5" borderId="11" xfId="7" applyFont="1" applyBorder="1" applyAlignment="1">
      <alignment vertical="center"/>
    </xf>
    <xf numFmtId="164" fontId="152" fillId="5" borderId="11" xfId="7" applyNumberFormat="1" applyFont="1" applyBorder="1" applyAlignment="1">
      <alignment horizontal="center" vertical="center"/>
    </xf>
    <xf numFmtId="168" fontId="152" fillId="5" borderId="12" xfId="7" applyNumberFormat="1" applyFont="1" applyBorder="1" applyAlignment="1">
      <alignment vertical="center"/>
    </xf>
    <xf numFmtId="0" fontId="152" fillId="5" borderId="12" xfId="7" applyFont="1" applyBorder="1" applyAlignment="1">
      <alignment vertical="center"/>
    </xf>
    <xf numFmtId="164" fontId="152" fillId="5" borderId="0" xfId="7" applyNumberFormat="1" applyFont="1" applyBorder="1" applyAlignment="1">
      <alignment horizontal="center" vertical="center"/>
    </xf>
    <xf numFmtId="0" fontId="150" fillId="0" borderId="0" xfId="6" applyFont="1" applyAlignment="1">
      <alignment horizontal="center" vertical="center" wrapText="1"/>
    </xf>
    <xf numFmtId="0" fontId="154" fillId="6" borderId="14" xfId="5" applyFont="1" applyFill="1" applyBorder="1" applyAlignment="1">
      <alignment horizontal="center" vertical="center" wrapText="1"/>
    </xf>
    <xf numFmtId="0" fontId="155" fillId="6" borderId="14" xfId="5" applyFont="1" applyFill="1" applyBorder="1" applyAlignment="1">
      <alignment horizontal="center" vertical="center" wrapText="1"/>
    </xf>
    <xf numFmtId="164" fontId="154" fillId="6" borderId="14" xfId="5" applyNumberFormat="1" applyFont="1" applyFill="1" applyBorder="1" applyAlignment="1">
      <alignment horizontal="center" vertical="center" wrapText="1"/>
    </xf>
    <xf numFmtId="1" fontId="150" fillId="6" borderId="14" xfId="6" applyNumberFormat="1" applyFont="1" applyFill="1" applyBorder="1" applyAlignment="1">
      <alignment horizontal="center" vertical="center"/>
    </xf>
    <xf numFmtId="164" fontId="150" fillId="6" borderId="14" xfId="6" applyNumberFormat="1" applyFont="1" applyFill="1" applyBorder="1" applyAlignment="1">
      <alignment horizontal="center" vertical="center"/>
    </xf>
    <xf numFmtId="164" fontId="154" fillId="6" borderId="14" xfId="5" applyNumberFormat="1" applyFont="1" applyFill="1" applyBorder="1" applyAlignment="1">
      <alignment vertical="center"/>
    </xf>
    <xf numFmtId="164" fontId="156" fillId="6" borderId="14" xfId="6" applyNumberFormat="1" applyFont="1" applyFill="1" applyBorder="1" applyAlignment="1">
      <alignment horizontal="center" vertical="center"/>
    </xf>
    <xf numFmtId="0" fontId="150" fillId="6" borderId="14" xfId="6" applyFont="1" applyFill="1" applyBorder="1" applyAlignment="1">
      <alignment horizontal="left" vertical="center"/>
    </xf>
    <xf numFmtId="0" fontId="157" fillId="0" borderId="35" xfId="5" applyFont="1" applyFill="1" applyBorder="1" applyAlignment="1">
      <alignment horizontal="center" vertical="center" wrapText="1"/>
    </xf>
    <xf numFmtId="0" fontId="158" fillId="0" borderId="35" xfId="5" applyFont="1" applyFill="1" applyBorder="1" applyAlignment="1">
      <alignment horizontal="left" vertical="center" wrapText="1"/>
    </xf>
    <xf numFmtId="164" fontId="157" fillId="0" borderId="35" xfId="5" applyNumberFormat="1" applyFont="1" applyFill="1" applyBorder="1" applyAlignment="1">
      <alignment horizontal="center" vertical="center" wrapText="1"/>
    </xf>
    <xf numFmtId="1" fontId="157" fillId="0" borderId="35" xfId="6" applyNumberFormat="1" applyFont="1" applyFill="1" applyBorder="1" applyAlignment="1">
      <alignment horizontal="center" vertical="center"/>
    </xf>
    <xf numFmtId="164" fontId="157" fillId="0" borderId="35" xfId="6" applyNumberFormat="1" applyFont="1" applyFill="1" applyBorder="1" applyAlignment="1">
      <alignment horizontal="center" vertical="center"/>
    </xf>
    <xf numFmtId="164" fontId="157" fillId="0" borderId="35" xfId="5" applyNumberFormat="1" applyFont="1" applyFill="1" applyBorder="1" applyAlignment="1">
      <alignment vertical="center"/>
    </xf>
    <xf numFmtId="164" fontId="159" fillId="0" borderId="35" xfId="6" applyNumberFormat="1" applyFont="1" applyFill="1" applyBorder="1" applyAlignment="1">
      <alignment horizontal="center" vertical="center"/>
    </xf>
    <xf numFmtId="0" fontId="157" fillId="0" borderId="35" xfId="6" applyFont="1" applyFill="1" applyBorder="1" applyAlignment="1">
      <alignment horizontal="left" vertical="center"/>
    </xf>
    <xf numFmtId="0" fontId="150" fillId="0" borderId="0" xfId="6" applyFont="1" applyFill="1" applyAlignment="1">
      <alignment horizontal="center" vertical="center"/>
    </xf>
    <xf numFmtId="0" fontId="151" fillId="0" borderId="0" xfId="6" applyFont="1" applyFill="1" applyAlignment="1">
      <alignment horizontal="center" vertical="center"/>
    </xf>
    <xf numFmtId="0" fontId="160" fillId="0" borderId="30" xfId="6" applyFont="1" applyBorder="1" applyAlignment="1">
      <alignment horizontal="center" vertical="center" wrapText="1"/>
    </xf>
    <xf numFmtId="0" fontId="160" fillId="0" borderId="30" xfId="6" applyFont="1" applyBorder="1" applyAlignment="1">
      <alignment horizontal="left" vertical="center" wrapText="1"/>
    </xf>
    <xf numFmtId="164" fontId="160" fillId="0" borderId="30" xfId="6" applyNumberFormat="1" applyFont="1" applyFill="1" applyBorder="1" applyAlignment="1">
      <alignment horizontal="center" vertical="center" wrapText="1"/>
    </xf>
    <xf numFmtId="1" fontId="160" fillId="0" borderId="30" xfId="6" applyNumberFormat="1" applyFont="1" applyFill="1" applyBorder="1" applyAlignment="1">
      <alignment horizontal="center" vertical="center" wrapText="1"/>
    </xf>
    <xf numFmtId="164" fontId="160" fillId="0" borderId="30" xfId="6" applyNumberFormat="1" applyFont="1" applyFill="1" applyBorder="1" applyAlignment="1">
      <alignment vertical="center" wrapText="1"/>
    </xf>
    <xf numFmtId="164" fontId="161" fillId="0" borderId="30" xfId="6" applyNumberFormat="1" applyFont="1" applyFill="1" applyBorder="1" applyAlignment="1">
      <alignment vertical="center"/>
    </xf>
    <xf numFmtId="0" fontId="150" fillId="0" borderId="0" xfId="6" applyFont="1" applyAlignment="1">
      <alignment vertical="center" wrapText="1"/>
    </xf>
    <xf numFmtId="0" fontId="151" fillId="0" borderId="0" xfId="6" applyFont="1" applyAlignment="1">
      <alignment vertical="center" wrapText="1"/>
    </xf>
    <xf numFmtId="0" fontId="157" fillId="0" borderId="30" xfId="5" applyFont="1" applyFill="1" applyBorder="1" applyAlignment="1">
      <alignment horizontal="center" vertical="center" wrapText="1"/>
    </xf>
    <xf numFmtId="0" fontId="158" fillId="0" borderId="30" xfId="5" applyFont="1" applyFill="1" applyBorder="1" applyAlignment="1">
      <alignment horizontal="left" vertical="center" wrapText="1"/>
    </xf>
    <xf numFmtId="164" fontId="157" fillId="0" borderId="30" xfId="5" applyNumberFormat="1" applyFont="1" applyFill="1" applyBorder="1" applyAlignment="1">
      <alignment horizontal="center" vertical="center" wrapText="1"/>
    </xf>
    <xf numFmtId="1" fontId="157" fillId="0" borderId="30" xfId="6" applyNumberFormat="1" applyFont="1" applyFill="1" applyBorder="1" applyAlignment="1">
      <alignment horizontal="center" vertical="center"/>
    </xf>
    <xf numFmtId="164" fontId="157" fillId="0" borderId="30" xfId="6" applyNumberFormat="1" applyFont="1" applyFill="1" applyBorder="1" applyAlignment="1">
      <alignment horizontal="center" vertical="center"/>
    </xf>
    <xf numFmtId="164" fontId="157" fillId="0" borderId="30" xfId="5" applyNumberFormat="1" applyFont="1" applyFill="1" applyBorder="1" applyAlignment="1">
      <alignment vertical="center"/>
    </xf>
    <xf numFmtId="164" fontId="159" fillId="0" borderId="30" xfId="6" applyNumberFormat="1" applyFont="1" applyFill="1" applyBorder="1" applyAlignment="1">
      <alignment horizontal="center" vertical="center"/>
    </xf>
    <xf numFmtId="0" fontId="157" fillId="0" borderId="30" xfId="6" applyFont="1" applyFill="1" applyBorder="1" applyAlignment="1">
      <alignment horizontal="left" vertical="center"/>
    </xf>
    <xf numFmtId="164" fontId="162" fillId="0" borderId="30" xfId="6" applyNumberFormat="1" applyFont="1" applyFill="1" applyBorder="1" applyAlignment="1">
      <alignment horizontal="center" vertical="center" wrapText="1"/>
    </xf>
    <xf numFmtId="1" fontId="162" fillId="0" borderId="30" xfId="6" applyNumberFormat="1" applyFont="1" applyFill="1" applyBorder="1" applyAlignment="1">
      <alignment horizontal="center" vertical="center"/>
    </xf>
    <xf numFmtId="164" fontId="162" fillId="0" borderId="30" xfId="6" applyNumberFormat="1" applyFont="1" applyFill="1" applyBorder="1" applyAlignment="1">
      <alignment horizontal="center" vertical="center"/>
    </xf>
    <xf numFmtId="164" fontId="162" fillId="0" borderId="30" xfId="6" applyNumberFormat="1" applyFont="1" applyFill="1" applyBorder="1" applyAlignment="1">
      <alignment vertical="center"/>
    </xf>
    <xf numFmtId="164" fontId="163" fillId="0" borderId="30" xfId="6" applyNumberFormat="1" applyFont="1" applyFill="1" applyBorder="1" applyAlignment="1">
      <alignment vertical="center"/>
    </xf>
    <xf numFmtId="0" fontId="162" fillId="0" borderId="30" xfId="6" applyFont="1" applyBorder="1" applyAlignment="1">
      <alignment horizontal="left" vertical="center"/>
    </xf>
    <xf numFmtId="0" fontId="6" fillId="0" borderId="0" xfId="6" applyFont="1" applyAlignment="1">
      <alignment vertical="center"/>
    </xf>
    <xf numFmtId="0" fontId="165" fillId="0" borderId="0" xfId="6" applyFont="1" applyAlignment="1">
      <alignment vertical="center"/>
    </xf>
    <xf numFmtId="1" fontId="154" fillId="6" borderId="14" xfId="5" applyNumberFormat="1" applyFont="1" applyFill="1" applyBorder="1" applyAlignment="1">
      <alignment horizontal="center" vertical="center" wrapText="1"/>
    </xf>
    <xf numFmtId="0" fontId="166" fillId="6" borderId="14" xfId="5" applyFont="1" applyFill="1" applyBorder="1" applyAlignment="1">
      <alignment horizontal="left" vertical="center"/>
    </xf>
    <xf numFmtId="0" fontId="157" fillId="0" borderId="78" xfId="5" applyFont="1" applyFill="1" applyBorder="1" applyAlignment="1">
      <alignment horizontal="center" vertical="center" wrapText="1"/>
    </xf>
    <xf numFmtId="0" fontId="158" fillId="0" borderId="78" xfId="5" applyFont="1" applyFill="1" applyBorder="1" applyAlignment="1">
      <alignment horizontal="left" vertical="center" wrapText="1"/>
    </xf>
    <xf numFmtId="164" fontId="157" fillId="0" borderId="78" xfId="5" applyNumberFormat="1" applyFont="1" applyFill="1" applyBorder="1" applyAlignment="1">
      <alignment horizontal="center" vertical="center" wrapText="1"/>
    </xf>
    <xf numFmtId="0" fontId="157" fillId="0" borderId="78" xfId="6" applyFont="1" applyFill="1" applyBorder="1" applyAlignment="1">
      <alignment horizontal="left" vertical="center"/>
    </xf>
    <xf numFmtId="0" fontId="6" fillId="0" borderId="78" xfId="6" applyFont="1" applyFill="1" applyBorder="1" applyAlignment="1">
      <alignment horizontal="right" vertical="center"/>
    </xf>
    <xf numFmtId="0" fontId="6" fillId="0" borderId="0" xfId="6" applyFont="1" applyFill="1" applyAlignment="1">
      <alignment horizontal="center" vertical="center"/>
    </xf>
    <xf numFmtId="0" fontId="165" fillId="0" borderId="0" xfId="6" applyFont="1" applyFill="1" applyAlignment="1">
      <alignment horizontal="center" vertical="center"/>
    </xf>
    <xf numFmtId="0" fontId="167" fillId="0" borderId="78" xfId="5" applyFont="1" applyFill="1" applyBorder="1" applyAlignment="1">
      <alignment horizontal="center" vertical="center" wrapText="1"/>
    </xf>
    <xf numFmtId="0" fontId="162" fillId="0" borderId="78" xfId="5" applyFont="1" applyFill="1" applyBorder="1" applyAlignment="1">
      <alignment horizontal="left" vertical="center" wrapText="1"/>
    </xf>
    <xf numFmtId="164" fontId="164" fillId="0" borderId="78" xfId="5" applyNumberFormat="1" applyFont="1" applyFill="1" applyBorder="1" applyAlignment="1">
      <alignment horizontal="center" vertical="center" wrapText="1"/>
    </xf>
    <xf numFmtId="164" fontId="167" fillId="0" borderId="78" xfId="5" applyNumberFormat="1" applyFont="1" applyFill="1" applyBorder="1" applyAlignment="1">
      <alignment horizontal="center" vertical="center" wrapText="1"/>
    </xf>
    <xf numFmtId="0" fontId="167" fillId="0" borderId="78" xfId="6" applyFont="1" applyFill="1" applyBorder="1" applyAlignment="1">
      <alignment horizontal="left" vertical="center"/>
    </xf>
    <xf numFmtId="0" fontId="163" fillId="0" borderId="78" xfId="5" applyFont="1" applyFill="1" applyBorder="1" applyAlignment="1">
      <alignment horizontal="left" vertical="center"/>
    </xf>
    <xf numFmtId="0" fontId="6" fillId="0" borderId="78" xfId="5" applyFont="1" applyFill="1" applyBorder="1" applyAlignment="1">
      <alignment horizontal="center" vertical="center" wrapText="1"/>
    </xf>
    <xf numFmtId="0" fontId="5" fillId="0" borderId="78" xfId="5" applyFont="1" applyFill="1" applyBorder="1" applyAlignment="1">
      <alignment horizontal="left" vertical="center" wrapText="1"/>
    </xf>
    <xf numFmtId="164" fontId="6" fillId="0" borderId="78" xfId="5" applyNumberFormat="1" applyFont="1" applyFill="1" applyBorder="1" applyAlignment="1">
      <alignment horizontal="center" vertical="center" wrapText="1"/>
    </xf>
    <xf numFmtId="0" fontId="168" fillId="0" borderId="78" xfId="5" applyFont="1" applyFill="1" applyBorder="1" applyAlignment="1">
      <alignment horizontal="left" vertical="center"/>
    </xf>
    <xf numFmtId="0" fontId="6" fillId="0" borderId="78" xfId="6" applyFont="1" applyFill="1" applyBorder="1" applyAlignment="1">
      <alignment horizontal="left" vertical="center"/>
    </xf>
    <xf numFmtId="164" fontId="169" fillId="6" borderId="14" xfId="6" applyNumberFormat="1" applyFont="1" applyFill="1" applyBorder="1" applyAlignment="1">
      <alignment vertical="center"/>
    </xf>
    <xf numFmtId="1" fontId="169" fillId="6" borderId="14" xfId="6" applyNumberFormat="1" applyFont="1" applyFill="1" applyBorder="1" applyAlignment="1">
      <alignment horizontal="center" vertical="center"/>
    </xf>
    <xf numFmtId="164" fontId="169" fillId="6" borderId="14" xfId="6" applyNumberFormat="1" applyFont="1" applyFill="1" applyBorder="1" applyAlignment="1">
      <alignment horizontal="center" vertical="center"/>
    </xf>
    <xf numFmtId="164" fontId="170" fillId="6" borderId="14" xfId="6" applyNumberFormat="1" applyFont="1" applyFill="1" applyBorder="1" applyAlignment="1">
      <alignment horizontal="left" vertical="center"/>
    </xf>
    <xf numFmtId="0" fontId="169" fillId="6" borderId="14" xfId="6" applyFont="1" applyFill="1" applyBorder="1" applyAlignment="1">
      <alignment horizontal="left" vertical="center"/>
    </xf>
    <xf numFmtId="0" fontId="171" fillId="0" borderId="0" xfId="6" applyFont="1" applyAlignment="1">
      <alignment vertical="center"/>
    </xf>
    <xf numFmtId="0" fontId="169" fillId="0" borderId="0" xfId="6" applyFont="1" applyAlignment="1">
      <alignment vertical="center"/>
    </xf>
    <xf numFmtId="0" fontId="151" fillId="0" borderId="0" xfId="6" applyFont="1" applyAlignment="1">
      <alignment horizontal="center"/>
    </xf>
    <xf numFmtId="0" fontId="151" fillId="0" borderId="0" xfId="6" applyFont="1" applyAlignment="1"/>
    <xf numFmtId="164" fontId="151" fillId="0" borderId="0" xfId="6" applyNumberFormat="1" applyFont="1" applyAlignment="1"/>
    <xf numFmtId="1" fontId="151" fillId="0" borderId="0" xfId="6" applyNumberFormat="1" applyFont="1" applyAlignment="1">
      <alignment horizontal="center"/>
    </xf>
    <xf numFmtId="164" fontId="151" fillId="0" borderId="0" xfId="6" applyNumberFormat="1" applyFont="1" applyAlignment="1">
      <alignment horizontal="center"/>
    </xf>
    <xf numFmtId="164" fontId="151" fillId="0" borderId="0" xfId="6" applyNumberFormat="1" applyFont="1"/>
    <xf numFmtId="164" fontId="156" fillId="0" borderId="0" xfId="6" applyNumberFormat="1" applyFont="1" applyAlignment="1"/>
    <xf numFmtId="0" fontId="151" fillId="0" borderId="0" xfId="6" applyFont="1" applyAlignment="1">
      <alignment horizontal="left"/>
    </xf>
    <xf numFmtId="0" fontId="150" fillId="0" borderId="0" xfId="6" applyFont="1"/>
    <xf numFmtId="0" fontId="151" fillId="0" borderId="0" xfId="6" applyFont="1"/>
    <xf numFmtId="0" fontId="172" fillId="6" borderId="14" xfId="6" applyFont="1" applyFill="1" applyBorder="1" applyAlignment="1">
      <alignment horizontal="right" vertical="center"/>
    </xf>
    <xf numFmtId="0" fontId="158" fillId="0" borderId="35" xfId="6" applyFont="1" applyFill="1" applyBorder="1" applyAlignment="1">
      <alignment horizontal="right" vertical="center"/>
    </xf>
    <xf numFmtId="0" fontId="160" fillId="0" borderId="30" xfId="6" applyFont="1" applyBorder="1" applyAlignment="1">
      <alignment vertical="center" wrapText="1"/>
    </xf>
    <xf numFmtId="0" fontId="158" fillId="0" borderId="30" xfId="6" applyFont="1" applyFill="1" applyBorder="1" applyAlignment="1">
      <alignment horizontal="right" vertical="center"/>
    </xf>
    <xf numFmtId="0" fontId="162" fillId="0" borderId="30" xfId="6" applyFont="1" applyBorder="1" applyAlignment="1">
      <alignment vertical="center"/>
    </xf>
    <xf numFmtId="0" fontId="5" fillId="0" borderId="78" xfId="6" applyFont="1" applyFill="1" applyBorder="1" applyAlignment="1">
      <alignment horizontal="right" vertical="center"/>
    </xf>
    <xf numFmtId="0" fontId="162" fillId="0" borderId="78" xfId="6" applyFont="1" applyFill="1" applyBorder="1" applyAlignment="1">
      <alignment horizontal="right" vertical="center"/>
    </xf>
    <xf numFmtId="0" fontId="173" fillId="6" borderId="14" xfId="6" applyFont="1" applyFill="1" applyBorder="1" applyAlignment="1">
      <alignment vertical="center"/>
    </xf>
    <xf numFmtId="0" fontId="172" fillId="0" borderId="0" xfId="6" applyFont="1"/>
    <xf numFmtId="0" fontId="21" fillId="0" borderId="0" xfId="6" applyFont="1" applyAlignment="1">
      <alignment horizontal="center" vertical="top"/>
    </xf>
    <xf numFmtId="0" fontId="22" fillId="0" borderId="0" xfId="0" applyFont="1" applyFill="1" applyBorder="1" applyAlignment="1">
      <alignment vertical="top"/>
    </xf>
    <xf numFmtId="0" fontId="22" fillId="0" borderId="56" xfId="0" applyFont="1" applyFill="1" applyBorder="1" applyAlignment="1">
      <alignment vertical="top"/>
    </xf>
    <xf numFmtId="0" fontId="22" fillId="0" borderId="0" xfId="0" applyFont="1" applyBorder="1" applyAlignment="1">
      <alignment vertical="top"/>
    </xf>
    <xf numFmtId="0" fontId="22" fillId="0" borderId="0" xfId="0" applyFont="1" applyAlignment="1">
      <alignment vertical="top"/>
    </xf>
    <xf numFmtId="0" fontId="21" fillId="0" borderId="0" xfId="6" applyFont="1" applyAlignment="1">
      <alignment vertical="top"/>
    </xf>
    <xf numFmtId="0" fontId="22" fillId="0" borderId="54" xfId="0" applyFont="1" applyFill="1" applyBorder="1" applyAlignment="1">
      <alignment vertical="top"/>
    </xf>
    <xf numFmtId="0" fontId="22" fillId="0" borderId="55" xfId="0" applyFont="1" applyFill="1" applyBorder="1" applyAlignment="1">
      <alignment vertical="top"/>
    </xf>
    <xf numFmtId="0" fontId="21" fillId="0" borderId="0" xfId="6" applyFont="1" applyBorder="1" applyAlignment="1">
      <alignment horizontal="center" vertical="top"/>
    </xf>
    <xf numFmtId="0" fontId="21" fillId="0" borderId="0" xfId="6" applyFont="1" applyAlignment="1">
      <alignment horizontal="left" vertical="top" wrapText="1"/>
    </xf>
    <xf numFmtId="0" fontId="21" fillId="0" borderId="0" xfId="6" applyFont="1" applyAlignment="1">
      <alignment horizontal="left" vertical="top"/>
    </xf>
    <xf numFmtId="164" fontId="21" fillId="0" borderId="0" xfId="6" applyNumberFormat="1" applyFont="1" applyAlignment="1">
      <alignment horizontal="right" vertical="top"/>
    </xf>
    <xf numFmtId="14" fontId="21" fillId="0" borderId="0" xfId="6" applyNumberFormat="1" applyFont="1" applyAlignment="1">
      <alignment horizontal="right" vertical="top"/>
    </xf>
    <xf numFmtId="170" fontId="21" fillId="0" borderId="0" xfId="6" applyNumberFormat="1" applyFont="1" applyAlignment="1">
      <alignment horizontal="center" vertical="top"/>
    </xf>
    <xf numFmtId="0" fontId="22" fillId="0" borderId="0" xfId="0" applyFont="1" applyAlignment="1">
      <alignment horizontal="center" vertical="top"/>
    </xf>
    <xf numFmtId="0" fontId="174" fillId="21" borderId="0" xfId="4" applyFont="1" applyFill="1" applyBorder="1" applyAlignment="1">
      <alignment horizontal="left" vertical="top"/>
    </xf>
    <xf numFmtId="0" fontId="174" fillId="21" borderId="0" xfId="4" applyFont="1" applyFill="1" applyBorder="1" applyAlignment="1">
      <alignment vertical="top"/>
    </xf>
    <xf numFmtId="0" fontId="174" fillId="21" borderId="0" xfId="4" applyFont="1" applyFill="1" applyBorder="1" applyAlignment="1">
      <alignment horizontal="center" vertical="top"/>
    </xf>
    <xf numFmtId="0" fontId="174" fillId="21" borderId="12" xfId="4" applyFont="1" applyFill="1" applyBorder="1" applyAlignment="1">
      <alignment horizontal="left" vertical="top"/>
    </xf>
    <xf numFmtId="0" fontId="175" fillId="21" borderId="0" xfId="1" applyFont="1" applyFill="1" applyBorder="1" applyAlignment="1">
      <alignment horizontal="left" vertical="center"/>
    </xf>
    <xf numFmtId="0" fontId="176" fillId="0" borderId="0" xfId="6" applyFont="1" applyBorder="1" applyAlignment="1">
      <alignment horizontal="center" vertical="center"/>
    </xf>
    <xf numFmtId="0" fontId="174" fillId="21" borderId="12" xfId="4" applyFont="1" applyFill="1" applyBorder="1" applyAlignment="1">
      <alignment vertical="top"/>
    </xf>
    <xf numFmtId="0" fontId="175" fillId="21" borderId="12" xfId="1" applyFont="1" applyFill="1" applyBorder="1" applyAlignment="1">
      <alignment horizontal="left" vertical="center"/>
    </xf>
    <xf numFmtId="0" fontId="174" fillId="21" borderId="12" xfId="4" applyFont="1" applyFill="1" applyBorder="1" applyAlignment="1">
      <alignment horizontal="center" vertical="top"/>
    </xf>
    <xf numFmtId="0" fontId="176" fillId="0" borderId="12" xfId="6" applyFont="1" applyBorder="1" applyAlignment="1">
      <alignment horizontal="center" vertical="center"/>
    </xf>
    <xf numFmtId="1" fontId="12" fillId="6" borderId="0" xfId="4" applyNumberFormat="1" applyFont="1" applyFill="1" applyBorder="1" applyAlignment="1">
      <alignment horizontal="center" vertical="top"/>
    </xf>
    <xf numFmtId="1" fontId="174" fillId="21" borderId="0" xfId="4" applyNumberFormat="1" applyFont="1" applyFill="1" applyBorder="1" applyAlignment="1">
      <alignment horizontal="center" vertical="top"/>
    </xf>
    <xf numFmtId="1" fontId="174" fillId="21" borderId="12" xfId="4" applyNumberFormat="1" applyFont="1" applyFill="1" applyBorder="1" applyAlignment="1">
      <alignment horizontal="center" vertical="top"/>
    </xf>
    <xf numFmtId="0" fontId="174" fillId="21" borderId="0" xfId="4" applyFont="1" applyFill="1" applyBorder="1" applyAlignment="1">
      <alignment vertical="top" wrapText="1"/>
    </xf>
    <xf numFmtId="0" fontId="174" fillId="21" borderId="12" xfId="4" applyFont="1" applyFill="1" applyBorder="1" applyAlignment="1">
      <alignment vertical="top" wrapText="1"/>
    </xf>
    <xf numFmtId="0" fontId="175" fillId="21" borderId="0" xfId="1" applyFont="1" applyFill="1" applyBorder="1" applyAlignment="1">
      <alignment horizontal="left" vertical="top"/>
    </xf>
    <xf numFmtId="0" fontId="175" fillId="21" borderId="0" xfId="1" applyFont="1" applyFill="1" applyBorder="1" applyAlignment="1">
      <alignment horizontal="left" vertical="top" wrapText="1"/>
    </xf>
    <xf numFmtId="0" fontId="175" fillId="21" borderId="12" xfId="1" applyFont="1" applyFill="1" applyBorder="1" applyAlignment="1">
      <alignment horizontal="left" vertical="top"/>
    </xf>
    <xf numFmtId="0" fontId="175" fillId="21" borderId="12" xfId="1" applyFont="1" applyFill="1" applyBorder="1" applyAlignment="1">
      <alignment horizontal="left" vertical="top" wrapText="1"/>
    </xf>
    <xf numFmtId="0" fontId="21" fillId="0" borderId="12" xfId="6" applyFont="1" applyBorder="1" applyAlignment="1">
      <alignment horizontal="center" vertical="top"/>
    </xf>
    <xf numFmtId="0" fontId="153" fillId="0" borderId="14" xfId="4" applyFont="1" applyBorder="1" applyAlignment="1">
      <alignment horizontal="center" vertical="center" wrapText="1"/>
    </xf>
    <xf numFmtId="164" fontId="153" fillId="0" borderId="14" xfId="4" applyNumberFormat="1" applyFont="1" applyBorder="1" applyAlignment="1">
      <alignment horizontal="center" vertical="center" wrapText="1"/>
    </xf>
    <xf numFmtId="14" fontId="153" fillId="0" borderId="14" xfId="4" applyNumberFormat="1" applyFont="1" applyBorder="1" applyAlignment="1">
      <alignment horizontal="center" vertical="center" wrapText="1"/>
    </xf>
    <xf numFmtId="170" fontId="153" fillId="0" borderId="14" xfId="4" applyNumberFormat="1" applyFont="1" applyBorder="1" applyAlignment="1">
      <alignment horizontal="center" vertical="center" wrapText="1"/>
    </xf>
    <xf numFmtId="1" fontId="153" fillId="0" borderId="14" xfId="4" applyNumberFormat="1" applyFont="1" applyBorder="1" applyAlignment="1">
      <alignment horizontal="center" vertical="center" wrapText="1"/>
    </xf>
    <xf numFmtId="0" fontId="172" fillId="0" borderId="0" xfId="6" applyFont="1" applyBorder="1" applyAlignment="1">
      <alignment horizontal="center" vertical="center"/>
    </xf>
    <xf numFmtId="0" fontId="172" fillId="0" borderId="0" xfId="6" applyFont="1" applyAlignment="1">
      <alignment horizontal="center" vertical="center"/>
    </xf>
    <xf numFmtId="0" fontId="5" fillId="0" borderId="0" xfId="0" applyFont="1" applyBorder="1" applyAlignment="1">
      <alignment vertical="top"/>
    </xf>
    <xf numFmtId="0" fontId="5" fillId="0" borderId="0" xfId="0" applyFont="1" applyAlignment="1">
      <alignment vertical="top"/>
    </xf>
    <xf numFmtId="0" fontId="5" fillId="0" borderId="0" xfId="6" applyFont="1" applyAlignment="1">
      <alignment vertical="top"/>
    </xf>
    <xf numFmtId="0" fontId="172" fillId="0" borderId="0" xfId="0" applyFont="1" applyBorder="1" applyAlignment="1">
      <alignment vertical="top"/>
    </xf>
    <xf numFmtId="0" fontId="172" fillId="0" borderId="0" xfId="0" applyFont="1" applyAlignment="1">
      <alignment vertical="top"/>
    </xf>
    <xf numFmtId="0" fontId="172" fillId="0" borderId="0" xfId="6" applyFont="1" applyAlignment="1">
      <alignment vertical="top"/>
    </xf>
    <xf numFmtId="0" fontId="172" fillId="0" borderId="0" xfId="6" applyFont="1" applyAlignment="1">
      <alignment horizontal="center" vertical="top"/>
    </xf>
    <xf numFmtId="0" fontId="172" fillId="0" borderId="0" xfId="6" applyFont="1" applyAlignment="1">
      <alignment vertical="top" wrapText="1"/>
    </xf>
    <xf numFmtId="0" fontId="172" fillId="0" borderId="0" xfId="6" applyFont="1" applyAlignment="1">
      <alignment horizontal="left" vertical="top" wrapText="1"/>
    </xf>
    <xf numFmtId="14" fontId="172" fillId="0" borderId="0" xfId="6" applyNumberFormat="1" applyFont="1" applyAlignment="1">
      <alignment vertical="top"/>
    </xf>
    <xf numFmtId="0" fontId="172" fillId="0" borderId="0" xfId="6" applyFont="1" applyAlignment="1">
      <alignment horizontal="left" vertical="top"/>
    </xf>
    <xf numFmtId="0" fontId="175" fillId="21" borderId="0" xfId="1" applyFont="1" applyFill="1" applyBorder="1" applyAlignment="1">
      <alignment horizontal="center" vertical="top"/>
    </xf>
    <xf numFmtId="0" fontId="175" fillId="21" borderId="12" xfId="1" applyFont="1" applyFill="1" applyBorder="1" applyAlignment="1">
      <alignment horizontal="center" vertical="top"/>
    </xf>
    <xf numFmtId="0" fontId="172" fillId="0" borderId="0" xfId="0" applyFont="1" applyFill="1" applyBorder="1" applyAlignment="1">
      <alignment horizontal="center" vertical="top"/>
    </xf>
    <xf numFmtId="0" fontId="5" fillId="0" borderId="0" xfId="0" applyFont="1" applyFill="1" applyBorder="1" applyAlignment="1">
      <alignment horizontal="center" vertical="top"/>
    </xf>
    <xf numFmtId="0" fontId="172" fillId="0" borderId="0" xfId="0" applyFont="1" applyAlignment="1">
      <alignment horizontal="center" vertical="top"/>
    </xf>
    <xf numFmtId="1" fontId="172" fillId="0" borderId="0" xfId="0" applyNumberFormat="1" applyFont="1" applyAlignment="1">
      <alignment horizontal="center" vertical="top"/>
    </xf>
    <xf numFmtId="0" fontId="177" fillId="21" borderId="0" xfId="1" applyFont="1" applyFill="1" applyBorder="1" applyAlignment="1">
      <alignment horizontal="center" vertical="top"/>
    </xf>
    <xf numFmtId="0" fontId="56" fillId="21" borderId="0" xfId="0" applyFont="1" applyFill="1" applyAlignment="1">
      <alignment vertical="top"/>
    </xf>
    <xf numFmtId="0" fontId="174" fillId="21" borderId="40" xfId="4" applyFont="1" applyFill="1" applyBorder="1" applyAlignment="1">
      <alignment vertical="top"/>
    </xf>
    <xf numFmtId="0" fontId="178" fillId="6" borderId="0" xfId="4" applyFont="1" applyFill="1" applyBorder="1" applyAlignment="1">
      <alignment horizontal="center" vertical="top"/>
    </xf>
    <xf numFmtId="0" fontId="46" fillId="10" borderId="0" xfId="0" applyFont="1" applyFill="1"/>
    <xf numFmtId="0" fontId="46" fillId="10" borderId="0" xfId="0" applyFont="1" applyFill="1" applyAlignment="1">
      <alignment horizontal="right"/>
    </xf>
    <xf numFmtId="0" fontId="48" fillId="10" borderId="0" xfId="0" applyFont="1" applyFill="1" applyAlignment="1">
      <alignment vertical="center" wrapText="1"/>
    </xf>
    <xf numFmtId="0" fontId="0" fillId="0" borderId="0" xfId="0" applyAlignment="1" applyProtection="1">
      <alignment horizontal="left"/>
      <protection locked="0"/>
    </xf>
    <xf numFmtId="0" fontId="46" fillId="7" borderId="0" xfId="9" applyFont="1" applyFill="1" applyAlignment="1">
      <alignment horizontal="right"/>
    </xf>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horizontal="left" vertical="center"/>
      <protection locked="0"/>
    </xf>
    <xf numFmtId="0" fontId="0" fillId="0" borderId="0" xfId="0" applyAlignment="1" applyProtection="1">
      <alignment horizontal="center" vertical="top" wrapText="1"/>
      <protection locked="0"/>
    </xf>
    <xf numFmtId="0" fontId="53" fillId="7" borderId="0" xfId="0" applyFont="1" applyFill="1" applyAlignment="1" applyProtection="1">
      <alignment horizontal="right" vertical="center"/>
      <protection locked="0"/>
    </xf>
    <xf numFmtId="0" fontId="45" fillId="7" borderId="0" xfId="0" applyFont="1" applyFill="1" applyAlignment="1" applyProtection="1">
      <alignment horizontal="center" vertical="top" wrapText="1"/>
      <protection locked="0"/>
    </xf>
    <xf numFmtId="164" fontId="33" fillId="7" borderId="0" xfId="8" applyFont="1" applyFill="1"/>
    <xf numFmtId="0" fontId="34" fillId="7" borderId="0" xfId="9" applyFont="1" applyFill="1" applyAlignment="1">
      <alignment horizontal="left"/>
    </xf>
    <xf numFmtId="0" fontId="50" fillId="0" borderId="0" xfId="0" quotePrefix="1" applyFont="1" applyProtection="1">
      <protection locked="0"/>
    </xf>
    <xf numFmtId="0" fontId="0" fillId="0" borderId="0" xfId="0" applyAlignment="1" applyProtection="1">
      <alignment wrapText="1"/>
      <protection locked="0"/>
    </xf>
    <xf numFmtId="0" fontId="41" fillId="4" borderId="107" xfId="0" applyFont="1" applyFill="1" applyBorder="1" applyAlignment="1" applyProtection="1">
      <alignment horizontal="center" vertical="center" wrapText="1"/>
      <protection locked="0"/>
    </xf>
    <xf numFmtId="0" fontId="95" fillId="4" borderId="107" xfId="0" applyFont="1" applyFill="1" applyBorder="1" applyAlignment="1">
      <alignment horizontal="center" vertical="center" wrapText="1"/>
    </xf>
    <xf numFmtId="0" fontId="43" fillId="4" borderId="107" xfId="0" applyFont="1" applyFill="1" applyBorder="1" applyAlignment="1" applyProtection="1">
      <alignment horizontal="center" vertical="center" wrapText="1"/>
      <protection locked="0"/>
    </xf>
    <xf numFmtId="0" fontId="37" fillId="0" borderId="107" xfId="0" applyFont="1" applyBorder="1" applyAlignment="1" applyProtection="1">
      <alignment horizontal="center" vertical="justify" wrapText="1"/>
      <protection locked="0"/>
    </xf>
    <xf numFmtId="0" fontId="37" fillId="0" borderId="107" xfId="0" applyFont="1" applyBorder="1" applyAlignment="1" applyProtection="1">
      <alignment vertical="justify" wrapText="1"/>
      <protection locked="0"/>
    </xf>
    <xf numFmtId="0" fontId="42" fillId="0" borderId="107" xfId="0" applyFont="1" applyBorder="1" applyAlignment="1" applyProtection="1">
      <alignment vertical="justify" wrapText="1"/>
      <protection locked="0"/>
    </xf>
    <xf numFmtId="0" fontId="42" fillId="0" borderId="107" xfId="0" applyFont="1" applyBorder="1" applyAlignment="1" applyProtection="1">
      <alignment horizontal="center" vertical="justify" wrapText="1"/>
      <protection locked="0"/>
    </xf>
    <xf numFmtId="0" fontId="42" fillId="0" borderId="107" xfId="0" applyFont="1" applyBorder="1" applyAlignment="1" applyProtection="1">
      <alignment horizontal="left" vertical="justify" wrapText="1"/>
      <protection locked="0"/>
    </xf>
    <xf numFmtId="0" fontId="42" fillId="0" borderId="107" xfId="0" applyFont="1" applyBorder="1" applyAlignment="1" applyProtection="1">
      <alignment horizontal="justify" vertical="justify" wrapText="1"/>
      <protection locked="0"/>
    </xf>
    <xf numFmtId="0" fontId="0" fillId="0" borderId="0" xfId="0" applyAlignment="1" applyProtection="1">
      <alignment vertical="center" wrapText="1"/>
      <protection locked="0"/>
    </xf>
    <xf numFmtId="0" fontId="0" fillId="0" borderId="0" xfId="0" applyAlignment="1" applyProtection="1">
      <alignment vertical="top" wrapText="1"/>
      <protection locked="0"/>
    </xf>
    <xf numFmtId="164" fontId="33" fillId="7" borderId="0" xfId="8" applyFont="1" applyFill="1" applyAlignment="1">
      <alignment horizontal="left"/>
    </xf>
    <xf numFmtId="0" fontId="95" fillId="0" borderId="115" xfId="0" applyFont="1" applyFill="1" applyBorder="1" applyAlignment="1">
      <alignment horizontal="center" vertical="center"/>
    </xf>
    <xf numFmtId="0" fontId="33" fillId="0" borderId="115" xfId="0" quotePrefix="1" applyFont="1" applyBorder="1" applyAlignment="1">
      <alignment horizontal="center" vertical="center"/>
    </xf>
    <xf numFmtId="0" fontId="33" fillId="0" borderId="115" xfId="0" applyFont="1" applyBorder="1" applyAlignment="1">
      <alignment horizontal="left" vertical="top" wrapText="1"/>
    </xf>
    <xf numFmtId="0" fontId="33" fillId="0" borderId="115" xfId="0" quotePrefix="1" applyFont="1" applyBorder="1" applyAlignment="1">
      <alignment horizontal="center" vertical="top" wrapText="1"/>
    </xf>
    <xf numFmtId="0" fontId="108" fillId="0" borderId="115" xfId="0" applyFont="1" applyBorder="1" applyAlignment="1">
      <alignment horizontal="center" vertical="center"/>
    </xf>
    <xf numFmtId="0" fontId="33" fillId="0" borderId="115" xfId="0" applyFont="1" applyBorder="1" applyAlignment="1">
      <alignment horizontal="center" vertical="center"/>
    </xf>
    <xf numFmtId="0" fontId="85" fillId="0" borderId="0" xfId="0" applyFont="1" applyBorder="1" applyAlignment="1"/>
    <xf numFmtId="2" fontId="108" fillId="0" borderId="115" xfId="0" applyNumberFormat="1" applyFont="1" applyBorder="1" applyAlignment="1">
      <alignment horizontal="center" vertical="center"/>
    </xf>
    <xf numFmtId="0" fontId="33" fillId="0" borderId="85" xfId="0" quotePrefix="1" applyFont="1" applyBorder="1" applyAlignment="1">
      <alignment horizontal="center" vertical="center"/>
    </xf>
    <xf numFmtId="2" fontId="108" fillId="0" borderId="85" xfId="0" applyNumberFormat="1" applyFont="1" applyBorder="1" applyAlignment="1">
      <alignment horizontal="center" vertical="center"/>
    </xf>
    <xf numFmtId="0" fontId="33" fillId="0" borderId="85" xfId="0" applyFont="1" applyBorder="1" applyAlignment="1">
      <alignment horizontal="center" vertical="center"/>
    </xf>
    <xf numFmtId="1" fontId="173" fillId="4" borderId="92" xfId="4" applyNumberFormat="1" applyFont="1" applyFill="1" applyBorder="1" applyAlignment="1">
      <alignment horizontal="center" vertical="center" wrapText="1"/>
    </xf>
    <xf numFmtId="0" fontId="173" fillId="4" borderId="92" xfId="4" applyFont="1" applyFill="1" applyBorder="1" applyAlignment="1">
      <alignment horizontal="center" vertical="center" wrapText="1"/>
    </xf>
    <xf numFmtId="14" fontId="173" fillId="4" borderId="92" xfId="4" applyNumberFormat="1" applyFont="1" applyFill="1" applyBorder="1" applyAlignment="1">
      <alignment horizontal="center" vertical="center" wrapText="1"/>
    </xf>
    <xf numFmtId="0" fontId="58" fillId="0" borderId="0" xfId="0" applyFont="1" applyAlignment="1">
      <alignment vertical="center" wrapText="1"/>
    </xf>
    <xf numFmtId="14" fontId="188" fillId="0" borderId="12" xfId="7" applyNumberFormat="1" applyFont="1" applyFill="1" applyBorder="1" applyAlignment="1">
      <alignment horizontal="center" vertical="center"/>
    </xf>
    <xf numFmtId="1" fontId="6" fillId="0" borderId="35" xfId="0" applyNumberFormat="1" applyFont="1" applyFill="1" applyBorder="1" applyAlignment="1" applyProtection="1">
      <alignment horizontal="left" vertical="center"/>
      <protection locked="0"/>
    </xf>
    <xf numFmtId="1" fontId="6" fillId="0" borderId="29" xfId="0" applyNumberFormat="1" applyFont="1" applyFill="1" applyBorder="1" applyAlignment="1" applyProtection="1">
      <alignment horizontal="left" vertical="center"/>
      <protection locked="0"/>
    </xf>
    <xf numFmtId="0" fontId="105" fillId="0" borderId="0" xfId="0" applyFont="1" applyAlignment="1">
      <alignment horizontal="center" vertical="center" wrapText="1"/>
    </xf>
    <xf numFmtId="0" fontId="104" fillId="0" borderId="0" xfId="0" applyFont="1" applyAlignment="1">
      <alignment horizontal="right" vertical="center"/>
    </xf>
    <xf numFmtId="0" fontId="34" fillId="7" borderId="0" xfId="9" applyFont="1" applyFill="1" applyBorder="1" applyAlignment="1">
      <alignment horizontal="left"/>
    </xf>
    <xf numFmtId="0" fontId="0" fillId="0" borderId="0" xfId="0" applyAlignment="1">
      <alignment horizontal="left"/>
    </xf>
    <xf numFmtId="0" fontId="0" fillId="0" borderId="0" xfId="0" quotePrefix="1"/>
    <xf numFmtId="0" fontId="58" fillId="0" borderId="115" xfId="0" applyFont="1" applyFill="1" applyBorder="1" applyAlignment="1">
      <alignment horizontal="center" vertical="center"/>
    </xf>
    <xf numFmtId="0" fontId="58" fillId="9" borderId="0" xfId="0" applyFont="1" applyFill="1"/>
    <xf numFmtId="0" fontId="104" fillId="0" borderId="0" xfId="0" applyFont="1" applyAlignment="1">
      <alignment horizontal="right" vertical="center"/>
    </xf>
    <xf numFmtId="0" fontId="105" fillId="0" borderId="0" xfId="0" applyFont="1" applyAlignment="1">
      <alignment horizontal="center" vertical="center" wrapText="1"/>
    </xf>
    <xf numFmtId="0" fontId="34" fillId="7" borderId="0" xfId="9" applyFont="1" applyFill="1" applyBorder="1" applyAlignment="1">
      <alignment horizontal="left"/>
    </xf>
    <xf numFmtId="0" fontId="0" fillId="9" borderId="0" xfId="0" quotePrefix="1" applyFill="1"/>
    <xf numFmtId="0" fontId="58" fillId="0" borderId="115" xfId="0" applyFont="1" applyFill="1" applyBorder="1" applyAlignment="1">
      <alignment horizontal="left" vertical="center"/>
    </xf>
    <xf numFmtId="0" fontId="58" fillId="0" borderId="115" xfId="0" applyFont="1" applyFill="1" applyBorder="1" applyAlignment="1">
      <alignment horizontal="right" vertical="center"/>
    </xf>
    <xf numFmtId="0" fontId="33" fillId="0" borderId="115" xfId="0" applyFont="1" applyBorder="1" applyAlignment="1">
      <alignment horizontal="right" vertical="center"/>
    </xf>
    <xf numFmtId="0" fontId="108" fillId="0" borderId="115" xfId="0" applyFont="1" applyBorder="1" applyAlignment="1">
      <alignment horizontal="right" vertical="center"/>
    </xf>
    <xf numFmtId="0" fontId="107" fillId="0" borderId="0" xfId="0" applyFont="1" applyAlignment="1">
      <alignment horizontal="centerContinuous" vertical="center"/>
    </xf>
    <xf numFmtId="0" fontId="107" fillId="0" borderId="0" xfId="0" applyFont="1" applyBorder="1" applyAlignment="1">
      <alignment horizontal="centerContinuous"/>
    </xf>
    <xf numFmtId="0" fontId="104" fillId="0" borderId="0" xfId="0" applyFont="1" applyBorder="1" applyAlignment="1">
      <alignment horizontal="centerContinuous" vertical="top" wrapText="1"/>
    </xf>
    <xf numFmtId="0" fontId="104" fillId="0" borderId="0" xfId="0" quotePrefix="1" applyFont="1" applyBorder="1" applyAlignment="1">
      <alignment horizontal="centerContinuous" vertical="top" wrapText="1"/>
    </xf>
    <xf numFmtId="0" fontId="190" fillId="0" borderId="0" xfId="0" applyFont="1" applyBorder="1" applyAlignment="1">
      <alignment horizontal="centerContinuous" vertical="center"/>
    </xf>
    <xf numFmtId="0" fontId="104" fillId="0" borderId="0" xfId="0" applyFont="1" applyBorder="1" applyAlignment="1">
      <alignment horizontal="centerContinuous" vertical="center"/>
    </xf>
    <xf numFmtId="0" fontId="104" fillId="0" borderId="0" xfId="0" applyFont="1" applyAlignment="1">
      <alignment horizontal="centerContinuous" vertical="center"/>
    </xf>
    <xf numFmtId="0" fontId="105" fillId="0" borderId="0" xfId="0" applyFont="1" applyAlignment="1">
      <alignment horizontal="center" vertical="center" wrapText="1"/>
    </xf>
    <xf numFmtId="0" fontId="85" fillId="0" borderId="0" xfId="0" applyFont="1" applyBorder="1" applyAlignment="1">
      <alignment horizontal="center" vertical="center"/>
    </xf>
    <xf numFmtId="0" fontId="85" fillId="0" borderId="81" xfId="0" applyFont="1" applyBorder="1" applyAlignment="1">
      <alignment horizontal="center" vertical="center" wrapText="1"/>
    </xf>
    <xf numFmtId="0" fontId="104" fillId="0" borderId="0" xfId="0" applyFont="1" applyAlignment="1">
      <alignment horizontal="right" vertical="center"/>
    </xf>
    <xf numFmtId="0" fontId="85" fillId="0" borderId="0" xfId="0" applyFont="1" applyBorder="1" applyAlignment="1">
      <alignment horizontal="left"/>
    </xf>
    <xf numFmtId="0" fontId="104" fillId="0" borderId="0" xfId="0" quotePrefix="1" applyFont="1" applyAlignment="1">
      <alignment horizontal="justify" vertical="center" wrapText="1"/>
    </xf>
    <xf numFmtId="176" fontId="104" fillId="0" borderId="0" xfId="0" applyNumberFormat="1" applyFont="1" applyAlignment="1">
      <alignment horizontal="left"/>
    </xf>
    <xf numFmtId="0" fontId="34" fillId="7" borderId="0" xfId="9" applyFont="1" applyFill="1" applyBorder="1" applyAlignment="1">
      <alignment horizontal="left"/>
    </xf>
    <xf numFmtId="0" fontId="33" fillId="0" borderId="0" xfId="0" quotePrefix="1" applyFont="1" applyBorder="1" applyAlignment="1">
      <alignment horizontal="center" vertical="center"/>
    </xf>
    <xf numFmtId="0" fontId="33" fillId="0" borderId="0" xfId="0" applyFont="1" applyBorder="1" applyAlignment="1">
      <alignment horizontal="justify" vertical="center" wrapText="1"/>
    </xf>
    <xf numFmtId="2" fontId="108" fillId="0" borderId="0" xfId="0" applyNumberFormat="1" applyFont="1" applyBorder="1" applyAlignment="1">
      <alignment horizontal="center" vertical="center"/>
    </xf>
    <xf numFmtId="0" fontId="33" fillId="0" borderId="115" xfId="0" applyFont="1" applyBorder="1" applyAlignment="1">
      <alignment horizontal="left" vertical="top"/>
    </xf>
    <xf numFmtId="0" fontId="33" fillId="0" borderId="115" xfId="0" quotePrefix="1" applyFont="1" applyBorder="1" applyAlignment="1">
      <alignment horizontal="center" vertical="top"/>
    </xf>
    <xf numFmtId="0" fontId="33" fillId="0" borderId="115" xfId="0" applyFont="1" applyBorder="1" applyAlignment="1">
      <alignment horizontal="center" vertical="top"/>
    </xf>
    <xf numFmtId="0" fontId="33" fillId="0" borderId="122" xfId="0" applyFont="1" applyBorder="1" applyAlignment="1">
      <alignment horizontal="left" vertical="top" wrapText="1"/>
    </xf>
    <xf numFmtId="0" fontId="85" fillId="0" borderId="121" xfId="0" applyFont="1" applyBorder="1" applyAlignment="1">
      <alignment horizontal="center" vertical="center" wrapText="1"/>
    </xf>
    <xf numFmtId="0" fontId="103" fillId="0" borderId="122" xfId="0" applyFont="1" applyBorder="1" applyAlignment="1">
      <alignment horizontal="justify" vertical="center" wrapText="1"/>
    </xf>
    <xf numFmtId="0" fontId="33" fillId="0" borderId="122" xfId="0" quotePrefix="1" applyFont="1" applyBorder="1" applyAlignment="1">
      <alignment horizontal="center" vertical="top" wrapText="1"/>
    </xf>
    <xf numFmtId="0" fontId="95" fillId="0" borderId="122" xfId="0" applyFont="1" applyFill="1" applyBorder="1" applyAlignment="1">
      <alignment horizontal="center" vertical="center" wrapText="1"/>
    </xf>
    <xf numFmtId="0" fontId="103" fillId="0" borderId="0" xfId="0" applyFont="1" applyBorder="1" applyAlignment="1">
      <alignment horizontal="justify" vertical="center" wrapText="1"/>
    </xf>
    <xf numFmtId="0" fontId="33" fillId="0" borderId="0" xfId="0" quotePrefix="1" applyFont="1" applyBorder="1" applyAlignment="1">
      <alignment horizontal="centerContinuous" vertical="center"/>
    </xf>
    <xf numFmtId="0" fontId="103" fillId="0" borderId="0" xfId="0" applyFont="1" applyBorder="1" applyAlignment="1">
      <alignment horizontal="centerContinuous" vertical="center" wrapText="1"/>
    </xf>
    <xf numFmtId="2" fontId="108" fillId="0" borderId="0" xfId="0" applyNumberFormat="1" applyFont="1" applyBorder="1" applyAlignment="1">
      <alignment horizontal="centerContinuous" vertical="center"/>
    </xf>
    <xf numFmtId="0" fontId="33" fillId="0" borderId="0" xfId="0" applyFont="1" applyBorder="1" applyAlignment="1">
      <alignment horizontal="centerContinuous" vertical="center"/>
    </xf>
    <xf numFmtId="0" fontId="108" fillId="0" borderId="0" xfId="0" applyFont="1" applyBorder="1" applyAlignment="1">
      <alignment horizontal="right" vertical="center"/>
    </xf>
    <xf numFmtId="0" fontId="33" fillId="0" borderId="0" xfId="0" applyFont="1" applyBorder="1" applyAlignment="1">
      <alignment horizontal="right" vertical="center"/>
    </xf>
    <xf numFmtId="0" fontId="33" fillId="0" borderId="0" xfId="0" applyFont="1" applyBorder="1" applyAlignment="1">
      <alignment horizontal="center" vertical="top"/>
    </xf>
    <xf numFmtId="0" fontId="33" fillId="0" borderId="0" xfId="0" applyFont="1" applyBorder="1" applyAlignment="1">
      <alignment horizontal="left" vertical="top"/>
    </xf>
    <xf numFmtId="0" fontId="33" fillId="0" borderId="0" xfId="0" quotePrefix="1" applyFont="1" applyBorder="1" applyAlignment="1">
      <alignment horizontal="center" vertical="top"/>
    </xf>
    <xf numFmtId="0" fontId="85" fillId="0" borderId="0" xfId="0" quotePrefix="1" applyFont="1" applyAlignment="1">
      <alignment vertical="center"/>
    </xf>
    <xf numFmtId="0" fontId="50" fillId="0" borderId="0" xfId="0" applyFont="1" applyAlignment="1" applyProtection="1">
      <alignment horizontal="right" wrapText="1"/>
      <protection locked="0"/>
    </xf>
    <xf numFmtId="0" fontId="46" fillId="0" borderId="0" xfId="0" applyFont="1" applyAlignment="1" applyProtection="1">
      <alignment horizontal="right" wrapText="1"/>
      <protection locked="0"/>
    </xf>
    <xf numFmtId="0" fontId="60"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34" fillId="0" borderId="0" xfId="0" quotePrefix="1" applyFont="1" applyAlignment="1" applyProtection="1">
      <alignment horizontal="justify" vertical="center" wrapText="1"/>
      <protection locked="0"/>
    </xf>
    <xf numFmtId="0" fontId="34" fillId="0" borderId="0" xfId="0" applyFont="1" applyAlignment="1" applyProtection="1">
      <alignment horizontal="justify" vertical="center" wrapText="1"/>
      <protection locked="0"/>
    </xf>
    <xf numFmtId="0" fontId="0" fillId="0" borderId="0" xfId="0" applyFont="1" applyAlignment="1" applyProtection="1">
      <alignment horizontal="justify" vertical="top" wrapText="1"/>
      <protection locked="0"/>
    </xf>
    <xf numFmtId="0" fontId="0" fillId="0" borderId="0" xfId="0" applyFont="1" applyAlignment="1">
      <alignment horizontal="justify" vertical="top" wrapText="1"/>
    </xf>
    <xf numFmtId="0" fontId="47" fillId="0" borderId="0" xfId="0" applyFont="1" applyAlignment="1" applyProtection="1">
      <alignment horizontal="justify" vertical="top" wrapText="1"/>
      <protection locked="0"/>
    </xf>
    <xf numFmtId="0" fontId="0" fillId="0" borderId="0" xfId="0" applyAlignment="1" applyProtection="1">
      <alignment horizontal="left"/>
      <protection locked="0"/>
    </xf>
    <xf numFmtId="0" fontId="105" fillId="0" borderId="0" xfId="0" applyFont="1" applyAlignment="1">
      <alignment horizontal="center" vertical="center" wrapText="1"/>
    </xf>
    <xf numFmtId="0" fontId="104" fillId="0" borderId="0" xfId="0" applyFont="1" applyAlignment="1">
      <alignment horizontal="right" vertical="center"/>
    </xf>
    <xf numFmtId="0" fontId="37" fillId="0" borderId="107" xfId="0" quotePrefix="1" applyFont="1" applyBorder="1" applyAlignment="1" applyProtection="1">
      <alignment horizontal="center" vertical="justify" wrapText="1"/>
      <protection locked="0"/>
    </xf>
    <xf numFmtId="0" fontId="0" fillId="0" borderId="0" xfId="0" applyBorder="1" applyAlignment="1" applyProtection="1">
      <alignment wrapText="1"/>
      <protection locked="0"/>
    </xf>
    <xf numFmtId="179" fontId="37" fillId="0" borderId="107" xfId="0" applyNumberFormat="1" applyFont="1" applyBorder="1" applyAlignment="1" applyProtection="1">
      <alignment vertical="justify" wrapText="1"/>
      <protection locked="0"/>
    </xf>
    <xf numFmtId="0" fontId="0" fillId="0" borderId="0" xfId="0" applyFont="1" applyAlignment="1" applyProtection="1">
      <alignment vertical="top" wrapText="1"/>
      <protection locked="0"/>
    </xf>
    <xf numFmtId="0" fontId="0" fillId="0" borderId="0" xfId="0" applyFont="1" applyAlignment="1">
      <alignment vertical="top" wrapText="1"/>
    </xf>
    <xf numFmtId="0" fontId="174" fillId="21" borderId="0" xfId="4" applyFont="1" applyFill="1" applyBorder="1" applyAlignment="1">
      <alignment vertical="center"/>
    </xf>
    <xf numFmtId="0" fontId="175" fillId="21" borderId="0" xfId="1" applyFont="1" applyFill="1" applyBorder="1" applyAlignment="1">
      <alignment horizontal="center" vertical="center" wrapText="1"/>
    </xf>
    <xf numFmtId="0" fontId="174" fillId="21" borderId="0" xfId="4" applyFont="1" applyFill="1" applyBorder="1" applyAlignment="1">
      <alignment vertical="center" wrapText="1"/>
    </xf>
    <xf numFmtId="0" fontId="174" fillId="21" borderId="12" xfId="4" applyFont="1" applyFill="1" applyBorder="1" applyAlignment="1">
      <alignment vertical="center"/>
    </xf>
    <xf numFmtId="0" fontId="175" fillId="21" borderId="12" xfId="1" applyFont="1" applyFill="1" applyBorder="1" applyAlignment="1">
      <alignment horizontal="center" vertical="center" wrapText="1"/>
    </xf>
    <xf numFmtId="0" fontId="174" fillId="21" borderId="12" xfId="4" applyFont="1" applyFill="1" applyBorder="1" applyAlignment="1">
      <alignment vertical="center" wrapText="1"/>
    </xf>
    <xf numFmtId="0" fontId="105" fillId="0" borderId="0" xfId="0" applyFont="1" applyAlignment="1">
      <alignment horizontal="center" vertical="center" wrapText="1"/>
    </xf>
    <xf numFmtId="0" fontId="104" fillId="0" borderId="0" xfId="0" applyFont="1" applyAlignment="1">
      <alignment horizontal="right" vertical="center"/>
    </xf>
    <xf numFmtId="176" fontId="104" fillId="0" borderId="0" xfId="0" applyNumberFormat="1" applyFont="1" applyAlignment="1">
      <alignment horizontal="left"/>
    </xf>
    <xf numFmtId="0" fontId="85" fillId="0" borderId="70" xfId="0" applyFont="1" applyBorder="1" applyAlignment="1">
      <alignment horizontal="center"/>
    </xf>
    <xf numFmtId="0" fontId="104" fillId="0" borderId="0" xfId="0" applyFont="1" applyAlignment="1">
      <alignment horizontal="right" vertical="center"/>
    </xf>
    <xf numFmtId="0" fontId="33" fillId="0" borderId="0" xfId="0" quotePrefix="1" applyFont="1" applyBorder="1" applyAlignment="1">
      <alignment horizontal="center" vertical="center"/>
    </xf>
    <xf numFmtId="0" fontId="191" fillId="0" borderId="0" xfId="0" applyFont="1" applyAlignment="1">
      <alignment horizontal="center" vertical="center" wrapText="1"/>
    </xf>
    <xf numFmtId="0" fontId="88" fillId="0" borderId="78" xfId="5" applyFont="1" applyFill="1" applyBorder="1" applyAlignment="1">
      <alignment horizontal="center" vertical="center" wrapText="1"/>
    </xf>
    <xf numFmtId="0" fontId="160" fillId="0" borderId="78" xfId="5" applyFont="1" applyFill="1" applyBorder="1" applyAlignment="1">
      <alignment horizontal="left" vertical="center" wrapText="1"/>
    </xf>
    <xf numFmtId="164" fontId="88" fillId="0" borderId="78" xfId="5" applyNumberFormat="1" applyFont="1" applyFill="1" applyBorder="1" applyAlignment="1">
      <alignment horizontal="center" vertical="center" wrapText="1"/>
    </xf>
    <xf numFmtId="164" fontId="192" fillId="0" borderId="78" xfId="5" applyNumberFormat="1" applyFont="1" applyFill="1" applyBorder="1" applyAlignment="1">
      <alignment horizontal="center" vertical="center" wrapText="1"/>
    </xf>
    <xf numFmtId="1" fontId="195" fillId="0" borderId="30" xfId="0" applyNumberFormat="1" applyFont="1" applyFill="1" applyBorder="1" applyAlignment="1" applyProtection="1">
      <alignment horizontal="center" vertical="center" shrinkToFit="1"/>
      <protection locked="0"/>
    </xf>
    <xf numFmtId="0" fontId="104" fillId="0" borderId="0" xfId="0" quotePrefix="1" applyFont="1" applyAlignment="1">
      <alignment horizontal="justify" vertical="center" wrapText="1"/>
    </xf>
    <xf numFmtId="0" fontId="85" fillId="0" borderId="0" xfId="0" applyFont="1" applyBorder="1" applyAlignment="1">
      <alignment horizontal="center" vertical="center"/>
    </xf>
    <xf numFmtId="0" fontId="105" fillId="0" borderId="0" xfId="0" applyFont="1" applyAlignment="1">
      <alignment horizontal="center" vertical="center" wrapText="1"/>
    </xf>
    <xf numFmtId="0" fontId="104" fillId="0" borderId="0" xfId="0" applyFont="1" applyAlignment="1">
      <alignment horizontal="right" vertical="center"/>
    </xf>
    <xf numFmtId="0" fontId="85" fillId="0" borderId="0" xfId="0" applyFont="1" applyBorder="1" applyAlignment="1">
      <alignment horizontal="left"/>
    </xf>
    <xf numFmtId="176" fontId="104" fillId="0" borderId="0" xfId="0" applyNumberFormat="1" applyFont="1" applyAlignment="1">
      <alignment horizontal="left"/>
    </xf>
    <xf numFmtId="0" fontId="33" fillId="0" borderId="0" xfId="0" quotePrefix="1" applyFont="1" applyBorder="1" applyAlignment="1">
      <alignment horizontal="center" vertical="center"/>
    </xf>
    <xf numFmtId="0" fontId="34" fillId="7" borderId="0" xfId="9" applyFont="1" applyFill="1" applyBorder="1" applyAlignment="1">
      <alignment horizontal="left"/>
    </xf>
    <xf numFmtId="0" fontId="196" fillId="9" borderId="0" xfId="0" applyFont="1" applyFill="1"/>
    <xf numFmtId="14" fontId="197" fillId="12" borderId="92" xfId="0" applyNumberFormat="1" applyFont="1" applyFill="1" applyBorder="1" applyAlignment="1">
      <alignment horizontal="center" vertical="center" wrapText="1"/>
    </xf>
    <xf numFmtId="0" fontId="197" fillId="12" borderId="92" xfId="0" applyFont="1" applyFill="1" applyBorder="1" applyAlignment="1">
      <alignment horizontal="center" vertical="center" wrapText="1"/>
    </xf>
    <xf numFmtId="0" fontId="197" fillId="12" borderId="13" xfId="0" applyFont="1" applyFill="1" applyBorder="1" applyAlignment="1">
      <alignment horizontal="center" vertical="center" wrapText="1"/>
    </xf>
    <xf numFmtId="0" fontId="17" fillId="0" borderId="33" xfId="1" applyFont="1" applyFill="1" applyBorder="1" applyAlignment="1" applyProtection="1">
      <alignment vertical="top" wrapText="1"/>
    </xf>
    <xf numFmtId="0" fontId="17" fillId="0" borderId="34" xfId="1" applyFont="1" applyFill="1" applyBorder="1" applyAlignment="1" applyProtection="1">
      <alignment vertical="top" wrapText="1"/>
    </xf>
    <xf numFmtId="0" fontId="19" fillId="0" borderId="14" xfId="1" applyFont="1" applyFill="1" applyBorder="1" applyAlignment="1" applyProtection="1">
      <alignment horizontal="left" vertical="top" wrapText="1"/>
    </xf>
    <xf numFmtId="0" fontId="4" fillId="3" borderId="14" xfId="1" applyFont="1" applyFill="1" applyBorder="1" applyAlignment="1" applyProtection="1">
      <alignment horizontal="left" vertical="center" wrapText="1"/>
    </xf>
    <xf numFmtId="0" fontId="102" fillId="0" borderId="0" xfId="2" quotePrefix="1" applyNumberFormat="1" applyFont="1" applyAlignment="1">
      <alignment horizontal="left"/>
    </xf>
    <xf numFmtId="164" fontId="33" fillId="7" borderId="0" xfId="8" applyFont="1" applyFill="1" applyBorder="1" applyAlignment="1">
      <alignment horizontal="center"/>
    </xf>
    <xf numFmtId="0" fontId="56" fillId="9" borderId="0" xfId="0" applyFont="1" applyFill="1"/>
    <xf numFmtId="0" fontId="33" fillId="0" borderId="130" xfId="0" applyFont="1" applyBorder="1" applyAlignment="1">
      <alignment horizontal="left" vertical="top" wrapText="1"/>
    </xf>
    <xf numFmtId="0" fontId="58" fillId="0" borderId="130" xfId="0" applyFont="1" applyFill="1" applyBorder="1" applyAlignment="1">
      <alignment horizontal="center" vertical="center"/>
    </xf>
    <xf numFmtId="0" fontId="58" fillId="0" borderId="122" xfId="0" applyFont="1" applyFill="1" applyBorder="1" applyAlignment="1">
      <alignment horizontal="center" vertical="center"/>
    </xf>
    <xf numFmtId="0" fontId="110" fillId="0" borderId="0" xfId="16" applyFont="1" applyAlignment="1">
      <alignment horizontal="center" vertical="center"/>
    </xf>
    <xf numFmtId="0" fontId="33" fillId="0" borderId="0" xfId="0" quotePrefix="1" applyFont="1" applyBorder="1" applyAlignment="1">
      <alignment horizontal="center" vertical="center"/>
    </xf>
    <xf numFmtId="0" fontId="58" fillId="0" borderId="130" xfId="0" applyFont="1" applyFill="1" applyBorder="1" applyAlignment="1">
      <alignment horizontal="left" vertical="center"/>
    </xf>
    <xf numFmtId="0" fontId="58" fillId="0" borderId="130" xfId="0" applyFont="1" applyFill="1" applyBorder="1" applyAlignment="1">
      <alignment horizontal="right" vertical="center"/>
    </xf>
    <xf numFmtId="0" fontId="58" fillId="0" borderId="115" xfId="0" applyFont="1" applyBorder="1" applyAlignment="1">
      <alignment horizontal="right" vertical="center"/>
    </xf>
    <xf numFmtId="0" fontId="58" fillId="0" borderId="0" xfId="0" applyFont="1" applyBorder="1" applyAlignment="1">
      <alignment horizontal="right" vertical="center"/>
    </xf>
    <xf numFmtId="0" fontId="197" fillId="12" borderId="78" xfId="0" applyFont="1" applyFill="1" applyBorder="1" applyAlignment="1">
      <alignment horizontal="center" vertical="center" wrapText="1"/>
    </xf>
    <xf numFmtId="0" fontId="77" fillId="23" borderId="14" xfId="4" applyFont="1" applyFill="1" applyBorder="1" applyAlignment="1">
      <alignment horizontal="center" vertical="center" wrapText="1"/>
    </xf>
    <xf numFmtId="0" fontId="199" fillId="10" borderId="0" xfId="0" applyFont="1" applyFill="1" applyProtection="1">
      <protection locked="0"/>
    </xf>
    <xf numFmtId="2" fontId="6" fillId="0" borderId="78" xfId="5" applyNumberFormat="1" applyFont="1" applyFill="1" applyBorder="1" applyAlignment="1">
      <alignment horizontal="center" vertical="center" wrapText="1"/>
    </xf>
    <xf numFmtId="1" fontId="172" fillId="0" borderId="0" xfId="0" applyNumberFormat="1" applyFont="1" applyFill="1" applyBorder="1" applyAlignment="1">
      <alignment horizontal="center" vertical="top"/>
    </xf>
    <xf numFmtId="0" fontId="172" fillId="0" borderId="0" xfId="6" applyFont="1" applyFill="1" applyBorder="1" applyAlignment="1">
      <alignment horizontal="center" vertical="top"/>
    </xf>
    <xf numFmtId="0" fontId="172" fillId="0" borderId="0" xfId="6" applyFont="1" applyFill="1" applyBorder="1" applyAlignment="1">
      <alignment vertical="top" wrapText="1"/>
    </xf>
    <xf numFmtId="0" fontId="172" fillId="0" borderId="0" xfId="6" applyFont="1" applyFill="1" applyBorder="1" applyAlignment="1">
      <alignment horizontal="left" vertical="top" wrapText="1"/>
    </xf>
    <xf numFmtId="14" fontId="172" fillId="0" borderId="0" xfId="6" applyNumberFormat="1" applyFont="1" applyFill="1" applyBorder="1" applyAlignment="1">
      <alignment vertical="top"/>
    </xf>
    <xf numFmtId="0" fontId="172" fillId="0" borderId="0" xfId="6" applyFont="1" applyFill="1" applyBorder="1" applyAlignment="1">
      <alignment horizontal="left" vertical="top"/>
    </xf>
    <xf numFmtId="0" fontId="5" fillId="0" borderId="0" xfId="6" applyFont="1" applyFill="1" applyBorder="1" applyAlignment="1">
      <alignment horizontal="center" vertical="top"/>
    </xf>
    <xf numFmtId="0" fontId="5" fillId="0" borderId="0" xfId="5" applyFont="1" applyFill="1" applyBorder="1" applyAlignment="1">
      <alignment horizontal="center" vertical="top"/>
    </xf>
    <xf numFmtId="0" fontId="5" fillId="0" borderId="0" xfId="5" applyFont="1" applyFill="1" applyBorder="1" applyAlignment="1">
      <alignment horizontal="left" vertical="top" wrapText="1"/>
    </xf>
    <xf numFmtId="0" fontId="5" fillId="0" borderId="0" xfId="5" applyFont="1" applyFill="1" applyBorder="1" applyAlignment="1">
      <alignment vertical="top" wrapText="1"/>
    </xf>
    <xf numFmtId="14" fontId="5" fillId="0" borderId="0" xfId="5" applyNumberFormat="1" applyFont="1" applyFill="1" applyBorder="1" applyAlignment="1">
      <alignment vertical="top"/>
    </xf>
    <xf numFmtId="14" fontId="5" fillId="0" borderId="0" xfId="6" applyNumberFormat="1" applyFont="1" applyFill="1" applyBorder="1" applyAlignment="1">
      <alignment horizontal="center" vertical="top"/>
    </xf>
    <xf numFmtId="14" fontId="5" fillId="0" borderId="0" xfId="6" applyNumberFormat="1" applyFont="1" applyFill="1" applyBorder="1" applyAlignment="1">
      <alignment horizontal="left" vertical="top"/>
    </xf>
    <xf numFmtId="1" fontId="5" fillId="0" borderId="0" xfId="0" applyNumberFormat="1" applyFont="1" applyFill="1" applyBorder="1" applyAlignment="1">
      <alignment horizontal="center" vertical="top"/>
    </xf>
    <xf numFmtId="0" fontId="172" fillId="0" borderId="67" xfId="0" applyFont="1" applyFill="1" applyBorder="1" applyAlignment="1">
      <alignment horizontal="center" vertical="top"/>
    </xf>
    <xf numFmtId="0" fontId="172" fillId="0" borderId="67" xfId="0" applyFont="1" applyFill="1" applyBorder="1" applyAlignment="1">
      <alignment vertical="top"/>
    </xf>
    <xf numFmtId="0" fontId="172" fillId="0" borderId="67" xfId="0" applyFont="1" applyFill="1" applyBorder="1" applyAlignment="1">
      <alignment vertical="top" wrapText="1"/>
    </xf>
    <xf numFmtId="14" fontId="172" fillId="0" borderId="67" xfId="0" applyNumberFormat="1" applyFont="1" applyFill="1" applyBorder="1" applyAlignment="1">
      <alignment vertical="top"/>
    </xf>
    <xf numFmtId="1" fontId="172" fillId="0" borderId="67" xfId="0" applyNumberFormat="1" applyFont="1" applyFill="1" applyBorder="1" applyAlignment="1">
      <alignment horizontal="center" vertical="top"/>
    </xf>
    <xf numFmtId="0" fontId="162" fillId="0" borderId="132" xfId="6" applyFont="1" applyBorder="1" applyAlignment="1">
      <alignment horizontal="center" vertical="center" wrapText="1"/>
    </xf>
    <xf numFmtId="0" fontId="133" fillId="0" borderId="59" xfId="6" applyFont="1" applyBorder="1" applyAlignment="1">
      <alignment horizontal="center"/>
    </xf>
    <xf numFmtId="0" fontId="133" fillId="0" borderId="72" xfId="6" applyFont="1" applyBorder="1" applyAlignment="1">
      <alignment horizontal="center"/>
    </xf>
    <xf numFmtId="0" fontId="162" fillId="0" borderId="132" xfId="6" applyFont="1" applyBorder="1" applyAlignment="1">
      <alignment horizontal="left" vertical="center" wrapText="1"/>
    </xf>
    <xf numFmtId="0" fontId="133" fillId="0" borderId="59" xfId="6" applyFont="1" applyBorder="1" applyAlignment="1">
      <alignment horizontal="center" vertical="center"/>
    </xf>
    <xf numFmtId="0" fontId="202" fillId="0" borderId="72" xfId="6" applyFont="1" applyBorder="1" applyAlignment="1">
      <alignment horizontal="left" vertical="center" wrapText="1"/>
    </xf>
    <xf numFmtId="0" fontId="133" fillId="0" borderId="59" xfId="6" applyFont="1" applyBorder="1" applyAlignment="1"/>
    <xf numFmtId="0" fontId="133" fillId="0" borderId="72" xfId="6" applyFont="1" applyBorder="1" applyAlignment="1"/>
    <xf numFmtId="0" fontId="5" fillId="0" borderId="30" xfId="6" applyFont="1" applyFill="1" applyBorder="1" applyAlignment="1">
      <alignment horizontal="right" vertical="center"/>
    </xf>
    <xf numFmtId="0" fontId="192" fillId="0" borderId="30" xfId="5" applyFont="1" applyFill="1" applyBorder="1" applyAlignment="1">
      <alignment horizontal="center" vertical="center" wrapText="1"/>
    </xf>
    <xf numFmtId="0" fontId="193" fillId="0" borderId="30" xfId="5" applyFont="1" applyFill="1" applyBorder="1" applyAlignment="1">
      <alignment horizontal="left" vertical="center" wrapText="1"/>
    </xf>
    <xf numFmtId="164" fontId="192" fillId="0" borderId="30" xfId="5" applyNumberFormat="1" applyFont="1" applyFill="1" applyBorder="1" applyAlignment="1">
      <alignment horizontal="center" vertical="center" wrapText="1"/>
    </xf>
    <xf numFmtId="0" fontId="192" fillId="0" borderId="30" xfId="6" applyFont="1" applyFill="1" applyBorder="1" applyAlignment="1">
      <alignment horizontal="left" vertical="center"/>
    </xf>
    <xf numFmtId="0" fontId="157" fillId="0" borderId="134" xfId="5" applyFont="1" applyFill="1" applyBorder="1" applyAlignment="1">
      <alignment horizontal="center" vertical="center" wrapText="1"/>
    </xf>
    <xf numFmtId="0" fontId="158" fillId="0" borderId="134" xfId="5" applyFont="1" applyFill="1" applyBorder="1" applyAlignment="1">
      <alignment horizontal="left" vertical="center" wrapText="1"/>
    </xf>
    <xf numFmtId="0" fontId="165" fillId="0" borderId="0" xfId="6" applyFont="1" applyAlignment="1">
      <alignment horizontal="center" vertical="center"/>
    </xf>
    <xf numFmtId="1" fontId="6" fillId="0" borderId="35" xfId="0" applyNumberFormat="1" applyFont="1" applyFill="1" applyBorder="1" applyAlignment="1" applyProtection="1">
      <alignment horizontal="left" vertical="center"/>
      <protection locked="0"/>
    </xf>
    <xf numFmtId="0" fontId="74" fillId="0" borderId="0" xfId="0" applyFont="1" applyAlignment="1" applyProtection="1">
      <alignment horizontal="center" vertical="top" wrapText="1"/>
      <protection locked="0"/>
    </xf>
    <xf numFmtId="0" fontId="75" fillId="0" borderId="0" xfId="0" applyFont="1" applyAlignment="1" applyProtection="1">
      <alignment horizontal="center" vertical="top" wrapText="1"/>
      <protection locked="0"/>
    </xf>
    <xf numFmtId="0" fontId="0" fillId="0" borderId="0" xfId="0" applyAlignment="1">
      <alignment horizontal="left" vertical="center" wrapText="1"/>
    </xf>
    <xf numFmtId="0" fontId="0" fillId="0" borderId="0" xfId="0" applyAlignment="1">
      <alignment horizontal="justify" vertical="center" wrapText="1"/>
    </xf>
    <xf numFmtId="0" fontId="0" fillId="0" borderId="0" xfId="0" applyAlignment="1">
      <alignment horizontal="left"/>
    </xf>
    <xf numFmtId="0" fontId="0" fillId="0" borderId="0" xfId="0" applyAlignment="1" applyProtection="1">
      <alignment horizontal="center"/>
      <protection locked="0"/>
    </xf>
    <xf numFmtId="0" fontId="205" fillId="0" borderId="0" xfId="0" applyFont="1" applyAlignment="1">
      <alignment vertical="center"/>
    </xf>
    <xf numFmtId="0" fontId="205" fillId="0" borderId="0" xfId="0" applyFont="1" applyAlignment="1">
      <alignment vertical="center" wrapText="1"/>
    </xf>
    <xf numFmtId="0" fontId="205" fillId="0" borderId="0" xfId="0" applyFont="1" applyAlignment="1">
      <alignment horizontal="center" vertical="center" wrapText="1"/>
    </xf>
    <xf numFmtId="0" fontId="151" fillId="0" borderId="0" xfId="0" applyFont="1" applyAlignment="1">
      <alignment vertical="center"/>
    </xf>
    <xf numFmtId="0" fontId="151" fillId="0" borderId="0" xfId="0" applyFont="1" applyAlignment="1">
      <alignment vertical="center" wrapText="1"/>
    </xf>
    <xf numFmtId="0" fontId="0" fillId="0" borderId="0" xfId="0" applyAlignment="1">
      <alignment horizontal="left" vertical="center" wrapText="1" indent="1"/>
    </xf>
    <xf numFmtId="0" fontId="129" fillId="0" borderId="0" xfId="0" applyFont="1" applyAlignment="1">
      <alignment horizontal="center" vertical="center" wrapText="1"/>
    </xf>
    <xf numFmtId="0" fontId="95" fillId="0" borderId="130" xfId="0" applyFont="1" applyBorder="1" applyAlignment="1">
      <alignment horizontal="center" vertical="center" wrapText="1"/>
    </xf>
    <xf numFmtId="0" fontId="205" fillId="0" borderId="131" xfId="0" applyFont="1" applyBorder="1" applyAlignment="1">
      <alignment horizontal="center" vertical="center" wrapText="1"/>
    </xf>
    <xf numFmtId="0" fontId="205" fillId="0" borderId="84" xfId="0" applyFont="1" applyBorder="1" applyAlignment="1">
      <alignment horizontal="center" vertical="center" wrapText="1"/>
    </xf>
    <xf numFmtId="0" fontId="205" fillId="0" borderId="85" xfId="0" applyFont="1" applyBorder="1" applyAlignment="1">
      <alignment horizontal="center" vertical="center" wrapText="1"/>
    </xf>
    <xf numFmtId="0" fontId="208" fillId="0" borderId="0" xfId="0" applyFont="1" applyAlignment="1"/>
    <xf numFmtId="0" fontId="58" fillId="0" borderId="0" xfId="0" applyFont="1" applyAlignment="1">
      <alignment wrapText="1"/>
    </xf>
    <xf numFmtId="0" fontId="209" fillId="9" borderId="0" xfId="0" applyFont="1" applyFill="1"/>
    <xf numFmtId="0" fontId="58" fillId="0" borderId="0" xfId="0" applyFont="1" applyAlignment="1">
      <alignment vertical="top"/>
    </xf>
    <xf numFmtId="0" fontId="210" fillId="0" borderId="0" xfId="0" applyFont="1" applyAlignment="1">
      <alignment vertical="center"/>
    </xf>
    <xf numFmtId="0" fontId="211" fillId="0" borderId="0" xfId="0" applyFont="1" applyAlignment="1">
      <alignment horizontal="justify" vertical="center"/>
    </xf>
    <xf numFmtId="0" fontId="151" fillId="0" borderId="0" xfId="0" applyFont="1" applyAlignment="1">
      <alignment horizontal="justify" vertical="center"/>
    </xf>
    <xf numFmtId="0" fontId="151" fillId="0" borderId="0" xfId="0" applyFont="1" applyAlignment="1">
      <alignment horizontal="justify" vertical="center" wrapText="1"/>
    </xf>
    <xf numFmtId="0" fontId="213" fillId="0" borderId="0" xfId="0" applyFont="1" applyAlignment="1">
      <alignment horizontal="justify" vertical="center"/>
    </xf>
    <xf numFmtId="0" fontId="205" fillId="0" borderId="0" xfId="0" applyFont="1" applyAlignment="1">
      <alignment horizontal="left" vertical="center" wrapText="1"/>
    </xf>
    <xf numFmtId="0" fontId="151" fillId="0" borderId="0" xfId="0" applyFont="1" applyAlignment="1">
      <alignment horizontal="left" vertical="center" wrapText="1" indent="2"/>
    </xf>
    <xf numFmtId="0" fontId="151" fillId="0" borderId="0" xfId="0" applyFont="1" applyAlignment="1">
      <alignment horizontal="left" vertical="center" indent="1"/>
    </xf>
    <xf numFmtId="0" fontId="205" fillId="0" borderId="0" xfId="0" applyFont="1" applyAlignment="1">
      <alignment horizontal="left" vertical="center"/>
    </xf>
    <xf numFmtId="0" fontId="90" fillId="17" borderId="0" xfId="0" applyFont="1" applyFill="1" applyAlignment="1">
      <alignment horizontal="center" vertical="center"/>
    </xf>
    <xf numFmtId="0" fontId="100" fillId="18" borderId="135" xfId="13" applyFont="1" applyFill="1" applyBorder="1" applyAlignment="1">
      <alignment horizontal="center"/>
    </xf>
    <xf numFmtId="3" fontId="0" fillId="0" borderId="0" xfId="0" applyNumberFormat="1" applyAlignment="1">
      <alignment vertical="center" wrapText="1"/>
    </xf>
    <xf numFmtId="0" fontId="29" fillId="0" borderId="0" xfId="0" applyFont="1" applyBorder="1" applyAlignment="1">
      <alignment horizontal="center" vertical="top" wrapText="1"/>
    </xf>
    <xf numFmtId="0" fontId="29" fillId="0" borderId="0" xfId="0" applyFont="1" applyBorder="1" applyAlignment="1">
      <alignment vertical="top" wrapText="1"/>
    </xf>
    <xf numFmtId="0" fontId="29" fillId="0" borderId="52" xfId="0" quotePrefix="1" applyFont="1" applyFill="1" applyBorder="1" applyAlignment="1">
      <alignment vertical="center" wrapText="1"/>
    </xf>
    <xf numFmtId="0" fontId="29" fillId="0" borderId="52" xfId="0" applyFont="1" applyFill="1" applyBorder="1" applyAlignment="1">
      <alignment horizontal="center" vertical="center"/>
    </xf>
    <xf numFmtId="0" fontId="29" fillId="0" borderId="52" xfId="0" applyFont="1" applyFill="1" applyBorder="1" applyAlignment="1">
      <alignment vertical="center"/>
    </xf>
    <xf numFmtId="0" fontId="133" fillId="0" borderId="58" xfId="6" applyFont="1" applyBorder="1" applyAlignment="1">
      <alignment horizontal="center"/>
    </xf>
    <xf numFmtId="0" fontId="133" fillId="0" borderId="58" xfId="6" applyFont="1" applyBorder="1" applyAlignment="1">
      <alignment horizontal="center" vertical="center"/>
    </xf>
    <xf numFmtId="0" fontId="133" fillId="0" borderId="58" xfId="6" applyFont="1" applyBorder="1" applyAlignment="1"/>
    <xf numFmtId="0" fontId="169" fillId="6" borderId="14" xfId="6" applyFont="1" applyFill="1" applyBorder="1" applyAlignment="1">
      <alignment horizontal="center" vertical="center"/>
    </xf>
    <xf numFmtId="0" fontId="169" fillId="6" borderId="14" xfId="6" applyFont="1" applyFill="1" applyBorder="1" applyAlignment="1">
      <alignment vertical="center"/>
    </xf>
    <xf numFmtId="0" fontId="0" fillId="0" borderId="35" xfId="0" applyFont="1" applyBorder="1" applyAlignment="1">
      <alignment vertical="center" wrapText="1"/>
    </xf>
    <xf numFmtId="0" fontId="0" fillId="0" borderId="30" xfId="0" applyFont="1" applyBorder="1" applyAlignment="1">
      <alignment vertical="center" wrapText="1"/>
    </xf>
    <xf numFmtId="0" fontId="0" fillId="0" borderId="29" xfId="0" applyFont="1" applyBorder="1" applyAlignment="1">
      <alignment vertical="center" wrapText="1"/>
    </xf>
    <xf numFmtId="0" fontId="29" fillId="0" borderId="136" xfId="0" applyFont="1" applyFill="1" applyBorder="1" applyAlignment="1">
      <alignment vertical="center" wrapText="1"/>
    </xf>
    <xf numFmtId="0" fontId="31" fillId="4" borderId="137" xfId="0" applyFont="1" applyFill="1" applyBorder="1" applyAlignment="1">
      <alignment horizontal="center" vertical="center" wrapText="1"/>
    </xf>
    <xf numFmtId="0" fontId="128" fillId="2" borderId="15" xfId="0" applyFont="1" applyFill="1" applyBorder="1" applyAlignment="1">
      <alignment horizontal="center"/>
    </xf>
    <xf numFmtId="0" fontId="128" fillId="2" borderId="15" xfId="0" applyFont="1" applyFill="1" applyBorder="1" applyAlignment="1">
      <alignment horizontal="left"/>
    </xf>
    <xf numFmtId="0" fontId="23" fillId="0" borderId="15" xfId="0" applyFont="1" applyBorder="1" applyAlignment="1">
      <alignment horizontal="center" vertical="center"/>
    </xf>
    <xf numFmtId="0" fontId="23" fillId="0" borderId="15" xfId="0" applyFont="1" applyBorder="1" applyAlignment="1">
      <alignment vertical="center"/>
    </xf>
    <xf numFmtId="0" fontId="28" fillId="12" borderId="35" xfId="0" applyFont="1" applyFill="1" applyBorder="1" applyAlignment="1">
      <alignment horizontal="center"/>
    </xf>
    <xf numFmtId="0" fontId="28" fillId="12" borderId="14" xfId="0" applyFont="1" applyFill="1" applyBorder="1" applyAlignment="1">
      <alignment horizontal="center"/>
    </xf>
    <xf numFmtId="0" fontId="0" fillId="0" borderId="0" xfId="0" applyAlignment="1">
      <alignment horizontal="justify" vertical="center" wrapText="1"/>
    </xf>
    <xf numFmtId="0" fontId="58" fillId="0" borderId="0" xfId="0" applyFont="1" applyAlignment="1">
      <alignment vertical="center"/>
    </xf>
    <xf numFmtId="0" fontId="131" fillId="0" borderId="0" xfId="0" applyFont="1" applyAlignment="1">
      <alignment vertical="center"/>
    </xf>
    <xf numFmtId="0" fontId="0" fillId="0" borderId="0" xfId="0" applyAlignment="1">
      <alignment horizontal="left"/>
    </xf>
    <xf numFmtId="0" fontId="21" fillId="0" borderId="0" xfId="6" applyFont="1" applyBorder="1" applyAlignment="1">
      <alignment vertical="top"/>
    </xf>
    <xf numFmtId="0" fontId="21" fillId="0" borderId="0" xfId="6" applyFont="1" applyBorder="1" applyAlignment="1">
      <alignment horizontal="left" vertical="top" wrapText="1"/>
    </xf>
    <xf numFmtId="0" fontId="21" fillId="0" borderId="0" xfId="6" applyFont="1" applyBorder="1" applyAlignment="1">
      <alignment horizontal="left" vertical="top"/>
    </xf>
    <xf numFmtId="164" fontId="21" fillId="0" borderId="0" xfId="6" applyNumberFormat="1" applyFont="1" applyBorder="1" applyAlignment="1">
      <alignment horizontal="right" vertical="top"/>
    </xf>
    <xf numFmtId="14" fontId="21" fillId="0" borderId="0" xfId="6" applyNumberFormat="1" applyFont="1" applyBorder="1" applyAlignment="1">
      <alignment horizontal="right" vertical="top"/>
    </xf>
    <xf numFmtId="170" fontId="21" fillId="0" borderId="0" xfId="6" applyNumberFormat="1" applyFont="1" applyBorder="1" applyAlignment="1">
      <alignment horizontal="center" vertical="top"/>
    </xf>
    <xf numFmtId="0" fontId="22" fillId="0" borderId="0" xfId="0" applyFont="1" applyBorder="1" applyAlignment="1">
      <alignment horizontal="center" vertical="top"/>
    </xf>
    <xf numFmtId="0" fontId="21" fillId="0" borderId="0" xfId="6" applyFont="1" applyBorder="1" applyAlignment="1">
      <alignment horizontal="center"/>
    </xf>
    <xf numFmtId="0" fontId="21" fillId="0" borderId="0" xfId="6" applyFont="1" applyBorder="1" applyAlignment="1"/>
    <xf numFmtId="0" fontId="21" fillId="0" borderId="0" xfId="6" applyFont="1" applyBorder="1" applyAlignment="1">
      <alignment horizontal="left"/>
    </xf>
    <xf numFmtId="14" fontId="21" fillId="0" borderId="0" xfId="6" applyNumberFormat="1" applyFont="1" applyBorder="1"/>
    <xf numFmtId="0" fontId="21" fillId="0" borderId="0" xfId="6" applyFont="1" applyBorder="1" applyAlignment="1">
      <alignment horizontal="right"/>
    </xf>
    <xf numFmtId="0" fontId="95" fillId="0" borderId="138" xfId="0" applyFont="1" applyBorder="1" applyAlignment="1">
      <alignment horizontal="center" vertical="center" wrapText="1"/>
    </xf>
    <xf numFmtId="0" fontId="58" fillId="0" borderId="138" xfId="0" applyFont="1" applyBorder="1" applyAlignment="1">
      <alignment horizontal="center" vertical="center" wrapText="1"/>
    </xf>
    <xf numFmtId="0" fontId="96" fillId="0" borderId="138" xfId="0" applyFont="1" applyBorder="1" applyAlignment="1">
      <alignment horizontal="center" vertical="center" wrapText="1"/>
    </xf>
    <xf numFmtId="0" fontId="95" fillId="0" borderId="138" xfId="0" quotePrefix="1" applyFont="1" applyBorder="1" applyAlignment="1">
      <alignment horizontal="left" vertical="center"/>
    </xf>
    <xf numFmtId="0" fontId="58" fillId="0" borderId="0" xfId="0" applyFont="1" applyBorder="1" applyAlignment="1">
      <alignment horizontal="justify" vertical="justify" wrapText="1"/>
    </xf>
    <xf numFmtId="0" fontId="96" fillId="0" borderId="0" xfId="0" applyFont="1" applyBorder="1" applyAlignment="1">
      <alignment horizontal="center" vertical="center" wrapText="1"/>
    </xf>
    <xf numFmtId="0" fontId="23" fillId="0" borderId="0" xfId="0" applyFont="1" applyBorder="1"/>
    <xf numFmtId="0" fontId="23" fillId="0" borderId="138" xfId="0" applyFont="1" applyBorder="1" applyAlignment="1">
      <alignment vertical="center" wrapText="1"/>
    </xf>
    <xf numFmtId="0" fontId="89" fillId="0" borderId="0" xfId="0" applyFont="1" applyAlignment="1">
      <alignment vertical="top" wrapText="1"/>
    </xf>
    <xf numFmtId="0" fontId="92" fillId="0" borderId="0" xfId="0" applyFont="1" applyAlignment="1">
      <alignment horizontal="center" vertical="center" wrapText="1"/>
    </xf>
    <xf numFmtId="0" fontId="95" fillId="0" borderId="0" xfId="0" applyFont="1" applyAlignment="1">
      <alignment vertical="center"/>
    </xf>
    <xf numFmtId="0" fontId="102" fillId="0" borderId="0" xfId="0" applyFont="1" applyAlignment="1">
      <alignment horizontal="left" vertical="center" indent="2"/>
    </xf>
    <xf numFmtId="0" fontId="114" fillId="0" borderId="0" xfId="0" applyFont="1" applyAlignment="1">
      <alignment vertical="center"/>
    </xf>
    <xf numFmtId="0" fontId="114" fillId="0" borderId="0" xfId="0" applyFont="1" applyAlignment="1">
      <alignment horizontal="justify" vertical="center"/>
    </xf>
    <xf numFmtId="0" fontId="102" fillId="0" borderId="0" xfId="0" applyFont="1" applyAlignment="1">
      <alignment horizontal="justify" vertical="center"/>
    </xf>
    <xf numFmtId="0" fontId="220" fillId="0" borderId="0" xfId="0" applyFont="1" applyAlignment="1">
      <alignment vertical="center"/>
    </xf>
    <xf numFmtId="0" fontId="222" fillId="0" borderId="0" xfId="0" applyFont="1" applyAlignment="1">
      <alignment horizontal="center" vertical="center"/>
    </xf>
    <xf numFmtId="0" fontId="114" fillId="0" borderId="0" xfId="0" applyFont="1" applyAlignment="1">
      <alignment horizontal="center" vertical="center"/>
    </xf>
    <xf numFmtId="0" fontId="222" fillId="0" borderId="0" xfId="0" applyFont="1" applyAlignment="1">
      <alignment horizontal="left" vertical="center" indent="2"/>
    </xf>
    <xf numFmtId="0" fontId="136" fillId="0" borderId="0" xfId="0" applyFont="1" applyAlignment="1">
      <alignment horizontal="center" vertical="center"/>
    </xf>
    <xf numFmtId="0" fontId="136" fillId="0" borderId="0" xfId="0" applyFont="1" applyAlignment="1">
      <alignment vertical="center"/>
    </xf>
    <xf numFmtId="0" fontId="102" fillId="0" borderId="0" xfId="0" quotePrefix="1" applyFont="1" applyAlignment="1">
      <alignment horizontal="left" vertical="center" indent="2"/>
    </xf>
    <xf numFmtId="0" fontId="102" fillId="0" borderId="0" xfId="0" applyFont="1" applyAlignment="1">
      <alignment vertical="center"/>
    </xf>
    <xf numFmtId="0" fontId="0" fillId="24" borderId="0" xfId="0" applyFill="1"/>
    <xf numFmtId="0" fontId="136" fillId="24" borderId="0" xfId="0" applyFont="1" applyFill="1" applyAlignment="1">
      <alignment horizontal="center" vertical="center"/>
    </xf>
    <xf numFmtId="0" fontId="114" fillId="24" borderId="0" xfId="0" applyFont="1" applyFill="1" applyAlignment="1">
      <alignment vertical="center"/>
    </xf>
    <xf numFmtId="0" fontId="89" fillId="0" borderId="0" xfId="0" applyFont="1" applyAlignment="1">
      <alignment vertical="center"/>
    </xf>
    <xf numFmtId="0" fontId="219" fillId="0" borderId="0" xfId="0" applyFont="1" applyAlignment="1">
      <alignment vertical="center"/>
    </xf>
    <xf numFmtId="0" fontId="93" fillId="0" borderId="0" xfId="0" applyFont="1" applyAlignment="1">
      <alignment horizontal="left" vertical="center" wrapText="1"/>
    </xf>
    <xf numFmtId="0" fontId="89" fillId="0" borderId="0" xfId="0" applyFont="1" applyAlignment="1">
      <alignment horizontal="left" vertical="top" wrapText="1"/>
    </xf>
    <xf numFmtId="0" fontId="93" fillId="0" borderId="0" xfId="0" applyFont="1" applyAlignment="1">
      <alignment horizontal="left" vertical="center"/>
    </xf>
    <xf numFmtId="0" fontId="58" fillId="0" borderId="0" xfId="0" applyFont="1" applyAlignment="1">
      <alignment horizontal="left" vertical="center"/>
    </xf>
    <xf numFmtId="0" fontId="89" fillId="0" borderId="0" xfId="0" applyFont="1" applyAlignment="1">
      <alignment horizontal="left" vertical="center"/>
    </xf>
    <xf numFmtId="0" fontId="92" fillId="0" borderId="0" xfId="0" applyFont="1" applyAlignment="1">
      <alignment horizontal="left" vertical="center" wrapText="1"/>
    </xf>
    <xf numFmtId="0" fontId="0" fillId="0" borderId="0" xfId="0" applyAlignment="1">
      <alignment horizontal="left" vertical="top" wrapText="1"/>
    </xf>
    <xf numFmtId="0" fontId="23" fillId="24" borderId="0" xfId="0" applyFont="1" applyFill="1"/>
    <xf numFmtId="0" fontId="93" fillId="0" borderId="138" xfId="0" applyFont="1" applyBorder="1" applyAlignment="1">
      <alignment horizontal="center" vertical="center" wrapText="1"/>
    </xf>
    <xf numFmtId="0" fontId="89" fillId="0" borderId="138" xfId="0" applyFont="1" applyBorder="1" applyAlignment="1">
      <alignment horizontal="center" vertical="center" wrapText="1"/>
    </xf>
    <xf numFmtId="0" fontId="89" fillId="0" borderId="0" xfId="0" applyFont="1" applyBorder="1" applyAlignment="1">
      <alignment horizontal="center" vertical="center" wrapText="1"/>
    </xf>
    <xf numFmtId="0" fontId="223" fillId="0" borderId="0" xfId="0" applyFont="1" applyAlignment="1">
      <alignment horizontal="justify" vertical="center" wrapText="1"/>
    </xf>
    <xf numFmtId="0" fontId="95" fillId="0" borderId="0" xfId="0" applyFont="1" applyAlignment="1">
      <alignment horizontal="center"/>
    </xf>
    <xf numFmtId="0" fontId="0" fillId="0" borderId="0" xfId="0" applyAlignment="1">
      <alignment horizontal="justify" vertical="center" wrapText="1"/>
    </xf>
    <xf numFmtId="0" fontId="58" fillId="0" borderId="0" xfId="0" applyFont="1" applyAlignment="1">
      <alignment horizontal="justify" vertical="center" wrapText="1"/>
    </xf>
    <xf numFmtId="0" fontId="91" fillId="0" borderId="0" xfId="0" applyFont="1" applyAlignment="1">
      <alignment horizontal="center" vertical="center" wrapText="1"/>
    </xf>
    <xf numFmtId="0" fontId="134" fillId="0" borderId="0" xfId="0" applyFont="1" applyAlignment="1">
      <alignment horizontal="center" vertical="center"/>
    </xf>
    <xf numFmtId="0" fontId="95" fillId="0" borderId="0" xfId="0" applyFont="1" applyAlignment="1">
      <alignment horizontal="left" vertical="center"/>
    </xf>
    <xf numFmtId="0" fontId="95" fillId="0" borderId="138" xfId="0" applyFont="1" applyBorder="1" applyAlignment="1">
      <alignment horizontal="center" vertical="center" wrapText="1"/>
    </xf>
    <xf numFmtId="0" fontId="58" fillId="0" borderId="0" xfId="0" applyFont="1" applyAlignment="1">
      <alignment horizontal="justify" vertical="center"/>
    </xf>
    <xf numFmtId="0" fontId="114" fillId="0" borderId="0" xfId="0" applyFont="1" applyAlignment="1">
      <alignment horizontal="left" vertical="center"/>
    </xf>
    <xf numFmtId="0" fontId="102" fillId="0" borderId="0" xfId="0" applyFont="1" applyAlignment="1">
      <alignment horizontal="left" vertical="center"/>
    </xf>
    <xf numFmtId="0" fontId="114" fillId="0" borderId="0" xfId="0" applyFont="1" applyAlignment="1">
      <alignment horizontal="center" vertical="center"/>
    </xf>
    <xf numFmtId="0" fontId="89" fillId="0" borderId="0" xfId="0" applyFont="1" applyAlignment="1">
      <alignment horizontal="left" vertical="center"/>
    </xf>
    <xf numFmtId="0" fontId="92" fillId="0" borderId="0" xfId="0" applyFont="1" applyAlignment="1">
      <alignment horizontal="center" vertical="center" wrapText="1"/>
    </xf>
    <xf numFmtId="0" fontId="89" fillId="0" borderId="0" xfId="0" applyFont="1" applyAlignment="1">
      <alignment horizontal="justify" vertical="center" wrapText="1"/>
    </xf>
    <xf numFmtId="0" fontId="0" fillId="0" borderId="0" xfId="0" applyAlignment="1">
      <alignment horizontal="left"/>
    </xf>
    <xf numFmtId="0" fontId="196" fillId="0" borderId="0" xfId="0" applyFont="1" applyFill="1"/>
    <xf numFmtId="0" fontId="196" fillId="0" borderId="0" xfId="0" applyFont="1" applyFill="1" applyAlignment="1">
      <alignment horizontal="center" wrapText="1"/>
    </xf>
    <xf numFmtId="0" fontId="216" fillId="0" borderId="0" xfId="0" applyFont="1" applyFill="1"/>
    <xf numFmtId="164" fontId="215" fillId="0" borderId="0" xfId="0" applyNumberFormat="1" applyFont="1" applyFill="1"/>
    <xf numFmtId="14" fontId="215" fillId="0" borderId="0" xfId="0" applyNumberFormat="1" applyFont="1" applyFill="1"/>
    <xf numFmtId="171" fontId="34" fillId="0" borderId="0" xfId="0" applyNumberFormat="1" applyFont="1" applyAlignment="1">
      <alignment horizontal="right"/>
    </xf>
    <xf numFmtId="164" fontId="227" fillId="0" borderId="0" xfId="0" applyNumberFormat="1" applyFont="1" applyFill="1"/>
    <xf numFmtId="0" fontId="94" fillId="0" borderId="0" xfId="0" applyFont="1" applyFill="1" applyAlignment="1">
      <alignment horizontal="center"/>
    </xf>
    <xf numFmtId="0" fontId="56" fillId="0" borderId="0" xfId="0" applyFont="1"/>
    <xf numFmtId="0" fontId="56" fillId="0" borderId="0" xfId="0" applyFont="1" applyFill="1" applyAlignment="1">
      <alignment horizontal="center" wrapText="1"/>
    </xf>
    <xf numFmtId="164" fontId="126" fillId="0" borderId="0" xfId="0" applyNumberFormat="1" applyFont="1" applyFill="1"/>
    <xf numFmtId="0" fontId="56" fillId="0" borderId="0" xfId="0" applyFont="1" applyFill="1"/>
    <xf numFmtId="0" fontId="56" fillId="0" borderId="0" xfId="0" applyFont="1" applyAlignment="1">
      <alignment horizontal="justify" wrapText="1"/>
    </xf>
    <xf numFmtId="0" fontId="228" fillId="0" borderId="0" xfId="0" applyFont="1" applyFill="1"/>
    <xf numFmtId="0" fontId="229" fillId="0" borderId="0" xfId="0" applyFont="1" applyFill="1" applyAlignment="1">
      <alignment horizontal="center" wrapText="1"/>
    </xf>
    <xf numFmtId="0" fontId="82" fillId="16" borderId="0" xfId="0" applyFont="1" applyFill="1" applyAlignment="1">
      <alignment horizontal="center"/>
    </xf>
    <xf numFmtId="0" fontId="89" fillId="0" borderId="0" xfId="0" applyFont="1" applyAlignment="1">
      <alignment horizontal="center" vertical="center"/>
    </xf>
    <xf numFmtId="0" fontId="231" fillId="0" borderId="0" xfId="0" applyFont="1" applyAlignment="1">
      <alignment horizontal="left" vertical="center"/>
    </xf>
    <xf numFmtId="0" fontId="230" fillId="0" borderId="0" xfId="0" applyFont="1" applyAlignment="1">
      <alignment horizontal="left" vertical="center"/>
    </xf>
    <xf numFmtId="0" fontId="95" fillId="0" borderId="138" xfId="0" applyFont="1" applyBorder="1" applyAlignment="1">
      <alignment horizontal="center" vertical="center"/>
    </xf>
    <xf numFmtId="0" fontId="95" fillId="0" borderId="138" xfId="0" applyFont="1" applyBorder="1" applyAlignment="1">
      <alignment horizontal="right" vertical="center"/>
    </xf>
    <xf numFmtId="0" fontId="95" fillId="0" borderId="0" xfId="0" applyFont="1" applyBorder="1" applyAlignment="1">
      <alignment horizontal="center" vertical="center"/>
    </xf>
    <xf numFmtId="0" fontId="95" fillId="0" borderId="0" xfId="0" applyFont="1" applyBorder="1" applyAlignment="1">
      <alignment horizontal="right" vertical="center"/>
    </xf>
    <xf numFmtId="0" fontId="58" fillId="0" borderId="0" xfId="0" applyFont="1" applyAlignment="1">
      <alignment horizontal="left"/>
    </xf>
    <xf numFmtId="0" fontId="0" fillId="24" borderId="0" xfId="0" applyFill="1" applyAlignment="1">
      <alignment vertical="center"/>
    </xf>
    <xf numFmtId="0" fontId="97" fillId="9" borderId="142" xfId="0" applyFont="1" applyFill="1" applyBorder="1"/>
    <xf numFmtId="164" fontId="97" fillId="9" borderId="142" xfId="0" applyNumberFormat="1" applyFont="1" applyFill="1" applyBorder="1"/>
    <xf numFmtId="14" fontId="97" fillId="9" borderId="142" xfId="0" applyNumberFormat="1" applyFont="1" applyFill="1" applyBorder="1"/>
    <xf numFmtId="0" fontId="102" fillId="25" borderId="0" xfId="0" applyFont="1" applyFill="1" applyAlignment="1">
      <alignment horizontal="left" vertical="center" wrapText="1"/>
    </xf>
    <xf numFmtId="0" fontId="58" fillId="25" borderId="0" xfId="0" applyFont="1" applyFill="1" applyBorder="1" applyAlignment="1">
      <alignment horizontal="left" vertical="top" wrapText="1"/>
    </xf>
    <xf numFmtId="0" fontId="0" fillId="0" borderId="0" xfId="0" applyBorder="1"/>
    <xf numFmtId="0" fontId="222" fillId="25" borderId="0" xfId="0" applyFont="1" applyFill="1" applyAlignment="1">
      <alignment horizontal="right" vertical="center" wrapText="1"/>
    </xf>
    <xf numFmtId="0" fontId="62" fillId="12" borderId="0" xfId="0" applyFont="1" applyFill="1" applyAlignment="1">
      <alignment vertical="center"/>
    </xf>
    <xf numFmtId="0" fontId="0" fillId="0" borderId="53" xfId="0" applyFill="1" applyBorder="1" applyAlignment="1">
      <alignment horizontal="center" vertical="center"/>
    </xf>
    <xf numFmtId="0" fontId="0" fillId="0" borderId="53" xfId="0" applyFill="1" applyBorder="1" applyAlignment="1">
      <alignment vertical="center"/>
    </xf>
    <xf numFmtId="0" fontId="0" fillId="0" borderId="53" xfId="0" applyFill="1" applyBorder="1" applyAlignment="1">
      <alignment vertical="center" wrapText="1"/>
    </xf>
    <xf numFmtId="0" fontId="0" fillId="0" borderId="54" xfId="0" applyFill="1" applyBorder="1" applyAlignment="1">
      <alignment horizontal="center" vertical="center"/>
    </xf>
    <xf numFmtId="0" fontId="0" fillId="0" borderId="54" xfId="0" applyFill="1" applyBorder="1" applyAlignment="1">
      <alignment vertical="center"/>
    </xf>
    <xf numFmtId="0" fontId="0" fillId="0" borderId="54" xfId="0" applyFill="1" applyBorder="1" applyAlignment="1">
      <alignment vertical="center" wrapText="1"/>
    </xf>
    <xf numFmtId="0" fontId="0" fillId="0" borderId="55" xfId="0" applyFill="1" applyBorder="1" applyAlignment="1">
      <alignment horizontal="center" vertical="center"/>
    </xf>
    <xf numFmtId="0" fontId="0" fillId="0" borderId="55" xfId="0" applyFill="1" applyBorder="1" applyAlignment="1">
      <alignment vertical="center"/>
    </xf>
    <xf numFmtId="0" fontId="0" fillId="0" borderId="55" xfId="0" applyFill="1" applyBorder="1" applyAlignment="1">
      <alignment vertical="center" wrapText="1"/>
    </xf>
    <xf numFmtId="0" fontId="12" fillId="6" borderId="0" xfId="4" applyFont="1" applyFill="1" applyBorder="1" applyAlignment="1">
      <alignment horizontal="center" vertical="top"/>
    </xf>
    <xf numFmtId="0" fontId="0" fillId="0" borderId="56" xfId="0" applyFill="1" applyBorder="1"/>
    <xf numFmtId="0" fontId="0" fillId="0" borderId="54" xfId="0" applyFill="1" applyBorder="1"/>
    <xf numFmtId="0" fontId="0" fillId="0" borderId="55" xfId="0" applyFill="1" applyBorder="1"/>
    <xf numFmtId="0" fontId="0" fillId="0" borderId="0" xfId="0" applyBorder="1" applyAlignment="1">
      <alignment horizontal="center" vertical="center"/>
    </xf>
    <xf numFmtId="0" fontId="0" fillId="0" borderId="0" xfId="0" applyBorder="1" applyAlignment="1">
      <alignment vertical="center"/>
    </xf>
    <xf numFmtId="0" fontId="58" fillId="0" borderId="0" xfId="0" applyFont="1" applyBorder="1"/>
    <xf numFmtId="14" fontId="58" fillId="0" borderId="0" xfId="0" applyNumberFormat="1" applyFont="1" applyBorder="1"/>
    <xf numFmtId="0" fontId="200" fillId="6" borderId="14" xfId="5" applyFont="1" applyFill="1" applyBorder="1" applyAlignment="1">
      <alignment horizontal="center" vertical="center" wrapText="1"/>
    </xf>
    <xf numFmtId="0" fontId="201" fillId="6" borderId="14" xfId="5"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Font="1" applyAlignment="1" applyProtection="1">
      <alignment horizontal="center"/>
      <protection locked="0"/>
    </xf>
    <xf numFmtId="0" fontId="0" fillId="0" borderId="0" xfId="0" applyFont="1" applyAlignment="1" applyProtection="1">
      <alignment horizontal="left" wrapText="1"/>
      <protection locked="0"/>
    </xf>
    <xf numFmtId="0" fontId="23" fillId="0" borderId="0" xfId="0" applyFont="1" applyBorder="1" applyAlignment="1">
      <alignment horizontal="center"/>
    </xf>
    <xf numFmtId="0" fontId="23" fillId="0" borderId="0" xfId="0" applyFont="1" applyBorder="1" applyAlignment="1">
      <alignment wrapText="1"/>
    </xf>
    <xf numFmtId="14" fontId="23" fillId="0" borderId="0" xfId="0" applyNumberFormat="1" applyFont="1" applyBorder="1" applyAlignment="1">
      <alignment wrapText="1"/>
    </xf>
    <xf numFmtId="14" fontId="23" fillId="0" borderId="0" xfId="0" applyNumberFormat="1" applyFont="1" applyBorder="1"/>
    <xf numFmtId="14" fontId="29" fillId="0" borderId="0" xfId="0" applyNumberFormat="1" applyFont="1" applyBorder="1"/>
    <xf numFmtId="0" fontId="29" fillId="0" borderId="0" xfId="0" applyFont="1" applyBorder="1" applyAlignment="1">
      <alignment wrapText="1"/>
    </xf>
    <xf numFmtId="164" fontId="29" fillId="0" borderId="0" xfId="0" applyNumberFormat="1" applyFont="1" applyBorder="1" applyAlignment="1">
      <alignment wrapText="1"/>
    </xf>
    <xf numFmtId="0" fontId="88" fillId="0" borderId="78" xfId="6" applyFont="1" applyFill="1" applyBorder="1" applyAlignment="1">
      <alignment horizontal="left" vertical="center"/>
    </xf>
    <xf numFmtId="14" fontId="235" fillId="9" borderId="0" xfId="0" applyNumberFormat="1" applyFont="1" applyFill="1"/>
    <xf numFmtId="14" fontId="0" fillId="0" borderId="56" xfId="0" applyNumberFormat="1" applyFill="1" applyBorder="1"/>
    <xf numFmtId="14" fontId="0" fillId="0" borderId="54" xfId="0" applyNumberFormat="1" applyFill="1" applyBorder="1"/>
    <xf numFmtId="14" fontId="0" fillId="0" borderId="55" xfId="0" applyNumberFormat="1" applyFill="1" applyBorder="1"/>
    <xf numFmtId="0" fontId="22" fillId="0" borderId="0" xfId="0" applyFont="1" applyBorder="1" applyAlignment="1">
      <alignment horizontal="center" vertical="center" wrapText="1"/>
    </xf>
    <xf numFmtId="0" fontId="22" fillId="0" borderId="0" xfId="0" applyFont="1" applyBorder="1" applyAlignment="1">
      <alignment vertical="center" wrapText="1"/>
    </xf>
    <xf numFmtId="0" fontId="235" fillId="9" borderId="0" xfId="0" applyFont="1" applyFill="1"/>
    <xf numFmtId="1" fontId="235" fillId="9" borderId="0" xfId="0" applyNumberFormat="1" applyFont="1" applyFill="1"/>
    <xf numFmtId="0" fontId="0" fillId="0" borderId="0" xfId="0" applyFont="1" applyAlignment="1" applyProtection="1">
      <alignment horizontal="center"/>
      <protection locked="0"/>
    </xf>
    <xf numFmtId="0" fontId="0" fillId="0" borderId="0" xfId="0" applyAlignment="1">
      <alignment horizontal="left" vertical="center"/>
    </xf>
    <xf numFmtId="0" fontId="0" fillId="0" borderId="0" xfId="0" applyAlignment="1">
      <alignment horizontal="center" vertical="center"/>
    </xf>
    <xf numFmtId="0" fontId="0" fillId="10" borderId="0" xfId="0" applyFill="1" applyAlignment="1">
      <alignment horizontal="left"/>
    </xf>
    <xf numFmtId="0" fontId="236" fillId="10" borderId="0" xfId="0" applyFont="1" applyFill="1" applyAlignment="1">
      <alignment horizontal="left"/>
    </xf>
    <xf numFmtId="0" fontId="237" fillId="0" borderId="0" xfId="2" applyFont="1"/>
    <xf numFmtId="0" fontId="0" fillId="27" borderId="0" xfId="0" applyFill="1"/>
    <xf numFmtId="0" fontId="34" fillId="0" borderId="0" xfId="6" applyFont="1"/>
    <xf numFmtId="0" fontId="238" fillId="27" borderId="0" xfId="0" applyFont="1" applyFill="1"/>
    <xf numFmtId="0" fontId="239" fillId="26" borderId="0" xfId="6" applyFont="1" applyFill="1"/>
    <xf numFmtId="0" fontId="240" fillId="26" borderId="0" xfId="6" applyFont="1" applyFill="1" applyAlignment="1">
      <alignment vertical="center"/>
    </xf>
    <xf numFmtId="0" fontId="33" fillId="0" borderId="0" xfId="6" applyFont="1" applyAlignment="1">
      <alignment vertical="top" wrapText="1"/>
    </xf>
    <xf numFmtId="0" fontId="33" fillId="0" borderId="0" xfId="6" applyFont="1" applyAlignment="1">
      <alignment horizontal="center" vertical="top" wrapText="1"/>
    </xf>
    <xf numFmtId="0" fontId="33" fillId="0" borderId="0" xfId="6" applyFont="1" applyAlignment="1">
      <alignment vertical="top"/>
    </xf>
    <xf numFmtId="0" fontId="34" fillId="0" borderId="0" xfId="6" applyFont="1" applyAlignment="1">
      <alignment vertical="center"/>
    </xf>
    <xf numFmtId="0" fontId="2" fillId="0" borderId="0" xfId="2"/>
    <xf numFmtId="0" fontId="2" fillId="26" borderId="0" xfId="2" applyFill="1"/>
    <xf numFmtId="0" fontId="58" fillId="0" borderId="0" xfId="2" applyFont="1" applyAlignment="1">
      <alignment vertical="top" wrapText="1"/>
    </xf>
    <xf numFmtId="14" fontId="2" fillId="26" borderId="0" xfId="2" applyNumberFormat="1" applyFill="1"/>
    <xf numFmtId="0" fontId="58" fillId="0" borderId="0" xfId="2" applyFont="1" applyAlignment="1">
      <alignment horizontal="center" vertical="top" wrapText="1"/>
    </xf>
    <xf numFmtId="0" fontId="58" fillId="0" borderId="0" xfId="2" applyFont="1" applyAlignment="1">
      <alignment vertical="top"/>
    </xf>
    <xf numFmtId="0" fontId="34" fillId="0" borderId="0" xfId="2" applyFont="1" applyAlignment="1">
      <alignment vertical="center"/>
    </xf>
    <xf numFmtId="0" fontId="0" fillId="0" borderId="0" xfId="0" applyAlignment="1">
      <alignment horizontal="center" vertical="center"/>
    </xf>
    <xf numFmtId="0" fontId="58" fillId="0" borderId="52" xfId="0" applyFont="1" applyFill="1" applyBorder="1" applyAlignment="1">
      <alignment horizontal="center" vertical="center" wrapText="1"/>
    </xf>
    <xf numFmtId="1" fontId="58" fillId="0" borderId="56" xfId="0" applyNumberFormat="1" applyFont="1" applyFill="1" applyBorder="1" applyAlignment="1">
      <alignment horizontal="center" vertical="center" wrapText="1"/>
    </xf>
    <xf numFmtId="0" fontId="58" fillId="0" borderId="56" xfId="0" applyFont="1" applyFill="1" applyBorder="1" applyAlignment="1">
      <alignment horizontal="center" vertical="center" wrapText="1"/>
    </xf>
    <xf numFmtId="0" fontId="96" fillId="0" borderId="96" xfId="0" applyFont="1" applyFill="1" applyBorder="1" applyAlignment="1">
      <alignment horizontal="center" vertical="center" wrapText="1"/>
    </xf>
    <xf numFmtId="0" fontId="58" fillId="0" borderId="0" xfId="0" applyFont="1" applyFill="1" applyBorder="1" applyAlignment="1">
      <alignment horizontal="center" vertical="center" wrapText="1"/>
    </xf>
    <xf numFmtId="14" fontId="188" fillId="0" borderId="12" xfId="7" applyNumberFormat="1" applyFont="1" applyFill="1" applyBorder="1" applyAlignment="1">
      <alignment horizontal="left" vertical="center"/>
    </xf>
    <xf numFmtId="0" fontId="58" fillId="0" borderId="52" xfId="0" applyFont="1" applyFill="1" applyBorder="1" applyAlignment="1">
      <alignment horizontal="left" vertical="center" wrapText="1"/>
    </xf>
    <xf numFmtId="0" fontId="58" fillId="0" borderId="56" xfId="0" applyFont="1" applyFill="1" applyBorder="1" applyAlignment="1">
      <alignment horizontal="left" vertical="center" wrapText="1"/>
    </xf>
    <xf numFmtId="0" fontId="96" fillId="0" borderId="96" xfId="0" applyFont="1" applyFill="1" applyBorder="1" applyAlignment="1">
      <alignment horizontal="left" vertical="center" wrapText="1"/>
    </xf>
    <xf numFmtId="0" fontId="58" fillId="0" borderId="0" xfId="0" applyFont="1" applyFill="1" applyBorder="1" applyAlignment="1">
      <alignment horizontal="left" vertical="center" wrapText="1"/>
    </xf>
    <xf numFmtId="14" fontId="188" fillId="0" borderId="12" xfId="7" applyNumberFormat="1" applyFont="1" applyFill="1" applyBorder="1" applyAlignment="1">
      <alignment horizontal="right" vertical="center"/>
    </xf>
    <xf numFmtId="164" fontId="58" fillId="0" borderId="52" xfId="0" applyNumberFormat="1" applyFont="1" applyFill="1" applyBorder="1" applyAlignment="1">
      <alignment horizontal="right" vertical="center" wrapText="1"/>
    </xf>
    <xf numFmtId="164" fontId="58" fillId="0" borderId="56" xfId="0" applyNumberFormat="1" applyFont="1" applyFill="1" applyBorder="1" applyAlignment="1">
      <alignment horizontal="right" vertical="center" wrapText="1"/>
    </xf>
    <xf numFmtId="164" fontId="96" fillId="0" borderId="96" xfId="0" applyNumberFormat="1" applyFont="1" applyFill="1" applyBorder="1" applyAlignment="1">
      <alignment horizontal="right" vertical="center" wrapText="1"/>
    </xf>
    <xf numFmtId="164" fontId="58" fillId="0" borderId="0" xfId="0" applyNumberFormat="1" applyFont="1" applyFill="1" applyBorder="1" applyAlignment="1">
      <alignment horizontal="right" vertical="center" wrapText="1"/>
    </xf>
    <xf numFmtId="0" fontId="0" fillId="0" borderId="0" xfId="0" applyAlignment="1">
      <alignment horizontal="right" vertical="center"/>
    </xf>
    <xf numFmtId="1" fontId="192" fillId="0" borderId="30" xfId="6" applyNumberFormat="1" applyFont="1" applyFill="1" applyBorder="1" applyAlignment="1">
      <alignment horizontal="center" vertical="center"/>
    </xf>
    <xf numFmtId="164" fontId="192" fillId="0" borderId="30" xfId="6" applyNumberFormat="1" applyFont="1" applyFill="1" applyBorder="1" applyAlignment="1">
      <alignment horizontal="center" vertical="center"/>
    </xf>
    <xf numFmtId="164" fontId="192" fillId="0" borderId="30" xfId="5" applyNumberFormat="1" applyFont="1" applyFill="1" applyBorder="1" applyAlignment="1">
      <alignment vertical="center"/>
    </xf>
    <xf numFmtId="164" fontId="194" fillId="0" borderId="30" xfId="6" applyNumberFormat="1" applyFont="1" applyFill="1" applyBorder="1" applyAlignment="1">
      <alignment horizontal="left" vertical="center"/>
    </xf>
    <xf numFmtId="0" fontId="174" fillId="21" borderId="0" xfId="4" applyFont="1" applyFill="1" applyBorder="1" applyAlignment="1">
      <alignment horizontal="center" vertical="center" wrapText="1"/>
    </xf>
    <xf numFmtId="0" fontId="174" fillId="21" borderId="12" xfId="4" applyFont="1" applyFill="1" applyBorder="1" applyAlignment="1">
      <alignment horizontal="center" vertical="center" wrapText="1"/>
    </xf>
    <xf numFmtId="0" fontId="79" fillId="23" borderId="14" xfId="4" applyFont="1" applyFill="1" applyBorder="1" applyAlignment="1">
      <alignment horizontal="center" vertical="center" wrapText="1"/>
    </xf>
    <xf numFmtId="0" fontId="174" fillId="21" borderId="0" xfId="4" applyFont="1" applyFill="1" applyBorder="1" applyAlignment="1">
      <alignment horizontal="left" vertical="center"/>
    </xf>
    <xf numFmtId="0" fontId="174" fillId="21" borderId="12" xfId="4" applyFont="1" applyFill="1" applyBorder="1" applyAlignment="1">
      <alignment horizontal="left" vertical="center"/>
    </xf>
    <xf numFmtId="0" fontId="0" fillId="0" borderId="144" xfId="0" applyBorder="1"/>
    <xf numFmtId="0" fontId="0" fillId="0" borderId="145" xfId="0" applyBorder="1"/>
    <xf numFmtId="0" fontId="0" fillId="0" borderId="146" xfId="0" applyBorder="1"/>
    <xf numFmtId="0" fontId="33" fillId="0" borderId="0" xfId="6" applyFont="1" applyAlignment="1">
      <alignment horizontal="justify" vertical="top" wrapText="1"/>
    </xf>
    <xf numFmtId="0" fontId="85" fillId="0" borderId="0" xfId="6" applyFont="1" applyAlignment="1">
      <alignment horizontal="center" vertical="center"/>
    </xf>
    <xf numFmtId="0" fontId="241" fillId="0" borderId="143" xfId="2" applyFont="1" applyBorder="1" applyAlignment="1">
      <alignment horizontal="center" vertical="center"/>
    </xf>
    <xf numFmtId="0" fontId="58" fillId="0" borderId="0" xfId="2" applyFont="1" applyAlignment="1">
      <alignment horizontal="center" vertical="top" wrapText="1"/>
    </xf>
    <xf numFmtId="0" fontId="0" fillId="0" borderId="0" xfId="0" applyAlignment="1">
      <alignment horizontal="center"/>
    </xf>
    <xf numFmtId="0" fontId="0" fillId="0" borderId="53" xfId="0" applyFill="1" applyBorder="1"/>
    <xf numFmtId="14" fontId="0" fillId="0" borderId="53" xfId="0" applyNumberFormat="1" applyFill="1" applyBorder="1"/>
    <xf numFmtId="0" fontId="0" fillId="0" borderId="0" xfId="0" applyFill="1" applyBorder="1"/>
    <xf numFmtId="14" fontId="0" fillId="0" borderId="0" xfId="0" applyNumberFormat="1" applyFill="1" applyBorder="1"/>
    <xf numFmtId="0" fontId="75" fillId="0" borderId="0" xfId="0" applyFont="1" applyAlignment="1">
      <alignment vertical="center"/>
    </xf>
    <xf numFmtId="0" fontId="75" fillId="0" borderId="53" xfId="0" applyFont="1" applyFill="1" applyBorder="1" applyAlignment="1">
      <alignment vertical="center"/>
    </xf>
    <xf numFmtId="0" fontId="75" fillId="0" borderId="53" xfId="0" applyFont="1" applyFill="1" applyBorder="1" applyAlignment="1">
      <alignment vertical="center" wrapText="1"/>
    </xf>
    <xf numFmtId="14" fontId="75" fillId="0" borderId="53" xfId="0" applyNumberFormat="1" applyFont="1" applyFill="1" applyBorder="1" applyAlignment="1">
      <alignment vertical="center"/>
    </xf>
    <xf numFmtId="0" fontId="75" fillId="0" borderId="54" xfId="0" applyFont="1" applyFill="1" applyBorder="1" applyAlignment="1">
      <alignment vertical="center"/>
    </xf>
    <xf numFmtId="0" fontId="75" fillId="0" borderId="54" xfId="0" applyFont="1" applyFill="1" applyBorder="1" applyAlignment="1">
      <alignment vertical="center" wrapText="1"/>
    </xf>
    <xf numFmtId="14" fontId="75" fillId="0" borderId="54" xfId="0" applyNumberFormat="1" applyFont="1" applyFill="1" applyBorder="1" applyAlignment="1">
      <alignment vertical="center"/>
    </xf>
    <xf numFmtId="0" fontId="75" fillId="0" borderId="55" xfId="0" applyFont="1" applyFill="1" applyBorder="1" applyAlignment="1">
      <alignment vertical="center"/>
    </xf>
    <xf numFmtId="0" fontId="75" fillId="0" borderId="55" xfId="0" applyFont="1" applyFill="1" applyBorder="1" applyAlignment="1">
      <alignment vertical="center" wrapText="1"/>
    </xf>
    <xf numFmtId="14" fontId="75" fillId="0" borderId="55" xfId="0" applyNumberFormat="1" applyFont="1" applyFill="1" applyBorder="1" applyAlignment="1">
      <alignment vertical="center"/>
    </xf>
    <xf numFmtId="0" fontId="75" fillId="0" borderId="0" xfId="0" applyFont="1" applyAlignment="1">
      <alignment vertical="center" wrapText="1"/>
    </xf>
    <xf numFmtId="0" fontId="79" fillId="23" borderId="14" xfId="4" applyFont="1" applyFill="1" applyBorder="1" applyAlignment="1">
      <alignment vertical="center" wrapText="1"/>
    </xf>
    <xf numFmtId="0" fontId="75" fillId="0" borderId="53" xfId="0" applyFont="1" applyFill="1" applyBorder="1" applyAlignment="1">
      <alignment horizontal="center" vertical="center"/>
    </xf>
    <xf numFmtId="0" fontId="75" fillId="0" borderId="54" xfId="0" applyFont="1" applyFill="1" applyBorder="1" applyAlignment="1">
      <alignment horizontal="center" vertical="center"/>
    </xf>
    <xf numFmtId="0" fontId="75" fillId="0" borderId="55" xfId="0" applyFont="1" applyFill="1" applyBorder="1" applyAlignment="1">
      <alignment horizontal="center" vertical="center"/>
    </xf>
    <xf numFmtId="0" fontId="75" fillId="0" borderId="0" xfId="0" applyFont="1" applyAlignment="1">
      <alignment horizontal="center" vertical="center"/>
    </xf>
    <xf numFmtId="0" fontId="0" fillId="10" borderId="0" xfId="0" applyFill="1" applyAlignment="1">
      <alignment horizontal="left" vertical="center"/>
    </xf>
    <xf numFmtId="0" fontId="2" fillId="26" borderId="0" xfId="2" applyFill="1" applyAlignment="1">
      <alignment vertical="center"/>
    </xf>
    <xf numFmtId="0" fontId="2" fillId="0" borderId="0" xfId="2" applyAlignment="1">
      <alignment vertical="center"/>
    </xf>
    <xf numFmtId="0" fontId="82" fillId="0" borderId="0" xfId="6" applyFont="1" applyAlignment="1">
      <alignment horizontal="center"/>
    </xf>
    <xf numFmtId="0" fontId="0" fillId="27" borderId="0" xfId="0" applyFill="1" applyAlignment="1">
      <alignment vertical="center"/>
    </xf>
    <xf numFmtId="0" fontId="33" fillId="0" borderId="0" xfId="6" applyFont="1" applyAlignment="1">
      <alignment vertical="center"/>
    </xf>
    <xf numFmtId="0" fontId="95" fillId="16" borderId="0" xfId="0" applyFont="1" applyFill="1" applyAlignment="1">
      <alignment horizontal="center"/>
    </xf>
    <xf numFmtId="0" fontId="0" fillId="0" borderId="0" xfId="0" applyAlignment="1">
      <alignment horizontal="center"/>
    </xf>
    <xf numFmtId="0" fontId="0" fillId="0" borderId="0" xfId="0" applyAlignment="1">
      <alignment horizontal="left"/>
    </xf>
    <xf numFmtId="0" fontId="34" fillId="7" borderId="0" xfId="9" applyFont="1" applyFill="1" applyBorder="1" applyAlignment="1">
      <alignment horizontal="left"/>
    </xf>
    <xf numFmtId="0" fontId="192" fillId="0" borderId="78" xfId="6" applyFont="1" applyFill="1" applyBorder="1" applyAlignment="1">
      <alignment horizontal="left" vertical="center"/>
    </xf>
    <xf numFmtId="0" fontId="6" fillId="0" borderId="0" xfId="6" applyFont="1" applyFill="1" applyAlignment="1">
      <alignment vertical="center" wrapText="1"/>
    </xf>
    <xf numFmtId="0" fontId="21" fillId="0" borderId="0" xfId="6" applyFont="1" applyFill="1" applyBorder="1" applyAlignment="1">
      <alignment horizontal="center" vertical="top"/>
    </xf>
    <xf numFmtId="0" fontId="21" fillId="0" borderId="0" xfId="6" applyFont="1" applyFill="1" applyBorder="1" applyAlignment="1">
      <alignment vertical="top"/>
    </xf>
    <xf numFmtId="0" fontId="21" fillId="0" borderId="0" xfId="6" applyFont="1" applyFill="1" applyBorder="1" applyAlignment="1">
      <alignment horizontal="left" vertical="top" wrapText="1"/>
    </xf>
    <xf numFmtId="0" fontId="21" fillId="0" borderId="0" xfId="6" applyFont="1" applyFill="1" applyBorder="1" applyAlignment="1">
      <alignment horizontal="left" vertical="top"/>
    </xf>
    <xf numFmtId="164" fontId="21" fillId="0" borderId="0" xfId="6" applyNumberFormat="1" applyFont="1" applyFill="1" applyBorder="1" applyAlignment="1">
      <alignment horizontal="right" vertical="top"/>
    </xf>
    <xf numFmtId="14" fontId="21" fillId="0" borderId="0" xfId="6" applyNumberFormat="1" applyFont="1" applyFill="1" applyBorder="1" applyAlignment="1">
      <alignment horizontal="right" vertical="top"/>
    </xf>
    <xf numFmtId="170" fontId="21" fillId="0" borderId="0" xfId="6" applyNumberFormat="1" applyFont="1" applyFill="1" applyBorder="1" applyAlignment="1">
      <alignment horizontal="center" vertical="top"/>
    </xf>
    <xf numFmtId="0" fontId="22" fillId="0" borderId="0" xfId="0" applyFont="1" applyFill="1" applyBorder="1" applyAlignment="1">
      <alignment horizontal="center" vertical="top"/>
    </xf>
    <xf numFmtId="14" fontId="21" fillId="0" borderId="0" xfId="6" applyNumberFormat="1" applyFont="1" applyFill="1" applyBorder="1" applyAlignment="1">
      <alignment horizontal="center" vertical="top"/>
    </xf>
    <xf numFmtId="0" fontId="40" fillId="0" borderId="0" xfId="6" applyFont="1" applyFill="1" applyBorder="1" applyAlignment="1">
      <alignment horizontal="center" vertical="center"/>
    </xf>
    <xf numFmtId="0" fontId="21" fillId="0" borderId="0" xfId="6" applyFont="1" applyFill="1" applyBorder="1" applyAlignment="1">
      <alignment horizontal="center"/>
    </xf>
    <xf numFmtId="0" fontId="21" fillId="0" borderId="0" xfId="6" applyFont="1" applyFill="1" applyBorder="1" applyAlignment="1"/>
    <xf numFmtId="0" fontId="21" fillId="0" borderId="0" xfId="6" applyFont="1" applyFill="1" applyBorder="1" applyAlignment="1">
      <alignment horizontal="left"/>
    </xf>
    <xf numFmtId="14" fontId="21" fillId="0" borderId="0" xfId="6" applyNumberFormat="1" applyFont="1" applyFill="1" applyBorder="1"/>
    <xf numFmtId="0" fontId="21" fillId="0" borderId="0" xfId="6" applyFont="1" applyFill="1" applyBorder="1" applyAlignment="1">
      <alignment horizontal="right"/>
    </xf>
    <xf numFmtId="0" fontId="21" fillId="0" borderId="0" xfId="0" applyFont="1" applyFill="1" applyBorder="1"/>
    <xf numFmtId="0" fontId="40" fillId="0" borderId="0" xfId="5" applyFont="1" applyFill="1" applyBorder="1" applyAlignment="1">
      <alignment horizontal="center" vertical="center"/>
    </xf>
    <xf numFmtId="0" fontId="40" fillId="0" borderId="0" xfId="5" applyFont="1" applyFill="1" applyBorder="1" applyAlignment="1">
      <alignment horizontal="left" vertical="center"/>
    </xf>
    <xf numFmtId="0" fontId="40" fillId="0" borderId="0" xfId="5" applyFont="1" applyFill="1" applyBorder="1" applyAlignment="1">
      <alignment vertical="center"/>
    </xf>
    <xf numFmtId="14" fontId="40" fillId="0" borderId="0" xfId="5" applyNumberFormat="1" applyFont="1" applyFill="1" applyBorder="1" applyAlignment="1">
      <alignment vertical="center"/>
    </xf>
    <xf numFmtId="14" fontId="40" fillId="0" borderId="0" xfId="6" applyNumberFormat="1" applyFont="1" applyFill="1" applyBorder="1" applyAlignment="1">
      <alignment horizontal="center" vertical="center"/>
    </xf>
    <xf numFmtId="14" fontId="40" fillId="0" borderId="0" xfId="6" applyNumberFormat="1" applyFont="1" applyFill="1" applyBorder="1" applyAlignment="1">
      <alignment horizontal="left" vertical="center"/>
    </xf>
    <xf numFmtId="0" fontId="40" fillId="0" borderId="0" xfId="6" applyFont="1" applyFill="1" applyBorder="1" applyAlignment="1">
      <alignment horizontal="right" vertical="center"/>
    </xf>
    <xf numFmtId="0" fontId="40" fillId="0" borderId="0" xfId="0" applyFont="1" applyFill="1" applyBorder="1"/>
    <xf numFmtId="0" fontId="0" fillId="0" borderId="0" xfId="0" applyFill="1" applyBorder="1" applyAlignment="1">
      <alignment vertical="center" wrapText="1"/>
    </xf>
    <xf numFmtId="164" fontId="0" fillId="0" borderId="0" xfId="0" applyNumberFormat="1" applyFill="1" applyBorder="1" applyAlignment="1">
      <alignment vertical="center"/>
    </xf>
    <xf numFmtId="0" fontId="23" fillId="0" borderId="0" xfId="0" applyFont="1" applyFill="1" applyBorder="1" applyAlignment="1">
      <alignment vertical="top"/>
    </xf>
    <xf numFmtId="0" fontId="23" fillId="0" borderId="0" xfId="0" applyFont="1" applyFill="1" applyBorder="1" applyAlignment="1">
      <alignment horizontal="justify" vertical="top" wrapText="1"/>
    </xf>
    <xf numFmtId="0" fontId="23" fillId="0" borderId="0" xfId="0" applyFont="1" applyFill="1" applyBorder="1" applyAlignment="1">
      <alignment vertical="top" wrapText="1"/>
    </xf>
    <xf numFmtId="14" fontId="23" fillId="0" borderId="0" xfId="0" applyNumberFormat="1" applyFont="1" applyFill="1" applyBorder="1" applyAlignment="1">
      <alignment vertical="top"/>
    </xf>
    <xf numFmtId="0" fontId="0" fillId="0" borderId="0" xfId="0" applyFill="1" applyBorder="1" applyAlignment="1">
      <alignment vertical="top"/>
    </xf>
    <xf numFmtId="0" fontId="0" fillId="0" borderId="0" xfId="0" applyFill="1" applyBorder="1" applyAlignment="1">
      <alignment horizontal="justify" vertical="top" wrapText="1"/>
    </xf>
    <xf numFmtId="0" fontId="0" fillId="0" borderId="0" xfId="0" applyFill="1" applyBorder="1" applyAlignment="1">
      <alignment vertical="top" wrapText="1"/>
    </xf>
    <xf numFmtId="14" fontId="0" fillId="0" borderId="0" xfId="0" applyNumberFormat="1" applyFill="1" applyBorder="1" applyAlignment="1">
      <alignment vertical="top"/>
    </xf>
    <xf numFmtId="0" fontId="23" fillId="0" borderId="0" xfId="0" applyFont="1" applyFill="1" applyBorder="1" applyAlignment="1">
      <alignment horizontal="center"/>
    </xf>
    <xf numFmtId="0" fontId="23" fillId="0" borderId="0" xfId="0" applyFont="1" applyFill="1" applyBorder="1" applyAlignment="1">
      <alignment wrapText="1"/>
    </xf>
    <xf numFmtId="14" fontId="23" fillId="0" borderId="0" xfId="0" applyNumberFormat="1" applyFont="1" applyFill="1" applyBorder="1" applyAlignment="1">
      <alignment wrapText="1"/>
    </xf>
    <xf numFmtId="14" fontId="23" fillId="0" borderId="0" xfId="0" applyNumberFormat="1" applyFont="1" applyFill="1" applyBorder="1"/>
    <xf numFmtId="0" fontId="39" fillId="0" borderId="0" xfId="0" applyFont="1" applyFill="1" applyBorder="1" applyAlignment="1"/>
    <xf numFmtId="14" fontId="29" fillId="0" borderId="0" xfId="0" applyNumberFormat="1" applyFont="1" applyFill="1" applyBorder="1"/>
    <xf numFmtId="0" fontId="29" fillId="0" borderId="0" xfId="0" applyFont="1" applyFill="1" applyBorder="1" applyAlignment="1">
      <alignment wrapText="1"/>
    </xf>
    <xf numFmtId="164" fontId="29" fillId="0" borderId="0" xfId="0" applyNumberFormat="1" applyFont="1" applyFill="1" applyBorder="1" applyAlignment="1">
      <alignment wrapText="1"/>
    </xf>
    <xf numFmtId="0" fontId="29" fillId="0" borderId="0" xfId="0" applyFont="1" applyFill="1" applyBorder="1"/>
    <xf numFmtId="0" fontId="64" fillId="0" borderId="0" xfId="0" applyFont="1" applyFill="1" applyBorder="1" applyAlignment="1">
      <alignment wrapText="1"/>
    </xf>
    <xf numFmtId="0" fontId="63" fillId="0" borderId="0" xfId="0" applyFont="1" applyFill="1" applyBorder="1" applyAlignment="1">
      <alignment wrapText="1"/>
    </xf>
    <xf numFmtId="14" fontId="0" fillId="0" borderId="0" xfId="0" applyNumberFormat="1" applyFill="1" applyBorder="1" applyAlignment="1">
      <alignment horizontal="justify" wrapText="1"/>
    </xf>
    <xf numFmtId="0" fontId="0" fillId="0" borderId="0" xfId="0" applyFill="1" applyBorder="1" applyAlignment="1">
      <alignment horizontal="justify" wrapText="1"/>
    </xf>
    <xf numFmtId="0" fontId="0" fillId="0" borderId="130" xfId="0" applyFill="1" applyBorder="1" applyAlignment="1">
      <alignment horizontal="center"/>
    </xf>
    <xf numFmtId="0" fontId="144" fillId="0" borderId="130" xfId="0" applyFont="1" applyFill="1" applyBorder="1" applyAlignment="1">
      <alignment horizontal="center"/>
    </xf>
    <xf numFmtId="0" fontId="145" fillId="0" borderId="130" xfId="0" applyFont="1" applyFill="1" applyBorder="1" applyAlignment="1">
      <alignment horizontal="center"/>
    </xf>
    <xf numFmtId="3" fontId="0" fillId="0" borderId="130" xfId="0" applyNumberFormat="1" applyFill="1" applyBorder="1" applyAlignment="1">
      <alignment horizontal="center"/>
    </xf>
    <xf numFmtId="0" fontId="34" fillId="0" borderId="130" xfId="0" applyFont="1" applyFill="1" applyBorder="1" applyAlignment="1">
      <alignment horizontal="center" vertical="center" wrapText="1"/>
    </xf>
    <xf numFmtId="0" fontId="58" fillId="0" borderId="130" xfId="0" applyFont="1" applyFill="1" applyBorder="1" applyAlignment="1">
      <alignment horizontal="center"/>
    </xf>
    <xf numFmtId="164" fontId="159" fillId="0" borderId="78" xfId="5" applyNumberFormat="1" applyFont="1" applyFill="1" applyBorder="1" applyAlignment="1">
      <alignment horizontal="left" vertical="center"/>
    </xf>
    <xf numFmtId="164" fontId="168" fillId="0" borderId="78" xfId="5" applyNumberFormat="1" applyFont="1" applyFill="1" applyBorder="1" applyAlignment="1">
      <alignment horizontal="left" vertical="center"/>
    </xf>
    <xf numFmtId="1" fontId="167" fillId="0" borderId="78" xfId="5" applyNumberFormat="1" applyFont="1" applyFill="1" applyBorder="1" applyAlignment="1">
      <alignment horizontal="center" vertical="center" wrapText="1"/>
    </xf>
    <xf numFmtId="1" fontId="6" fillId="0" borderId="78" xfId="5" applyNumberFormat="1" applyFont="1" applyFill="1" applyBorder="1" applyAlignment="1">
      <alignment horizontal="center" vertical="center" wrapText="1"/>
    </xf>
    <xf numFmtId="1" fontId="157" fillId="0" borderId="78" xfId="5" applyNumberFormat="1" applyFont="1" applyFill="1" applyBorder="1" applyAlignment="1">
      <alignment horizontal="center" vertical="center" wrapText="1"/>
    </xf>
    <xf numFmtId="1" fontId="88" fillId="0" borderId="78" xfId="5" applyNumberFormat="1" applyFont="1" applyFill="1" applyBorder="1" applyAlignment="1">
      <alignment horizontal="center" vertical="center" wrapText="1"/>
    </xf>
    <xf numFmtId="164" fontId="161" fillId="0" borderId="78" xfId="5" applyNumberFormat="1" applyFont="1" applyFill="1" applyBorder="1" applyAlignment="1">
      <alignment horizontal="left" vertical="center"/>
    </xf>
    <xf numFmtId="164" fontId="163" fillId="0" borderId="78" xfId="5" applyNumberFormat="1" applyFont="1" applyFill="1" applyBorder="1" applyAlignment="1">
      <alignment horizontal="left" vertical="center"/>
    </xf>
    <xf numFmtId="164" fontId="158" fillId="0" borderId="134" xfId="5" applyNumberFormat="1" applyFont="1" applyFill="1" applyBorder="1" applyAlignment="1">
      <alignment horizontal="left" vertical="center" wrapText="1"/>
    </xf>
    <xf numFmtId="164" fontId="160" fillId="0" borderId="78" xfId="5" applyNumberFormat="1" applyFont="1" applyFill="1" applyBorder="1" applyAlignment="1">
      <alignment horizontal="left" vertical="center" wrapText="1"/>
    </xf>
    <xf numFmtId="164" fontId="162" fillId="0" borderId="78" xfId="5" applyNumberFormat="1" applyFont="1" applyFill="1" applyBorder="1" applyAlignment="1">
      <alignment horizontal="left" vertical="center" wrapText="1"/>
    </xf>
    <xf numFmtId="164" fontId="158" fillId="0" borderId="78" xfId="5" applyNumberFormat="1" applyFont="1" applyFill="1" applyBorder="1" applyAlignment="1">
      <alignment horizontal="left" vertical="center" wrapText="1"/>
    </xf>
    <xf numFmtId="164" fontId="5" fillId="0" borderId="78" xfId="5" applyNumberFormat="1" applyFont="1" applyFill="1" applyBorder="1" applyAlignment="1">
      <alignment horizontal="left" vertical="center" wrapText="1"/>
    </xf>
    <xf numFmtId="0" fontId="192" fillId="0" borderId="134" xfId="5" applyFont="1" applyFill="1" applyBorder="1" applyAlignment="1">
      <alignment horizontal="center" vertical="center" wrapText="1"/>
    </xf>
    <xf numFmtId="0" fontId="193" fillId="0" borderId="134" xfId="5" applyFont="1" applyFill="1" applyBorder="1" applyAlignment="1">
      <alignment horizontal="left" vertical="center" wrapText="1"/>
    </xf>
    <xf numFmtId="164" fontId="193" fillId="0" borderId="134" xfId="5" applyNumberFormat="1" applyFont="1" applyFill="1" applyBorder="1" applyAlignment="1">
      <alignment horizontal="left" vertical="center" wrapText="1"/>
    </xf>
    <xf numFmtId="1" fontId="192" fillId="0" borderId="78" xfId="5" applyNumberFormat="1" applyFont="1" applyFill="1" applyBorder="1" applyAlignment="1">
      <alignment horizontal="center" vertical="center" wrapText="1"/>
    </xf>
    <xf numFmtId="164" fontId="194" fillId="0" borderId="78" xfId="5" applyNumberFormat="1" applyFont="1" applyFill="1" applyBorder="1" applyAlignment="1">
      <alignment horizontal="left" vertical="center"/>
    </xf>
    <xf numFmtId="0" fontId="0" fillId="0" borderId="0" xfId="0" applyFont="1" applyAlignment="1" applyProtection="1">
      <alignment horizontal="justify" wrapText="1"/>
      <protection locked="0"/>
    </xf>
    <xf numFmtId="0" fontId="0" fillId="0" borderId="0" xfId="0" applyFont="1" applyAlignment="1" applyProtection="1">
      <alignment horizontal="justify" vertical="top" wrapText="1"/>
      <protection locked="0"/>
    </xf>
    <xf numFmtId="0" fontId="192" fillId="0" borderId="78" xfId="5" applyFont="1" applyFill="1" applyBorder="1" applyAlignment="1">
      <alignment horizontal="center" vertical="center" wrapText="1"/>
    </xf>
    <xf numFmtId="0" fontId="193" fillId="0" borderId="78" xfId="5" applyFont="1" applyFill="1" applyBorder="1" applyAlignment="1">
      <alignment horizontal="left" vertical="center" wrapText="1"/>
    </xf>
    <xf numFmtId="164" fontId="193" fillId="0" borderId="78" xfId="5" applyNumberFormat="1" applyFont="1" applyFill="1" applyBorder="1" applyAlignment="1">
      <alignment horizontal="left" vertical="center" wrapText="1"/>
    </xf>
    <xf numFmtId="0" fontId="21" fillId="0" borderId="53" xfId="6" applyFont="1" applyFill="1" applyBorder="1" applyAlignment="1">
      <alignment horizontal="center" vertical="top"/>
    </xf>
    <xf numFmtId="0" fontId="21" fillId="0" borderId="53" xfId="6" applyFont="1" applyFill="1" applyBorder="1" applyAlignment="1">
      <alignment vertical="top"/>
    </xf>
    <xf numFmtId="0" fontId="21" fillId="0" borderId="53" xfId="6" applyFont="1" applyFill="1" applyBorder="1" applyAlignment="1">
      <alignment horizontal="left" vertical="top" wrapText="1"/>
    </xf>
    <xf numFmtId="0" fontId="21" fillId="0" borderId="53" xfId="6" applyFont="1" applyFill="1" applyBorder="1" applyAlignment="1">
      <alignment horizontal="left" vertical="top"/>
    </xf>
    <xf numFmtId="164" fontId="21" fillId="0" borderId="53" xfId="6" applyNumberFormat="1" applyFont="1" applyFill="1" applyBorder="1" applyAlignment="1">
      <alignment horizontal="right" vertical="top"/>
    </xf>
    <xf numFmtId="14" fontId="21" fillId="0" borderId="53" xfId="6" applyNumberFormat="1" applyFont="1" applyFill="1" applyBorder="1" applyAlignment="1">
      <alignment horizontal="right" vertical="top"/>
    </xf>
    <xf numFmtId="170" fontId="21" fillId="0" borderId="53" xfId="6" applyNumberFormat="1" applyFont="1" applyFill="1" applyBorder="1" applyAlignment="1">
      <alignment horizontal="center" vertical="top"/>
    </xf>
    <xf numFmtId="0" fontId="22" fillId="0" borderId="53" xfId="0" applyFont="1" applyFill="1" applyBorder="1" applyAlignment="1">
      <alignment horizontal="center" vertical="top"/>
    </xf>
    <xf numFmtId="0" fontId="21" fillId="0" borderId="54" xfId="6" applyFont="1" applyFill="1" applyBorder="1" applyAlignment="1">
      <alignment horizontal="center" vertical="top"/>
    </xf>
    <xf numFmtId="0" fontId="21" fillId="0" borderId="54" xfId="6" applyFont="1" applyFill="1" applyBorder="1" applyAlignment="1">
      <alignment vertical="top"/>
    </xf>
    <xf numFmtId="0" fontId="21" fillId="0" borderId="54" xfId="6" applyFont="1" applyFill="1" applyBorder="1" applyAlignment="1">
      <alignment horizontal="left" vertical="top" wrapText="1"/>
    </xf>
    <xf numFmtId="0" fontId="21" fillId="0" borderId="54" xfId="6" applyFont="1" applyFill="1" applyBorder="1" applyAlignment="1">
      <alignment horizontal="left" vertical="top"/>
    </xf>
    <xf numFmtId="164" fontId="21" fillId="0" borderId="54" xfId="6" applyNumberFormat="1" applyFont="1" applyFill="1" applyBorder="1" applyAlignment="1">
      <alignment horizontal="right" vertical="top"/>
    </xf>
    <xf numFmtId="14" fontId="21" fillId="0" borderId="54" xfId="6" applyNumberFormat="1" applyFont="1" applyFill="1" applyBorder="1" applyAlignment="1">
      <alignment horizontal="right" vertical="top"/>
    </xf>
    <xf numFmtId="170" fontId="21" fillId="0" borderId="54" xfId="6" applyNumberFormat="1" applyFont="1" applyFill="1" applyBorder="1" applyAlignment="1">
      <alignment horizontal="center" vertical="top"/>
    </xf>
    <xf numFmtId="0" fontId="22" fillId="0" borderId="54" xfId="0" applyFont="1" applyFill="1" applyBorder="1" applyAlignment="1">
      <alignment horizontal="center" vertical="top"/>
    </xf>
    <xf numFmtId="0" fontId="21" fillId="0" borderId="55" xfId="6" applyFont="1" applyFill="1" applyBorder="1" applyAlignment="1">
      <alignment horizontal="center" vertical="top"/>
    </xf>
    <xf numFmtId="0" fontId="21" fillId="0" borderId="55" xfId="6" applyFont="1" applyFill="1" applyBorder="1" applyAlignment="1">
      <alignment vertical="top"/>
    </xf>
    <xf numFmtId="0" fontId="21" fillId="0" borderId="55" xfId="6" applyFont="1" applyFill="1" applyBorder="1" applyAlignment="1">
      <alignment horizontal="left" vertical="top" wrapText="1"/>
    </xf>
    <xf numFmtId="0" fontId="21" fillId="0" borderId="55" xfId="6" applyFont="1" applyFill="1" applyBorder="1" applyAlignment="1">
      <alignment horizontal="left" vertical="top"/>
    </xf>
    <xf numFmtId="164" fontId="21" fillId="0" borderId="55" xfId="6" applyNumberFormat="1" applyFont="1" applyFill="1" applyBorder="1" applyAlignment="1">
      <alignment horizontal="right" vertical="top"/>
    </xf>
    <xf numFmtId="14" fontId="21" fillId="0" borderId="55" xfId="6" applyNumberFormat="1" applyFont="1" applyFill="1" applyBorder="1" applyAlignment="1">
      <alignment horizontal="right" vertical="top"/>
    </xf>
    <xf numFmtId="170" fontId="21" fillId="0" borderId="55" xfId="6" applyNumberFormat="1" applyFont="1" applyFill="1" applyBorder="1" applyAlignment="1">
      <alignment horizontal="center" vertical="top"/>
    </xf>
    <xf numFmtId="0" fontId="22" fillId="0" borderId="55" xfId="0" applyFont="1" applyFill="1" applyBorder="1" applyAlignment="1">
      <alignment horizontal="center" vertical="top"/>
    </xf>
    <xf numFmtId="0" fontId="23" fillId="0" borderId="56" xfId="0" applyFont="1" applyFill="1" applyBorder="1" applyAlignment="1">
      <alignment vertical="top"/>
    </xf>
    <xf numFmtId="0" fontId="23" fillId="0" borderId="56" xfId="0" applyFont="1" applyFill="1" applyBorder="1" applyAlignment="1">
      <alignment horizontal="justify" vertical="top" wrapText="1"/>
    </xf>
    <xf numFmtId="0" fontId="23" fillId="0" borderId="56" xfId="0" applyFont="1" applyFill="1" applyBorder="1" applyAlignment="1">
      <alignment vertical="top" wrapText="1"/>
    </xf>
    <xf numFmtId="14" fontId="23" fillId="0" borderId="56" xfId="0" applyNumberFormat="1" applyFont="1" applyFill="1" applyBorder="1" applyAlignment="1">
      <alignment vertical="top"/>
    </xf>
    <xf numFmtId="0" fontId="0" fillId="0" borderId="56" xfId="0" applyFill="1" applyBorder="1" applyAlignment="1">
      <alignment vertical="top"/>
    </xf>
    <xf numFmtId="0" fontId="0" fillId="0" borderId="54" xfId="0" applyFill="1" applyBorder="1" applyAlignment="1">
      <alignment vertical="top"/>
    </xf>
    <xf numFmtId="0" fontId="0" fillId="0" borderId="54" xfId="0" applyFill="1" applyBorder="1" applyAlignment="1">
      <alignment horizontal="justify" vertical="top" wrapText="1"/>
    </xf>
    <xf numFmtId="0" fontId="0" fillId="0" borderId="54" xfId="0" applyFill="1" applyBorder="1" applyAlignment="1">
      <alignment vertical="top" wrapText="1"/>
    </xf>
    <xf numFmtId="14" fontId="0" fillId="0" borderId="54" xfId="0" applyNumberFormat="1" applyFill="1" applyBorder="1" applyAlignment="1">
      <alignment vertical="top"/>
    </xf>
    <xf numFmtId="0" fontId="0" fillId="0" borderId="56" xfId="0" applyFill="1" applyBorder="1" applyAlignment="1">
      <alignment horizontal="justify" vertical="top" wrapText="1"/>
    </xf>
    <xf numFmtId="0" fontId="0" fillId="0" borderId="56" xfId="0" applyFill="1" applyBorder="1" applyAlignment="1">
      <alignment vertical="top" wrapText="1"/>
    </xf>
    <xf numFmtId="19" fontId="23" fillId="0" borderId="56" xfId="0" applyNumberFormat="1" applyFont="1" applyFill="1" applyBorder="1" applyAlignment="1">
      <alignment vertical="top"/>
    </xf>
    <xf numFmtId="164" fontId="0" fillId="0" borderId="53" xfId="0" applyNumberFormat="1" applyFill="1" applyBorder="1" applyAlignment="1">
      <alignment vertical="center"/>
    </xf>
    <xf numFmtId="164" fontId="0" fillId="0" borderId="54" xfId="0" applyNumberFormat="1" applyFill="1" applyBorder="1" applyAlignment="1">
      <alignment vertical="center"/>
    </xf>
    <xf numFmtId="164" fontId="0" fillId="0" borderId="55" xfId="0" applyNumberFormat="1" applyFill="1" applyBorder="1" applyAlignment="1">
      <alignment vertic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wrapText="1"/>
    </xf>
    <xf numFmtId="14" fontId="0" fillId="0" borderId="0" xfId="0" applyNumberFormat="1" applyFill="1" applyBorder="1" applyAlignment="1">
      <alignment vertical="center" wrapText="1"/>
    </xf>
    <xf numFmtId="0" fontId="0" fillId="0" borderId="67" xfId="0" applyFill="1" applyBorder="1" applyAlignment="1">
      <alignment vertical="center" wrapText="1"/>
    </xf>
    <xf numFmtId="14" fontId="0" fillId="0" borderId="67" xfId="0" applyNumberFormat="1" applyFill="1" applyBorder="1" applyAlignment="1">
      <alignment vertical="center" wrapText="1"/>
    </xf>
    <xf numFmtId="0" fontId="75" fillId="0" borderId="0" xfId="0" applyFont="1" applyFill="1" applyBorder="1" applyAlignment="1">
      <alignment vertical="center"/>
    </xf>
    <xf numFmtId="0" fontId="75" fillId="0" borderId="0" xfId="0" applyFont="1" applyFill="1" applyBorder="1" applyAlignment="1">
      <alignment vertical="center" wrapText="1"/>
    </xf>
    <xf numFmtId="14" fontId="75" fillId="0" borderId="0" xfId="0" applyNumberFormat="1" applyFont="1" applyFill="1" applyBorder="1" applyAlignment="1">
      <alignment vertical="center"/>
    </xf>
    <xf numFmtId="0" fontId="75" fillId="0" borderId="0" xfId="0" applyFont="1" applyFill="1" applyBorder="1" applyAlignment="1">
      <alignment horizontal="center" vertical="center"/>
    </xf>
    <xf numFmtId="0" fontId="95" fillId="0" borderId="0" xfId="0" applyFont="1" applyAlignment="1" applyProtection="1">
      <alignment horizontal="left"/>
      <protection locked="0"/>
    </xf>
    <xf numFmtId="0" fontId="0" fillId="0" borderId="0" xfId="0" applyAlignment="1">
      <alignment horizontal="center"/>
    </xf>
    <xf numFmtId="0" fontId="34" fillId="0" borderId="0" xfId="0" applyFont="1" applyAlignment="1" applyProtection="1">
      <alignment horizontal="justify" vertical="center" wrapText="1"/>
      <protection locked="0"/>
    </xf>
    <xf numFmtId="0" fontId="246" fillId="27" borderId="0" xfId="0" applyFont="1" applyFill="1" applyAlignment="1">
      <alignment vertical="center"/>
    </xf>
    <xf numFmtId="0" fontId="199" fillId="10" borderId="0" xfId="0" applyFont="1" applyFill="1" applyAlignment="1">
      <alignment horizontal="left"/>
    </xf>
    <xf numFmtId="0" fontId="199" fillId="10" borderId="0" xfId="0" applyFont="1" applyFill="1" applyAlignment="1">
      <alignment horizontal="left" vertical="center"/>
    </xf>
    <xf numFmtId="0" fontId="247" fillId="10" borderId="0" xfId="0" applyFont="1" applyFill="1" applyAlignment="1">
      <alignment horizontal="left"/>
    </xf>
    <xf numFmtId="0" fontId="56" fillId="10" borderId="0" xfId="0" applyFont="1" applyFill="1" applyAlignment="1">
      <alignment horizontal="left"/>
    </xf>
    <xf numFmtId="0" fontId="199" fillId="10" borderId="0" xfId="0" applyFont="1" applyFill="1" applyProtection="1"/>
    <xf numFmtId="0" fontId="83" fillId="0" borderId="0" xfId="0" quotePrefix="1" applyFont="1" applyAlignment="1" applyProtection="1">
      <alignment horizontal="justify" vertical="center" wrapText="1"/>
      <protection locked="0"/>
    </xf>
    <xf numFmtId="0" fontId="70" fillId="9" borderId="0" xfId="0" applyFont="1" applyFill="1" applyAlignment="1">
      <alignment vertical="center"/>
    </xf>
    <xf numFmtId="0" fontId="89" fillId="0" borderId="0" xfId="0" quotePrefix="1" applyFont="1" applyAlignment="1">
      <alignment horizontal="left" vertical="center"/>
    </xf>
    <xf numFmtId="0" fontId="58" fillId="0" borderId="0" xfId="0" applyFont="1" applyAlignment="1">
      <alignment horizontal="center" vertical="center" wrapText="1"/>
    </xf>
    <xf numFmtId="0" fontId="58" fillId="0" borderId="0" xfId="0" applyFont="1" applyAlignment="1">
      <alignment horizontal="center" vertical="center"/>
    </xf>
    <xf numFmtId="0" fontId="250" fillId="8" borderId="13" xfId="4" applyFont="1" applyFill="1" applyBorder="1" applyAlignment="1">
      <alignment horizontal="center" vertical="center" wrapText="1"/>
    </xf>
    <xf numFmtId="164" fontId="250" fillId="8" borderId="13" xfId="4" applyNumberFormat="1" applyFont="1" applyFill="1" applyBorder="1" applyAlignment="1">
      <alignment horizontal="center" vertical="center" wrapText="1"/>
    </xf>
    <xf numFmtId="0" fontId="0" fillId="0" borderId="56" xfId="0" applyFill="1" applyBorder="1" applyAlignment="1">
      <alignment wrapText="1"/>
    </xf>
    <xf numFmtId="14" fontId="0" fillId="0" borderId="56" xfId="0" applyNumberFormat="1" applyFill="1" applyBorder="1" applyAlignment="1">
      <alignment wrapText="1"/>
    </xf>
    <xf numFmtId="0" fontId="0" fillId="0" borderId="54" xfId="0" applyFill="1" applyBorder="1" applyAlignment="1">
      <alignment wrapText="1"/>
    </xf>
    <xf numFmtId="14" fontId="0" fillId="0" borderId="54" xfId="0" applyNumberFormat="1" applyFill="1" applyBorder="1" applyAlignment="1">
      <alignment wrapText="1"/>
    </xf>
    <xf numFmtId="0" fontId="0" fillId="0" borderId="55" xfId="0" applyFill="1" applyBorder="1" applyAlignment="1">
      <alignment wrapText="1"/>
    </xf>
    <xf numFmtId="14" fontId="0" fillId="0" borderId="55" xfId="0" applyNumberFormat="1" applyFill="1" applyBorder="1" applyAlignment="1">
      <alignment wrapText="1"/>
    </xf>
    <xf numFmtId="0" fontId="0" fillId="0" borderId="0" xfId="0" applyFill="1" applyBorder="1" applyAlignment="1">
      <alignment wrapText="1"/>
    </xf>
    <xf numFmtId="14" fontId="0" fillId="0" borderId="0" xfId="0" applyNumberFormat="1" applyFill="1" applyBorder="1" applyAlignment="1">
      <alignment wrapText="1"/>
    </xf>
    <xf numFmtId="0" fontId="0" fillId="0" borderId="0" xfId="0" applyBorder="1" applyAlignment="1">
      <alignment wrapText="1"/>
    </xf>
    <xf numFmtId="0" fontId="0" fillId="0" borderId="0" xfId="0" applyAlignment="1"/>
    <xf numFmtId="0" fontId="0" fillId="0" borderId="56" xfId="0" applyFill="1" applyBorder="1" applyAlignment="1">
      <alignment horizontal="center" wrapText="1"/>
    </xf>
    <xf numFmtId="0" fontId="0" fillId="0" borderId="54" xfId="0" applyFill="1" applyBorder="1" applyAlignment="1">
      <alignment horizontal="center" wrapText="1"/>
    </xf>
    <xf numFmtId="0" fontId="0" fillId="0" borderId="55" xfId="0" applyFill="1" applyBorder="1" applyAlignment="1">
      <alignment horizontal="center" wrapText="1"/>
    </xf>
    <xf numFmtId="0" fontId="0" fillId="0" borderId="0" xfId="0" applyFill="1" applyBorder="1" applyAlignment="1">
      <alignment horizontal="center" wrapText="1"/>
    </xf>
    <xf numFmtId="0" fontId="0" fillId="0" borderId="0" xfId="0" applyBorder="1" applyAlignment="1">
      <alignment horizontal="center" wrapText="1"/>
    </xf>
    <xf numFmtId="0" fontId="0" fillId="0" borderId="0" xfId="0" applyAlignment="1">
      <alignment horizontal="center" wrapText="1"/>
    </xf>
    <xf numFmtId="0" fontId="6" fillId="0" borderId="30" xfId="5" applyFont="1" applyFill="1" applyBorder="1" applyAlignment="1">
      <alignment horizontal="center" vertical="center" wrapText="1"/>
    </xf>
    <xf numFmtId="164" fontId="6" fillId="0" borderId="30" xfId="5" applyNumberFormat="1" applyFont="1" applyFill="1" applyBorder="1" applyAlignment="1">
      <alignment horizontal="center" vertical="center" wrapText="1"/>
    </xf>
    <xf numFmtId="1" fontId="6" fillId="0" borderId="30" xfId="6" applyNumberFormat="1" applyFont="1" applyFill="1" applyBorder="1" applyAlignment="1">
      <alignment horizontal="center" vertical="center"/>
    </xf>
    <xf numFmtId="164" fontId="6" fillId="0" borderId="30" xfId="6" applyNumberFormat="1" applyFont="1" applyFill="1" applyBorder="1" applyAlignment="1">
      <alignment horizontal="center" vertical="center"/>
    </xf>
    <xf numFmtId="164" fontId="6" fillId="0" borderId="30" xfId="5" applyNumberFormat="1" applyFont="1" applyFill="1" applyBorder="1" applyAlignment="1">
      <alignment vertical="center"/>
    </xf>
    <xf numFmtId="164" fontId="168" fillId="0" borderId="30" xfId="6" applyNumberFormat="1" applyFont="1" applyFill="1" applyBorder="1" applyAlignment="1">
      <alignment horizontal="center" vertical="center"/>
    </xf>
    <xf numFmtId="0" fontId="6" fillId="0" borderId="30" xfId="6" applyFont="1" applyFill="1" applyBorder="1" applyAlignment="1">
      <alignment horizontal="left" vertical="center"/>
    </xf>
    <xf numFmtId="19" fontId="21" fillId="0" borderId="0" xfId="6" applyNumberFormat="1" applyFont="1" applyFill="1" applyBorder="1" applyAlignment="1">
      <alignment horizontal="left" vertical="top" wrapText="1"/>
    </xf>
    <xf numFmtId="164" fontId="251" fillId="0" borderId="78" xfId="5" applyNumberFormat="1" applyFont="1" applyFill="1" applyBorder="1" applyAlignment="1">
      <alignment horizontal="center" vertical="center" wrapText="1"/>
    </xf>
    <xf numFmtId="0" fontId="159" fillId="0" borderId="78" xfId="5" applyFont="1" applyFill="1" applyBorder="1" applyAlignment="1">
      <alignment horizontal="left" vertical="center"/>
    </xf>
    <xf numFmtId="0" fontId="40" fillId="0" borderId="67" xfId="6" applyFont="1" applyFill="1" applyBorder="1" applyAlignment="1">
      <alignment horizontal="center" vertical="center"/>
    </xf>
    <xf numFmtId="0" fontId="21" fillId="0" borderId="67" xfId="6" applyFont="1" applyFill="1" applyBorder="1" applyAlignment="1">
      <alignment horizontal="center"/>
    </xf>
    <xf numFmtId="0" fontId="21" fillId="0" borderId="67" xfId="6" applyFont="1" applyFill="1" applyBorder="1" applyAlignment="1"/>
    <xf numFmtId="0" fontId="21" fillId="0" borderId="67" xfId="6" applyFont="1" applyFill="1" applyBorder="1" applyAlignment="1">
      <alignment horizontal="left"/>
    </xf>
    <xf numFmtId="14" fontId="21" fillId="0" borderId="67" xfId="6" applyNumberFormat="1" applyFont="1" applyFill="1" applyBorder="1"/>
    <xf numFmtId="14" fontId="21" fillId="0" borderId="67" xfId="6" applyNumberFormat="1" applyFont="1" applyFill="1" applyBorder="1" applyAlignment="1">
      <alignment horizontal="left"/>
    </xf>
    <xf numFmtId="0" fontId="21" fillId="0" borderId="67" xfId="6" applyFont="1" applyFill="1" applyBorder="1" applyAlignment="1">
      <alignment horizontal="right"/>
    </xf>
    <xf numFmtId="0" fontId="21" fillId="0" borderId="67" xfId="0" applyFont="1" applyFill="1" applyBorder="1"/>
    <xf numFmtId="0" fontId="0" fillId="0" borderId="67" xfId="0" applyFill="1" applyBorder="1" applyAlignment="1">
      <alignment horizontal="center" vertical="center"/>
    </xf>
    <xf numFmtId="0" fontId="0" fillId="0" borderId="67" xfId="0" applyFill="1" applyBorder="1" applyAlignment="1">
      <alignment vertical="center"/>
    </xf>
    <xf numFmtId="0" fontId="124" fillId="16" borderId="31" xfId="0" applyFont="1" applyFill="1" applyBorder="1"/>
    <xf numFmtId="0" fontId="235" fillId="9" borderId="0" xfId="0" applyFont="1" applyFill="1" applyAlignment="1">
      <alignment vertical="center"/>
    </xf>
    <xf numFmtId="14" fontId="235" fillId="9" borderId="0" xfId="0" applyNumberFormat="1" applyFont="1" applyFill="1" applyAlignment="1">
      <alignment vertical="center"/>
    </xf>
    <xf numFmtId="14" fontId="215" fillId="9" borderId="0" xfId="0" applyNumberFormat="1" applyFont="1" applyFill="1"/>
    <xf numFmtId="0" fontId="252" fillId="9" borderId="0" xfId="0" applyFont="1" applyFill="1"/>
    <xf numFmtId="0" fontId="253" fillId="9" borderId="0" xfId="0" applyFont="1" applyFill="1"/>
    <xf numFmtId="0" fontId="254" fillId="9" borderId="0" xfId="0" applyFont="1" applyFill="1"/>
    <xf numFmtId="0" fontId="85" fillId="0" borderId="0" xfId="0" applyFont="1" applyAlignment="1">
      <alignment horizontal="right" vertical="center" wrapText="1"/>
    </xf>
    <xf numFmtId="0" fontId="255" fillId="11" borderId="3" xfId="0" applyFont="1" applyFill="1" applyBorder="1"/>
    <xf numFmtId="1" fontId="88" fillId="4" borderId="16" xfId="0" applyNumberFormat="1" applyFont="1" applyFill="1" applyBorder="1" applyAlignment="1" applyProtection="1">
      <alignment horizontal="left" vertical="center"/>
      <protection locked="0"/>
    </xf>
    <xf numFmtId="1" fontId="88" fillId="4" borderId="16" xfId="0" applyNumberFormat="1" applyFont="1" applyFill="1" applyBorder="1" applyAlignment="1" applyProtection="1">
      <alignment horizontal="left" vertical="top"/>
      <protection locked="0"/>
    </xf>
    <xf numFmtId="0" fontId="23" fillId="0" borderId="54" xfId="0" applyFont="1" applyFill="1" applyBorder="1"/>
    <xf numFmtId="0" fontId="23" fillId="0" borderId="55" xfId="0" applyFont="1" applyFill="1" applyBorder="1" applyAlignment="1">
      <alignment horizontal="center"/>
    </xf>
    <xf numFmtId="0" fontId="23" fillId="0" borderId="55" xfId="0" applyFont="1" applyFill="1" applyBorder="1" applyAlignment="1">
      <alignment wrapText="1"/>
    </xf>
    <xf numFmtId="14" fontId="23" fillId="0" borderId="55" xfId="0" applyNumberFormat="1" applyFont="1" applyFill="1" applyBorder="1" applyAlignment="1">
      <alignment wrapText="1"/>
    </xf>
    <xf numFmtId="14" fontId="23" fillId="0" borderId="55" xfId="0" applyNumberFormat="1" applyFont="1" applyFill="1" applyBorder="1"/>
    <xf numFmtId="0" fontId="39" fillId="0" borderId="55" xfId="0" applyFont="1" applyFill="1" applyBorder="1" applyAlignment="1"/>
    <xf numFmtId="14" fontId="29" fillId="0" borderId="52" xfId="0" applyNumberFormat="1" applyFont="1" applyFill="1" applyBorder="1"/>
    <xf numFmtId="0" fontId="29" fillId="0" borderId="52" xfId="0" applyFont="1" applyFill="1" applyBorder="1" applyAlignment="1">
      <alignment wrapText="1"/>
    </xf>
    <xf numFmtId="0" fontId="64" fillId="0" borderId="52" xfId="0" applyFont="1" applyFill="1" applyBorder="1" applyAlignment="1">
      <alignment wrapText="1"/>
    </xf>
    <xf numFmtId="0" fontId="63" fillId="0" borderId="52" xfId="0" applyFont="1" applyFill="1" applyBorder="1" applyAlignment="1">
      <alignment wrapText="1"/>
    </xf>
    <xf numFmtId="14" fontId="29" fillId="0" borderId="152" xfId="0" applyNumberFormat="1" applyFont="1" applyFill="1" applyBorder="1"/>
    <xf numFmtId="164" fontId="29" fillId="0" borderId="152" xfId="0" applyNumberFormat="1" applyFont="1" applyFill="1" applyBorder="1" applyAlignment="1">
      <alignment wrapText="1"/>
    </xf>
    <xf numFmtId="0" fontId="29" fillId="0" borderId="152" xfId="0" applyFont="1" applyFill="1" applyBorder="1"/>
    <xf numFmtId="14" fontId="29" fillId="0" borderId="95" xfId="0" applyNumberFormat="1" applyFont="1" applyFill="1" applyBorder="1"/>
    <xf numFmtId="164" fontId="29" fillId="0" borderId="95" xfId="0" applyNumberFormat="1" applyFont="1" applyFill="1" applyBorder="1" applyAlignment="1">
      <alignment wrapText="1"/>
    </xf>
    <xf numFmtId="0" fontId="29" fillId="0" borderId="95" xfId="0" applyFont="1" applyFill="1" applyBorder="1"/>
    <xf numFmtId="14" fontId="29" fillId="0" borderId="96" xfId="0" applyNumberFormat="1" applyFont="1" applyFill="1" applyBorder="1"/>
    <xf numFmtId="164" fontId="29" fillId="0" borderId="96" xfId="0" applyNumberFormat="1" applyFont="1" applyFill="1" applyBorder="1" applyAlignment="1">
      <alignment wrapText="1"/>
    </xf>
    <xf numFmtId="0" fontId="29" fillId="0" borderId="96" xfId="0" applyFont="1" applyFill="1" applyBorder="1"/>
    <xf numFmtId="0" fontId="64" fillId="0" borderId="152" xfId="0" applyFont="1" applyFill="1" applyBorder="1" applyAlignment="1">
      <alignment wrapText="1"/>
    </xf>
    <xf numFmtId="14" fontId="0" fillId="0" borderId="53" xfId="0" applyNumberFormat="1" applyFill="1" applyBorder="1" applyAlignment="1">
      <alignment horizontal="justify" wrapText="1"/>
    </xf>
    <xf numFmtId="0" fontId="0" fillId="0" borderId="53" xfId="0" applyFill="1" applyBorder="1" applyAlignment="1">
      <alignment horizontal="justify" wrapText="1"/>
    </xf>
    <xf numFmtId="14" fontId="0" fillId="0" borderId="54" xfId="0" applyNumberFormat="1" applyFill="1" applyBorder="1" applyAlignment="1">
      <alignment horizontal="justify" wrapText="1"/>
    </xf>
    <xf numFmtId="0" fontId="0" fillId="0" borderId="54" xfId="0" applyFill="1" applyBorder="1" applyAlignment="1">
      <alignment horizontal="justify" wrapText="1"/>
    </xf>
    <xf numFmtId="0" fontId="0" fillId="0" borderId="55" xfId="0" applyFill="1" applyBorder="1" applyAlignment="1">
      <alignment horizontal="justify" wrapText="1"/>
    </xf>
    <xf numFmtId="0" fontId="247" fillId="10" borderId="0" xfId="0" applyFont="1" applyFill="1" applyAlignment="1" applyProtection="1">
      <alignment vertical="center"/>
      <protection locked="0"/>
    </xf>
    <xf numFmtId="0" fontId="258" fillId="0" borderId="30" xfId="5" applyFont="1" applyFill="1" applyBorder="1" applyAlignment="1">
      <alignment horizontal="center" vertical="center" wrapText="1"/>
    </xf>
    <xf numFmtId="0" fontId="6" fillId="0" borderId="133" xfId="5" applyFont="1" applyFill="1" applyBorder="1" applyAlignment="1">
      <alignment horizontal="center" vertical="center" wrapText="1"/>
    </xf>
    <xf numFmtId="0" fontId="258" fillId="0" borderId="133" xfId="5" applyFont="1" applyFill="1" applyBorder="1" applyAlignment="1">
      <alignment horizontal="center" vertical="center" wrapText="1"/>
    </xf>
    <xf numFmtId="164" fontId="248" fillId="0" borderId="133" xfId="5" applyNumberFormat="1" applyFont="1" applyFill="1" applyBorder="1" applyAlignment="1">
      <alignment horizontal="center" vertical="center" wrapText="1"/>
    </xf>
    <xf numFmtId="164" fontId="0" fillId="0" borderId="56" xfId="0" applyNumberFormat="1" applyFill="1" applyBorder="1" applyAlignment="1">
      <alignment vertical="top"/>
    </xf>
    <xf numFmtId="164" fontId="0" fillId="0" borderId="54" xfId="0" applyNumberFormat="1" applyFill="1" applyBorder="1"/>
    <xf numFmtId="164" fontId="0" fillId="0" borderId="55" xfId="0" applyNumberFormat="1" applyFill="1" applyBorder="1"/>
    <xf numFmtId="1" fontId="58" fillId="0" borderId="0" xfId="0" applyNumberFormat="1" applyFont="1" applyFill="1" applyBorder="1" applyAlignment="1">
      <alignment horizontal="center" vertical="center" wrapText="1"/>
    </xf>
    <xf numFmtId="1" fontId="58" fillId="0" borderId="52" xfId="0" applyNumberFormat="1" applyFont="1" applyFill="1" applyBorder="1" applyAlignment="1">
      <alignment horizontal="center" vertical="center" wrapText="1"/>
    </xf>
    <xf numFmtId="1" fontId="188" fillId="0" borderId="12" xfId="7" applyNumberFormat="1" applyFont="1" applyFill="1" applyBorder="1" applyAlignment="1">
      <alignment horizontal="center" vertical="center"/>
    </xf>
    <xf numFmtId="1" fontId="96" fillId="0" borderId="96" xfId="0" applyNumberFormat="1" applyFont="1" applyFill="1" applyBorder="1" applyAlignment="1">
      <alignment horizontal="center" vertical="center" wrapText="1"/>
    </xf>
    <xf numFmtId="1" fontId="0" fillId="0" borderId="0" xfId="0" applyNumberFormat="1" applyAlignment="1">
      <alignment horizontal="center" vertical="center"/>
    </xf>
    <xf numFmtId="1" fontId="96" fillId="0" borderId="95" xfId="0" applyNumberFormat="1" applyFont="1" applyFill="1" applyBorder="1" applyAlignment="1">
      <alignment horizontal="center" vertical="center" wrapText="1"/>
    </xf>
    <xf numFmtId="0" fontId="96" fillId="0" borderId="95" xfId="0" applyFont="1" applyFill="1" applyBorder="1" applyAlignment="1">
      <alignment horizontal="left" vertical="center" wrapText="1"/>
    </xf>
    <xf numFmtId="0" fontId="96" fillId="0" borderId="95" xfId="0" applyFont="1" applyFill="1" applyBorder="1" applyAlignment="1">
      <alignment horizontal="center" vertical="center" wrapText="1"/>
    </xf>
    <xf numFmtId="164" fontId="96" fillId="0" borderId="95" xfId="0" applyNumberFormat="1" applyFont="1" applyFill="1" applyBorder="1" applyAlignment="1">
      <alignment horizontal="right" vertical="center" wrapText="1"/>
    </xf>
    <xf numFmtId="0" fontId="29" fillId="0" borderId="95" xfId="0" applyFont="1" applyFill="1" applyBorder="1" applyAlignment="1">
      <alignment wrapText="1"/>
    </xf>
    <xf numFmtId="0" fontId="29" fillId="0" borderId="96" xfId="0" applyFont="1" applyFill="1" applyBorder="1" applyAlignment="1">
      <alignment wrapText="1"/>
    </xf>
    <xf numFmtId="14" fontId="0" fillId="0" borderId="55" xfId="0" applyNumberFormat="1" applyFill="1" applyBorder="1" applyAlignment="1">
      <alignment horizontal="justify" wrapText="1"/>
    </xf>
    <xf numFmtId="0" fontId="27" fillId="6" borderId="21" xfId="0" applyFont="1" applyFill="1" applyBorder="1" applyAlignment="1">
      <alignment horizontal="center"/>
    </xf>
    <xf numFmtId="0" fontId="27" fillId="6" borderId="10" xfId="0" applyFont="1" applyFill="1" applyBorder="1" applyAlignment="1">
      <alignment horizontal="center"/>
    </xf>
    <xf numFmtId="0" fontId="27" fillId="6" borderId="22" xfId="0" applyFont="1" applyFill="1" applyBorder="1" applyAlignment="1">
      <alignment horizontal="center"/>
    </xf>
    <xf numFmtId="0" fontId="27" fillId="6" borderId="66" xfId="0" applyFont="1" applyFill="1" applyBorder="1" applyAlignment="1">
      <alignment horizontal="center" vertical="center"/>
    </xf>
    <xf numFmtId="0" fontId="43" fillId="4" borderId="1" xfId="0" applyFont="1" applyFill="1" applyBorder="1" applyAlignment="1">
      <alignment horizontal="center"/>
    </xf>
    <xf numFmtId="0" fontId="122" fillId="11" borderId="1" xfId="0" applyFont="1" applyFill="1" applyBorder="1" applyAlignment="1">
      <alignment horizontal="center"/>
    </xf>
    <xf numFmtId="0" fontId="17" fillId="0" borderId="32" xfId="1" applyFont="1" applyFill="1" applyBorder="1" applyAlignment="1" applyProtection="1">
      <alignment horizontal="left" vertical="top" wrapText="1"/>
    </xf>
    <xf numFmtId="0" fontId="17" fillId="0" borderId="33" xfId="1" applyFont="1" applyFill="1" applyBorder="1" applyAlignment="1" applyProtection="1">
      <alignment horizontal="left" vertical="top" wrapText="1"/>
    </xf>
    <xf numFmtId="0" fontId="17" fillId="0" borderId="34" xfId="1" applyFont="1" applyFill="1" applyBorder="1" applyAlignment="1" applyProtection="1">
      <alignment horizontal="left" vertical="top" wrapText="1"/>
    </xf>
    <xf numFmtId="1" fontId="76" fillId="4" borderId="16" xfId="0" applyNumberFormat="1" applyFont="1" applyFill="1" applyBorder="1" applyAlignment="1" applyProtection="1">
      <alignment horizontal="left" vertical="center"/>
      <protection locked="0"/>
    </xf>
    <xf numFmtId="1" fontId="76" fillId="4" borderId="0" xfId="0" applyNumberFormat="1" applyFont="1" applyFill="1" applyBorder="1" applyAlignment="1" applyProtection="1">
      <alignment horizontal="left" vertical="center"/>
      <protection locked="0"/>
    </xf>
    <xf numFmtId="1" fontId="6" fillId="0" borderId="27" xfId="0" applyNumberFormat="1" applyFont="1" applyFill="1" applyBorder="1" applyAlignment="1" applyProtection="1">
      <alignment horizontal="left" vertical="center"/>
      <protection locked="0"/>
    </xf>
    <xf numFmtId="1" fontId="6" fillId="0" borderId="75" xfId="0" applyNumberFormat="1" applyFont="1" applyFill="1" applyBorder="1" applyAlignment="1" applyProtection="1">
      <alignment horizontal="left" vertical="center"/>
      <protection locked="0"/>
    </xf>
    <xf numFmtId="1" fontId="6" fillId="0" borderId="21" xfId="0" applyNumberFormat="1" applyFont="1" applyFill="1" applyBorder="1" applyAlignment="1" applyProtection="1">
      <alignment horizontal="left" vertical="center"/>
      <protection locked="0"/>
    </xf>
    <xf numFmtId="0" fontId="0" fillId="0" borderId="22" xfId="0" applyBorder="1" applyAlignment="1">
      <alignment horizontal="left" vertical="center"/>
    </xf>
    <xf numFmtId="1" fontId="6" fillId="0" borderId="35" xfId="0" applyNumberFormat="1" applyFont="1" applyFill="1" applyBorder="1" applyAlignment="1" applyProtection="1">
      <alignment horizontal="left" vertical="center"/>
      <protection locked="0"/>
    </xf>
    <xf numFmtId="0" fontId="0" fillId="0" borderId="35" xfId="0" applyBorder="1" applyAlignment="1">
      <alignment horizontal="left" vertical="center"/>
    </xf>
    <xf numFmtId="1" fontId="6" fillId="0" borderId="29" xfId="0" applyNumberFormat="1" applyFont="1" applyFill="1" applyBorder="1" applyAlignment="1" applyProtection="1">
      <alignment horizontal="left" vertical="center"/>
      <protection locked="0"/>
    </xf>
    <xf numFmtId="0" fontId="0" fillId="0" borderId="29" xfId="0" applyBorder="1" applyAlignment="1">
      <alignment horizontal="left" vertical="center"/>
    </xf>
    <xf numFmtId="1" fontId="18" fillId="0" borderId="16" xfId="0" applyNumberFormat="1" applyFont="1" applyFill="1" applyBorder="1" applyAlignment="1" applyProtection="1">
      <alignment vertical="center"/>
    </xf>
    <xf numFmtId="1" fontId="18" fillId="0" borderId="0" xfId="0" applyNumberFormat="1" applyFont="1" applyFill="1" applyBorder="1" applyAlignment="1" applyProtection="1">
      <alignment vertical="center"/>
    </xf>
    <xf numFmtId="1" fontId="18" fillId="0" borderId="17" xfId="0" applyNumberFormat="1" applyFont="1" applyFill="1" applyBorder="1" applyAlignment="1" applyProtection="1">
      <alignment vertical="center"/>
    </xf>
    <xf numFmtId="1" fontId="18" fillId="0" borderId="14" xfId="0" applyNumberFormat="1" applyFont="1" applyFill="1" applyBorder="1" applyAlignment="1" applyProtection="1">
      <alignment vertical="center"/>
    </xf>
    <xf numFmtId="1" fontId="6" fillId="0" borderId="23" xfId="0" applyNumberFormat="1" applyFont="1" applyFill="1" applyBorder="1" applyAlignment="1" applyProtection="1">
      <alignment horizontal="left" vertical="center"/>
      <protection locked="0"/>
    </xf>
    <xf numFmtId="1" fontId="6" fillId="0" borderId="77" xfId="0" applyNumberFormat="1" applyFont="1" applyFill="1" applyBorder="1" applyAlignment="1" applyProtection="1">
      <alignment horizontal="left" vertical="center"/>
      <protection locked="0"/>
    </xf>
    <xf numFmtId="1" fontId="6" fillId="0" borderId="25" xfId="0" applyNumberFormat="1" applyFont="1" applyFill="1" applyBorder="1" applyAlignment="1" applyProtection="1">
      <alignment horizontal="left" vertical="center"/>
      <protection locked="0"/>
    </xf>
    <xf numFmtId="1" fontId="6" fillId="0" borderId="76" xfId="0" applyNumberFormat="1" applyFont="1" applyFill="1" applyBorder="1" applyAlignment="1" applyProtection="1">
      <alignment horizontal="left" vertical="center"/>
      <protection locked="0"/>
    </xf>
    <xf numFmtId="1" fontId="88" fillId="4" borderId="0" xfId="0" applyNumberFormat="1" applyFont="1" applyFill="1" applyBorder="1" applyAlignment="1" applyProtection="1">
      <alignment horizontal="left" vertical="center"/>
      <protection locked="0"/>
    </xf>
    <xf numFmtId="1" fontId="88" fillId="4" borderId="12" xfId="0" applyNumberFormat="1" applyFont="1" applyFill="1" applyBorder="1" applyAlignment="1" applyProtection="1">
      <alignment horizontal="left" vertical="center" wrapText="1"/>
      <protection locked="0"/>
    </xf>
    <xf numFmtId="0" fontId="217" fillId="6" borderId="38" xfId="1" applyFont="1" applyFill="1" applyBorder="1" applyAlignment="1">
      <alignment horizontal="center" vertical="center"/>
    </xf>
    <xf numFmtId="0" fontId="217" fillId="6" borderId="11" xfId="1" applyFont="1" applyFill="1" applyBorder="1" applyAlignment="1">
      <alignment horizontal="center" vertical="center"/>
    </xf>
    <xf numFmtId="0" fontId="217" fillId="6" borderId="39" xfId="1" applyFont="1" applyFill="1" applyBorder="1" applyAlignment="1">
      <alignment horizontal="center" vertical="center"/>
    </xf>
    <xf numFmtId="0" fontId="217" fillId="6" borderId="147" xfId="1" applyFont="1" applyFill="1" applyBorder="1" applyAlignment="1">
      <alignment horizontal="center" vertical="center"/>
    </xf>
    <xf numFmtId="0" fontId="217" fillId="6" borderId="0" xfId="1" applyFont="1" applyFill="1" applyBorder="1" applyAlignment="1">
      <alignment horizontal="center" vertical="center"/>
    </xf>
    <xf numFmtId="0" fontId="217" fillId="6" borderId="148" xfId="1" applyFont="1" applyFill="1" applyBorder="1" applyAlignment="1">
      <alignment horizontal="center" vertical="center"/>
    </xf>
    <xf numFmtId="0" fontId="256" fillId="11" borderId="149" xfId="1" applyFont="1" applyFill="1" applyBorder="1" applyAlignment="1">
      <alignment horizontal="center" vertical="center"/>
    </xf>
    <xf numFmtId="0" fontId="256" fillId="11" borderId="150" xfId="1" applyFont="1" applyFill="1" applyBorder="1" applyAlignment="1">
      <alignment horizontal="center" vertical="center"/>
    </xf>
    <xf numFmtId="0" fontId="256" fillId="11" borderId="151" xfId="1" applyFont="1" applyFill="1" applyBorder="1" applyAlignment="1">
      <alignment horizontal="center" vertical="center"/>
    </xf>
    <xf numFmtId="0" fontId="19" fillId="0" borderId="23" xfId="1" applyFont="1" applyFill="1" applyBorder="1" applyAlignment="1" applyProtection="1">
      <alignment horizontal="left" vertical="top" wrapText="1"/>
    </xf>
    <xf numFmtId="0" fontId="19" fillId="0" borderId="25" xfId="1" applyFont="1" applyFill="1" applyBorder="1" applyAlignment="1" applyProtection="1">
      <alignment horizontal="left" vertical="top" wrapText="1"/>
    </xf>
    <xf numFmtId="0" fontId="19" fillId="0" borderId="27" xfId="1" applyFont="1" applyFill="1" applyBorder="1" applyAlignment="1" applyProtection="1">
      <alignment horizontal="left" vertical="top" wrapText="1"/>
    </xf>
    <xf numFmtId="1" fontId="6" fillId="0" borderId="18" xfId="0" applyNumberFormat="1" applyFont="1" applyFill="1" applyBorder="1" applyAlignment="1" applyProtection="1">
      <alignment horizontal="justify" vertical="center" wrapText="1" shrinkToFit="1"/>
      <protection locked="0"/>
    </xf>
    <xf numFmtId="1" fontId="6" fillId="0" borderId="19" xfId="0" applyNumberFormat="1" applyFont="1" applyFill="1" applyBorder="1" applyAlignment="1" applyProtection="1">
      <alignment horizontal="justify" vertical="center" wrapText="1" shrinkToFit="1"/>
      <protection locked="0"/>
    </xf>
    <xf numFmtId="1" fontId="6" fillId="0" borderId="20" xfId="0" applyNumberFormat="1" applyFont="1" applyFill="1" applyBorder="1" applyAlignment="1" applyProtection="1">
      <alignment horizontal="justify" vertical="center" wrapText="1" shrinkToFit="1"/>
      <protection locked="0"/>
    </xf>
    <xf numFmtId="1" fontId="6" fillId="0" borderId="18" xfId="0" applyNumberFormat="1" applyFont="1" applyFill="1" applyBorder="1" applyAlignment="1" applyProtection="1">
      <alignment horizontal="justify" vertical="center" wrapText="1"/>
      <protection locked="0"/>
    </xf>
    <xf numFmtId="1" fontId="6" fillId="0" borderId="19" xfId="0" applyNumberFormat="1" applyFont="1" applyFill="1" applyBorder="1" applyAlignment="1" applyProtection="1">
      <alignment horizontal="justify" vertical="center" wrapText="1"/>
      <protection locked="0"/>
    </xf>
    <xf numFmtId="1" fontId="6" fillId="0" borderId="20" xfId="0" applyNumberFormat="1" applyFont="1" applyFill="1" applyBorder="1" applyAlignment="1" applyProtection="1">
      <alignment horizontal="justify" vertical="center" wrapText="1"/>
      <protection locked="0"/>
    </xf>
    <xf numFmtId="1" fontId="5" fillId="0" borderId="36" xfId="0" applyNumberFormat="1" applyFont="1" applyFill="1" applyBorder="1" applyAlignment="1" applyProtection="1">
      <alignment horizontal="justify" vertical="top" wrapText="1" shrinkToFit="1"/>
      <protection locked="0"/>
    </xf>
    <xf numFmtId="1" fontId="5" fillId="0" borderId="19" xfId="0" applyNumberFormat="1" applyFont="1" applyFill="1" applyBorder="1" applyAlignment="1" applyProtection="1">
      <alignment horizontal="justify" vertical="top" wrapText="1" shrinkToFit="1"/>
      <protection locked="0"/>
    </xf>
    <xf numFmtId="0" fontId="0" fillId="0" borderId="20" xfId="0" applyBorder="1" applyAlignment="1">
      <alignment horizontal="justify" vertical="top" wrapText="1" shrinkToFit="1"/>
    </xf>
    <xf numFmtId="1" fontId="6" fillId="0" borderId="36" xfId="0" applyNumberFormat="1" applyFont="1" applyFill="1" applyBorder="1" applyAlignment="1" applyProtection="1">
      <alignment horizontal="justify" vertical="top" wrapText="1"/>
      <protection locked="0"/>
    </xf>
    <xf numFmtId="1" fontId="6" fillId="0" borderId="19" xfId="0" applyNumberFormat="1" applyFont="1" applyFill="1" applyBorder="1" applyAlignment="1" applyProtection="1">
      <alignment horizontal="justify" vertical="top" wrapText="1"/>
      <protection locked="0"/>
    </xf>
    <xf numFmtId="0" fontId="0" fillId="0" borderId="20" xfId="0" applyBorder="1" applyAlignment="1">
      <alignment horizontal="justify" vertical="top" wrapText="1"/>
    </xf>
    <xf numFmtId="1" fontId="5" fillId="0" borderId="36" xfId="0" quotePrefix="1" applyNumberFormat="1" applyFont="1" applyFill="1" applyBorder="1" applyAlignment="1" applyProtection="1">
      <alignment horizontal="justify" vertical="top" wrapText="1"/>
      <protection locked="0"/>
    </xf>
    <xf numFmtId="1" fontId="5" fillId="0" borderId="19" xfId="0" applyNumberFormat="1" applyFont="1" applyFill="1" applyBorder="1" applyAlignment="1" applyProtection="1">
      <alignment horizontal="justify" vertical="top" wrapText="1"/>
      <protection locked="0"/>
    </xf>
    <xf numFmtId="1" fontId="5" fillId="0" borderId="20" xfId="0" applyNumberFormat="1" applyFont="1" applyFill="1" applyBorder="1" applyAlignment="1" applyProtection="1">
      <alignment horizontal="justify" vertical="top" wrapText="1"/>
      <protection locked="0"/>
    </xf>
    <xf numFmtId="1" fontId="5" fillId="0" borderId="36" xfId="0" applyNumberFormat="1" applyFont="1" applyFill="1" applyBorder="1" applyAlignment="1" applyProtection="1">
      <alignment horizontal="justify" vertical="top" wrapText="1"/>
      <protection locked="0"/>
    </xf>
    <xf numFmtId="1" fontId="6" fillId="0" borderId="18" xfId="0" applyNumberFormat="1" applyFont="1" applyFill="1" applyBorder="1" applyAlignment="1" applyProtection="1">
      <alignment horizontal="left" vertical="center" wrapText="1"/>
      <protection locked="0"/>
    </xf>
    <xf numFmtId="1" fontId="6" fillId="0" borderId="19" xfId="0" applyNumberFormat="1" applyFont="1" applyFill="1" applyBorder="1" applyAlignment="1" applyProtection="1">
      <alignment horizontal="left" vertical="center" wrapText="1"/>
      <protection locked="0"/>
    </xf>
    <xf numFmtId="1" fontId="6" fillId="0" borderId="20" xfId="0" applyNumberFormat="1" applyFont="1" applyFill="1" applyBorder="1" applyAlignment="1" applyProtection="1">
      <alignment horizontal="left" vertical="center" wrapText="1"/>
      <protection locked="0"/>
    </xf>
    <xf numFmtId="1" fontId="198" fillId="0" borderId="14" xfId="0" applyNumberFormat="1" applyFont="1" applyFill="1" applyBorder="1" applyAlignment="1" applyProtection="1">
      <alignment horizontal="justify" vertical="center"/>
      <protection locked="0"/>
    </xf>
    <xf numFmtId="0" fontId="71" fillId="12" borderId="0" xfId="0" applyFont="1" applyFill="1" applyBorder="1" applyAlignment="1">
      <alignment horizontal="center" vertical="center"/>
    </xf>
    <xf numFmtId="0" fontId="71" fillId="12" borderId="17" xfId="0" applyFont="1" applyFill="1" applyBorder="1" applyAlignment="1">
      <alignment horizontal="center" vertical="center"/>
    </xf>
    <xf numFmtId="0" fontId="11" fillId="6" borderId="0" xfId="1" applyFont="1" applyFill="1" applyBorder="1" applyAlignment="1">
      <alignment horizontal="center" vertical="center"/>
    </xf>
    <xf numFmtId="0" fontId="12" fillId="6" borderId="0" xfId="4" applyFont="1" applyFill="1" applyBorder="1" applyAlignment="1">
      <alignment horizontal="center" vertical="top"/>
    </xf>
    <xf numFmtId="0" fontId="141" fillId="6" borderId="97" xfId="4" applyFont="1" applyFill="1" applyBorder="1" applyAlignment="1">
      <alignment horizontal="left" vertical="center"/>
    </xf>
    <xf numFmtId="0" fontId="141" fillId="6" borderId="41" xfId="4" applyFont="1" applyFill="1" applyBorder="1" applyAlignment="1">
      <alignment horizontal="left" vertical="center"/>
    </xf>
    <xf numFmtId="0" fontId="11" fillId="6" borderId="98" xfId="1" applyFont="1" applyFill="1" applyBorder="1" applyAlignment="1">
      <alignment horizontal="center" vertical="center"/>
    </xf>
    <xf numFmtId="0" fontId="11" fillId="6" borderId="45" xfId="1" applyFont="1" applyFill="1" applyBorder="1" applyAlignment="1">
      <alignment horizontal="center" vertical="center"/>
    </xf>
    <xf numFmtId="0" fontId="11" fillId="6" borderId="99" xfId="1" applyFont="1" applyFill="1" applyBorder="1" applyAlignment="1">
      <alignment horizontal="center" vertical="center"/>
    </xf>
    <xf numFmtId="0" fontId="11" fillId="6" borderId="100" xfId="1" applyFont="1" applyFill="1" applyBorder="1" applyAlignment="1">
      <alignment horizontal="center" vertical="center"/>
    </xf>
    <xf numFmtId="0" fontId="11" fillId="6" borderId="43" xfId="1" applyFont="1" applyFill="1" applyBorder="1" applyAlignment="1">
      <alignment horizontal="center" vertical="center"/>
    </xf>
    <xf numFmtId="0" fontId="12" fillId="6" borderId="100" xfId="4" applyFont="1" applyFill="1" applyBorder="1" applyAlignment="1">
      <alignment horizontal="center" vertical="top"/>
    </xf>
    <xf numFmtId="0" fontId="12" fillId="6" borderId="43" xfId="4" applyFont="1" applyFill="1" applyBorder="1" applyAlignment="1">
      <alignment horizontal="center" vertical="top"/>
    </xf>
    <xf numFmtId="0" fontId="12" fillId="6" borderId="97" xfId="4" applyFont="1" applyFill="1" applyBorder="1" applyAlignment="1">
      <alignment horizontal="center" vertical="top"/>
    </xf>
    <xf numFmtId="0" fontId="12" fillId="6" borderId="41" xfId="4" applyFont="1" applyFill="1" applyBorder="1" applyAlignment="1">
      <alignment horizontal="center" vertical="top"/>
    </xf>
    <xf numFmtId="0" fontId="12" fillId="6" borderId="42" xfId="4" applyFont="1" applyFill="1" applyBorder="1" applyAlignment="1">
      <alignment horizontal="center" vertical="top"/>
    </xf>
    <xf numFmtId="0" fontId="142" fillId="6" borderId="103" xfId="1" applyFont="1" applyFill="1" applyBorder="1" applyAlignment="1">
      <alignment horizontal="left" vertical="center"/>
    </xf>
    <xf numFmtId="0" fontId="142" fillId="6" borderId="104" xfId="1" applyFont="1" applyFill="1" applyBorder="1" applyAlignment="1">
      <alignment horizontal="left" vertical="center"/>
    </xf>
    <xf numFmtId="0" fontId="142" fillId="6" borderId="105" xfId="1" applyFont="1" applyFill="1" applyBorder="1" applyAlignment="1">
      <alignment horizontal="left" vertical="center"/>
    </xf>
    <xf numFmtId="0" fontId="141" fillId="6" borderId="103" xfId="4" applyFont="1" applyFill="1" applyBorder="1" applyAlignment="1">
      <alignment horizontal="center" vertical="center"/>
    </xf>
    <xf numFmtId="0" fontId="141" fillId="6" borderId="105" xfId="4" applyFont="1" applyFill="1" applyBorder="1" applyAlignment="1">
      <alignment horizontal="center" vertical="center"/>
    </xf>
    <xf numFmtId="0" fontId="95" fillId="4" borderId="106" xfId="0" applyFont="1" applyFill="1" applyBorder="1" applyAlignment="1">
      <alignment horizontal="center" vertical="center"/>
    </xf>
    <xf numFmtId="0" fontId="95" fillId="4" borderId="84" xfId="0" applyFont="1" applyFill="1" applyBorder="1" applyAlignment="1">
      <alignment horizontal="center" vertical="center"/>
    </xf>
    <xf numFmtId="0" fontId="95" fillId="4" borderId="85" xfId="0" applyFont="1" applyFill="1" applyBorder="1" applyAlignment="1">
      <alignment horizontal="center" vertical="center"/>
    </xf>
    <xf numFmtId="0" fontId="142" fillId="6" borderId="108" xfId="1" applyFont="1" applyFill="1" applyBorder="1" applyAlignment="1">
      <alignment horizontal="left" vertical="center"/>
    </xf>
    <xf numFmtId="0" fontId="142" fillId="6" borderId="110" xfId="1" applyFont="1" applyFill="1" applyBorder="1" applyAlignment="1">
      <alignment horizontal="left" vertical="center"/>
    </xf>
    <xf numFmtId="0" fontId="142" fillId="6" borderId="109" xfId="1" applyFont="1" applyFill="1" applyBorder="1" applyAlignment="1">
      <alignment horizontal="left" vertical="center"/>
    </xf>
    <xf numFmtId="0" fontId="85" fillId="4" borderId="106" xfId="0" applyFont="1" applyFill="1" applyBorder="1" applyAlignment="1">
      <alignment horizontal="center" vertical="center"/>
    </xf>
    <xf numFmtId="0" fontId="85" fillId="4" borderId="84" xfId="0" applyFont="1" applyFill="1" applyBorder="1" applyAlignment="1">
      <alignment horizontal="center" vertical="center"/>
    </xf>
    <xf numFmtId="0" fontId="85" fillId="4" borderId="85" xfId="0" applyFont="1" applyFill="1" applyBorder="1" applyAlignment="1">
      <alignment horizontal="center" vertical="center"/>
    </xf>
    <xf numFmtId="0" fontId="85" fillId="4" borderId="106" xfId="0" applyFont="1" applyFill="1" applyBorder="1" applyAlignment="1">
      <alignment horizontal="center" vertical="center" wrapText="1"/>
    </xf>
    <xf numFmtId="0" fontId="85" fillId="4" borderId="84" xfId="0" applyFont="1" applyFill="1" applyBorder="1" applyAlignment="1">
      <alignment horizontal="center" vertical="center" wrapText="1"/>
    </xf>
    <xf numFmtId="0" fontId="85" fillId="4" borderId="85" xfId="0" applyFont="1" applyFill="1" applyBorder="1" applyAlignment="1">
      <alignment horizontal="center" vertical="center" wrapText="1"/>
    </xf>
    <xf numFmtId="0" fontId="85" fillId="4" borderId="111" xfId="0" applyFont="1" applyFill="1" applyBorder="1" applyAlignment="1">
      <alignment horizontal="center" vertical="center" wrapText="1"/>
    </xf>
    <xf numFmtId="0" fontId="85" fillId="4" borderId="112" xfId="0" applyFont="1" applyFill="1" applyBorder="1" applyAlignment="1">
      <alignment horizontal="center" vertical="center" wrapText="1"/>
    </xf>
    <xf numFmtId="0" fontId="85" fillId="4" borderId="113" xfId="0" applyFont="1" applyFill="1" applyBorder="1" applyAlignment="1">
      <alignment horizontal="center" vertical="center" wrapText="1"/>
    </xf>
    <xf numFmtId="0" fontId="141" fillId="6" borderId="97" xfId="4" applyFont="1" applyFill="1" applyBorder="1" applyAlignment="1">
      <alignment horizontal="center" vertical="center"/>
    </xf>
    <xf numFmtId="0" fontId="141" fillId="6" borderId="41" xfId="4" applyFont="1" applyFill="1" applyBorder="1" applyAlignment="1">
      <alignment horizontal="center" vertical="center"/>
    </xf>
    <xf numFmtId="0" fontId="141" fillId="6" borderId="42" xfId="4" applyFont="1" applyFill="1" applyBorder="1" applyAlignment="1">
      <alignment horizontal="center" vertical="center"/>
    </xf>
    <xf numFmtId="0" fontId="143" fillId="4" borderId="106" xfId="0" applyFont="1" applyFill="1" applyBorder="1" applyAlignment="1">
      <alignment horizontal="center" vertical="center" wrapText="1"/>
    </xf>
    <xf numFmtId="0" fontId="143" fillId="4" borderId="84" xfId="0" applyFont="1" applyFill="1" applyBorder="1" applyAlignment="1">
      <alignment horizontal="center" vertical="center" wrapText="1"/>
    </xf>
    <xf numFmtId="0" fontId="143" fillId="4" borderId="85" xfId="0" applyFont="1" applyFill="1" applyBorder="1" applyAlignment="1">
      <alignment horizontal="center" vertical="center" wrapText="1"/>
    </xf>
    <xf numFmtId="0" fontId="143" fillId="4" borderId="93" xfId="0" applyFont="1" applyFill="1" applyBorder="1" applyAlignment="1">
      <alignment horizontal="center" vertical="center" wrapText="1"/>
    </xf>
    <xf numFmtId="0" fontId="143" fillId="4" borderId="102" xfId="0" applyFont="1" applyFill="1" applyBorder="1" applyAlignment="1">
      <alignment horizontal="center" vertical="center" wrapText="1"/>
    </xf>
    <xf numFmtId="0" fontId="143" fillId="4" borderId="101" xfId="0" applyFont="1" applyFill="1" applyBorder="1" applyAlignment="1">
      <alignment horizontal="center" vertical="center" wrapText="1"/>
    </xf>
    <xf numFmtId="0" fontId="82" fillId="4" borderId="102" xfId="0" applyFont="1" applyFill="1" applyBorder="1" applyAlignment="1">
      <alignment horizontal="center" vertical="center" wrapText="1"/>
    </xf>
    <xf numFmtId="0" fontId="142" fillId="6" borderId="103" xfId="1" applyFont="1" applyFill="1" applyBorder="1" applyAlignment="1">
      <alignment vertical="center"/>
    </xf>
    <xf numFmtId="0" fontId="142" fillId="6" borderId="104" xfId="1" applyFont="1" applyFill="1" applyBorder="1" applyAlignment="1">
      <alignment vertical="center"/>
    </xf>
    <xf numFmtId="0" fontId="142" fillId="6" borderId="105" xfId="1" applyFont="1" applyFill="1" applyBorder="1" applyAlignment="1">
      <alignment vertical="center"/>
    </xf>
    <xf numFmtId="0" fontId="225" fillId="15" borderId="68" xfId="0" applyFont="1" applyFill="1" applyBorder="1" applyAlignment="1">
      <alignment horizontal="center"/>
    </xf>
    <xf numFmtId="0" fontId="225" fillId="15" borderId="0" xfId="0" applyFont="1" applyFill="1" applyBorder="1" applyAlignment="1">
      <alignment horizontal="center"/>
    </xf>
    <xf numFmtId="0" fontId="91" fillId="13" borderId="68" xfId="0" applyFont="1" applyFill="1" applyBorder="1" applyAlignment="1">
      <alignment horizontal="center"/>
    </xf>
    <xf numFmtId="0" fontId="91" fillId="13" borderId="0" xfId="0" applyFont="1" applyFill="1" applyBorder="1" applyAlignment="1">
      <alignment horizontal="center"/>
    </xf>
    <xf numFmtId="169" fontId="152" fillId="5" borderId="0" xfId="7" applyNumberFormat="1" applyFont="1" applyBorder="1" applyAlignment="1">
      <alignment horizontal="center" vertical="center"/>
    </xf>
    <xf numFmtId="0" fontId="149" fillId="6" borderId="9" xfId="4" applyFont="1" applyFill="1" applyBorder="1" applyAlignment="1">
      <alignment horizontal="left" vertical="top"/>
    </xf>
    <xf numFmtId="0" fontId="148" fillId="6" borderId="0" xfId="1" applyFont="1" applyFill="1" applyBorder="1" applyAlignment="1">
      <alignment horizontal="center" vertical="center"/>
    </xf>
    <xf numFmtId="0" fontId="148" fillId="6" borderId="43" xfId="1" applyFont="1" applyFill="1" applyBorder="1" applyAlignment="1">
      <alignment horizontal="center" vertical="center"/>
    </xf>
    <xf numFmtId="0" fontId="148" fillId="6" borderId="41" xfId="1" applyFont="1" applyFill="1" applyBorder="1" applyAlignment="1">
      <alignment horizontal="center" vertical="center"/>
    </xf>
    <xf numFmtId="0" fontId="148" fillId="6" borderId="42" xfId="1" applyFont="1" applyFill="1" applyBorder="1" applyAlignment="1">
      <alignment horizontal="center" vertical="center"/>
    </xf>
    <xf numFmtId="164" fontId="152" fillId="5" borderId="37" xfId="7" applyNumberFormat="1" applyFont="1" applyBorder="1" applyAlignment="1">
      <alignment horizontal="center" vertical="center"/>
    </xf>
    <xf numFmtId="167" fontId="152" fillId="5" borderId="44" xfId="7" applyNumberFormat="1" applyFont="1" applyBorder="1" applyAlignment="1">
      <alignment horizontal="center" vertical="center"/>
    </xf>
    <xf numFmtId="168" fontId="152" fillId="5" borderId="10" xfId="7" applyNumberFormat="1" applyFont="1" applyBorder="1" applyAlignment="1">
      <alignment horizontal="center" vertical="center"/>
    </xf>
    <xf numFmtId="0" fontId="152" fillId="5" borderId="11" xfId="7" applyFont="1" applyBorder="1" applyAlignment="1">
      <alignment horizontal="center" vertical="center"/>
    </xf>
    <xf numFmtId="0" fontId="152" fillId="5" borderId="10" xfId="7" applyFont="1" applyBorder="1" applyAlignment="1">
      <alignment horizontal="center" vertical="center"/>
    </xf>
    <xf numFmtId="0" fontId="27" fillId="6" borderId="0" xfId="1" applyFont="1" applyFill="1" applyBorder="1" applyAlignment="1">
      <alignment horizontal="left" vertical="center"/>
    </xf>
    <xf numFmtId="0" fontId="27" fillId="6" borderId="0" xfId="1" applyFont="1" applyFill="1" applyBorder="1" applyAlignment="1">
      <alignment horizontal="left" vertical="top"/>
    </xf>
    <xf numFmtId="0" fontId="27" fillId="6" borderId="0" xfId="1" applyFont="1" applyFill="1" applyBorder="1" applyAlignment="1">
      <alignment horizontal="center" vertical="center" wrapText="1"/>
    </xf>
    <xf numFmtId="0" fontId="174" fillId="21" borderId="0" xfId="4" applyFont="1" applyFill="1" applyBorder="1" applyAlignment="1">
      <alignment horizontal="left" vertical="center" wrapText="1"/>
    </xf>
    <xf numFmtId="0" fontId="174" fillId="21" borderId="12" xfId="4" applyFont="1" applyFill="1" applyBorder="1" applyAlignment="1">
      <alignment horizontal="left" vertical="center" wrapText="1"/>
    </xf>
    <xf numFmtId="0" fontId="27" fillId="6" borderId="0" xfId="1" applyFont="1" applyFill="1" applyBorder="1" applyAlignment="1">
      <alignment horizontal="left" vertical="center" wrapText="1"/>
    </xf>
    <xf numFmtId="0" fontId="244" fillId="21" borderId="0" xfId="4" applyFont="1" applyFill="1" applyBorder="1" applyAlignment="1">
      <alignment horizontal="left" vertical="center"/>
    </xf>
    <xf numFmtId="0" fontId="179" fillId="6" borderId="0" xfId="1" applyFont="1" applyFill="1" applyBorder="1" applyAlignment="1">
      <alignment horizontal="center" vertical="center"/>
    </xf>
    <xf numFmtId="0" fontId="179" fillId="6" borderId="0" xfId="1" applyFont="1" applyFill="1" applyBorder="1" applyAlignment="1">
      <alignment horizontal="center" vertical="top"/>
    </xf>
    <xf numFmtId="0" fontId="12" fillId="6" borderId="9" xfId="4" applyFont="1" applyFill="1" applyBorder="1" applyAlignment="1">
      <alignment horizontal="center" vertical="top"/>
    </xf>
    <xf numFmtId="14" fontId="189" fillId="0" borderId="0" xfId="7" applyNumberFormat="1" applyFont="1" applyFill="1" applyBorder="1" applyAlignment="1">
      <alignment horizontal="left" vertical="center"/>
    </xf>
    <xf numFmtId="14" fontId="186" fillId="0" borderId="0" xfId="7" applyNumberFormat="1" applyFont="1" applyFill="1" applyBorder="1" applyAlignment="1">
      <alignment horizontal="center" vertical="center"/>
    </xf>
    <xf numFmtId="14" fontId="187" fillId="0" borderId="0" xfId="7" applyNumberFormat="1" applyFont="1" applyFill="1" applyBorder="1" applyAlignment="1">
      <alignment horizontal="center" vertical="center"/>
    </xf>
    <xf numFmtId="14" fontId="189" fillId="0" borderId="0" xfId="7" applyNumberFormat="1" applyFont="1" applyFill="1" applyBorder="1" applyAlignment="1">
      <alignment horizontal="left" vertical="center" wrapText="1"/>
    </xf>
    <xf numFmtId="0" fontId="0" fillId="0" borderId="0" xfId="0" applyFont="1" applyAlignment="1" applyProtection="1">
      <alignment horizontal="justify" vertical="center" wrapText="1"/>
      <protection locked="0"/>
    </xf>
    <xf numFmtId="0" fontId="0" fillId="0" borderId="0" xfId="0" applyFont="1" applyAlignment="1" applyProtection="1">
      <alignment horizontal="justify" wrapText="1"/>
      <protection locked="0"/>
    </xf>
    <xf numFmtId="0" fontId="34" fillId="0" borderId="0" xfId="0" quotePrefix="1" applyFont="1" applyAlignment="1" applyProtection="1">
      <alignment horizontal="justify" vertical="center" wrapText="1"/>
      <protection locked="0"/>
    </xf>
    <xf numFmtId="0" fontId="34" fillId="0" borderId="0" xfId="0" applyFont="1" applyAlignment="1">
      <alignment horizontal="justify" vertical="center" wrapText="1"/>
    </xf>
    <xf numFmtId="0" fontId="45" fillId="0" borderId="0" xfId="0" applyFont="1" applyAlignment="1" applyProtection="1">
      <alignment horizontal="left"/>
      <protection locked="0"/>
    </xf>
    <xf numFmtId="0" fontId="54" fillId="0" borderId="0" xfId="0" applyFont="1" applyAlignment="1" applyProtection="1">
      <alignment horizontal="justify" wrapText="1"/>
      <protection locked="0"/>
    </xf>
    <xf numFmtId="0" fontId="46" fillId="0" borderId="0" xfId="0" applyFont="1" applyAlignment="1">
      <alignment horizontal="justify" wrapText="1"/>
    </xf>
    <xf numFmtId="0" fontId="180" fillId="6" borderId="0" xfId="0" applyFont="1" applyFill="1" applyAlignment="1" applyProtection="1">
      <alignment horizontal="center"/>
      <protection locked="0"/>
    </xf>
    <xf numFmtId="0" fontId="62" fillId="6" borderId="0" xfId="0" applyFont="1" applyFill="1" applyAlignment="1" applyProtection="1">
      <alignment horizontal="center"/>
      <protection locked="0"/>
    </xf>
    <xf numFmtId="0" fontId="49" fillId="10" borderId="46" xfId="0" applyNumberFormat="1" applyFont="1" applyFill="1" applyBorder="1" applyAlignment="1" applyProtection="1">
      <alignment horizontal="center" vertical="center" wrapText="1"/>
    </xf>
    <xf numFmtId="0" fontId="49" fillId="10" borderId="47" xfId="0" applyNumberFormat="1" applyFont="1" applyFill="1" applyBorder="1" applyAlignment="1" applyProtection="1">
      <alignment horizontal="center" vertical="center" wrapText="1"/>
    </xf>
    <xf numFmtId="0" fontId="49" fillId="10" borderId="48" xfId="0" applyNumberFormat="1" applyFont="1" applyFill="1" applyBorder="1" applyAlignment="1" applyProtection="1">
      <alignment horizontal="center" vertical="center" wrapText="1"/>
    </xf>
    <xf numFmtId="0" fontId="34" fillId="0" borderId="0" xfId="0" applyFont="1" applyAlignment="1" applyProtection="1">
      <alignment horizontal="justify" vertical="center" wrapText="1"/>
      <protection locked="0"/>
    </xf>
    <xf numFmtId="0" fontId="0" fillId="0" borderId="0" xfId="0" applyFont="1" applyAlignment="1">
      <alignment horizontal="justify" vertical="center" wrapText="1"/>
    </xf>
    <xf numFmtId="0" fontId="0" fillId="0" borderId="0" xfId="0" applyFont="1" applyAlignment="1" applyProtection="1">
      <alignment horizontal="left" vertical="center" wrapText="1"/>
      <protection locked="0"/>
    </xf>
    <xf numFmtId="0" fontId="34" fillId="0" borderId="0" xfId="0" applyFont="1" applyAlignment="1" applyProtection="1">
      <alignment horizontal="justify" vertical="center" wrapText="1" readingOrder="1"/>
      <protection locked="0"/>
    </xf>
    <xf numFmtId="0" fontId="34" fillId="0" borderId="0" xfId="0" applyFont="1" applyAlignment="1">
      <alignment horizontal="justify" vertical="center" wrapText="1" readingOrder="1"/>
    </xf>
    <xf numFmtId="0" fontId="83" fillId="0" borderId="0" xfId="0" applyFont="1" applyAlignment="1" applyProtection="1">
      <alignment horizontal="justify" vertical="center" wrapText="1" readingOrder="1"/>
      <protection locked="0"/>
    </xf>
    <xf numFmtId="0" fontId="83" fillId="0" borderId="0" xfId="0" applyFont="1" applyAlignment="1">
      <alignment horizontal="justify" vertical="center" wrapText="1" readingOrder="1"/>
    </xf>
    <xf numFmtId="0" fontId="55" fillId="0" borderId="0" xfId="0" applyFont="1" applyAlignment="1" applyProtection="1">
      <alignment horizontal="left"/>
      <protection locked="0"/>
    </xf>
    <xf numFmtId="0" fontId="58" fillId="0" borderId="0" xfId="0" quotePrefix="1" applyFont="1" applyAlignment="1" applyProtection="1">
      <alignment horizontal="justify" wrapText="1"/>
      <protection locked="0"/>
    </xf>
    <xf numFmtId="0" fontId="58" fillId="0" borderId="0" xfId="0" applyFont="1" applyAlignment="1" applyProtection="1">
      <alignment horizontal="justify" wrapText="1"/>
      <protection locked="0"/>
    </xf>
    <xf numFmtId="0" fontId="58" fillId="0" borderId="0" xfId="0" quotePrefix="1" applyFont="1" applyAlignment="1" applyProtection="1">
      <alignment horizontal="left" wrapText="1"/>
      <protection locked="0"/>
    </xf>
    <xf numFmtId="0" fontId="58" fillId="0" borderId="0" xfId="0" applyFont="1" applyAlignment="1" applyProtection="1">
      <alignment horizontal="left" wrapText="1"/>
      <protection locked="0"/>
    </xf>
    <xf numFmtId="0" fontId="0" fillId="0" borderId="0" xfId="0" quotePrefix="1" applyFont="1" applyAlignment="1" applyProtection="1">
      <alignment horizontal="justify" wrapText="1"/>
      <protection locked="0"/>
    </xf>
    <xf numFmtId="0" fontId="45" fillId="0" borderId="0" xfId="0" applyFont="1" applyAlignment="1" applyProtection="1">
      <alignment horizontal="center" wrapText="1"/>
      <protection locked="0"/>
    </xf>
    <xf numFmtId="0" fontId="0" fillId="0" borderId="0" xfId="0" applyFont="1" applyAlignment="1" applyProtection="1">
      <alignment horizontal="center" wrapText="1"/>
      <protection locked="0"/>
    </xf>
    <xf numFmtId="0" fontId="55" fillId="0" borderId="0" xfId="0" applyFont="1" applyAlignment="1" applyProtection="1">
      <alignment horizontal="justify" vertical="center" wrapText="1"/>
      <protection locked="0"/>
    </xf>
    <xf numFmtId="0" fontId="60" fillId="0" borderId="0" xfId="0" applyFont="1" applyAlignment="1" applyProtection="1">
      <alignment horizontal="center" wrapText="1"/>
      <protection locked="0"/>
    </xf>
    <xf numFmtId="0" fontId="61" fillId="0" borderId="0" xfId="0" applyFont="1" applyAlignment="1" applyProtection="1">
      <alignment horizontal="center" wrapText="1"/>
      <protection locked="0"/>
    </xf>
    <xf numFmtId="0" fontId="0" fillId="0" borderId="0" xfId="0" applyFont="1" applyAlignment="1" applyProtection="1">
      <alignment horizontal="center"/>
      <protection locked="0"/>
    </xf>
    <xf numFmtId="164" fontId="45" fillId="0" borderId="0" xfId="0" applyNumberFormat="1" applyFont="1" applyAlignment="1" applyProtection="1">
      <alignment horizontal="center"/>
      <protection locked="0"/>
    </xf>
    <xf numFmtId="0" fontId="45" fillId="0" borderId="0" xfId="0" applyFont="1" applyAlignment="1" applyProtection="1">
      <alignment horizontal="center"/>
      <protection locked="0"/>
    </xf>
    <xf numFmtId="0" fontId="48" fillId="10" borderId="49" xfId="0" applyFont="1" applyFill="1" applyBorder="1" applyAlignment="1" applyProtection="1">
      <alignment horizontal="center" vertical="center" wrapText="1"/>
      <protection locked="0"/>
    </xf>
    <xf numFmtId="0" fontId="48" fillId="10" borderId="50" xfId="0" applyFont="1" applyFill="1" applyBorder="1" applyAlignment="1" applyProtection="1">
      <alignment horizontal="center" vertical="center" wrapText="1"/>
      <protection locked="0"/>
    </xf>
    <xf numFmtId="0" fontId="48" fillId="10" borderId="51" xfId="0" applyFont="1" applyFill="1" applyBorder="1" applyAlignment="1" applyProtection="1">
      <alignment horizontal="center" vertical="center" wrapText="1"/>
      <protection locked="0"/>
    </xf>
    <xf numFmtId="0" fontId="45" fillId="0" borderId="0" xfId="0" applyFont="1" applyFill="1" applyAlignment="1" applyProtection="1">
      <alignment horizontal="center"/>
      <protection locked="0"/>
    </xf>
    <xf numFmtId="0" fontId="45" fillId="0" borderId="0" xfId="0" applyFont="1" applyFill="1" applyAlignment="1" applyProtection="1">
      <alignment horizontal="center" vertical="top"/>
      <protection locked="0"/>
    </xf>
    <xf numFmtId="0" fontId="33" fillId="0" borderId="0" xfId="6" quotePrefix="1" applyFont="1" applyAlignment="1" applyProtection="1">
      <alignment horizontal="center" vertical="top" wrapText="1"/>
      <protection locked="0"/>
    </xf>
    <xf numFmtId="0" fontId="96" fillId="0" borderId="0" xfId="0" applyFont="1" applyAlignment="1" applyProtection="1">
      <alignment horizontal="center"/>
      <protection locked="0"/>
    </xf>
    <xf numFmtId="0" fontId="50" fillId="0" borderId="0" xfId="0" applyFont="1" applyFill="1" applyAlignment="1" applyProtection="1">
      <alignment horizontal="right"/>
      <protection locked="0"/>
    </xf>
    <xf numFmtId="0" fontId="0" fillId="0" borderId="0" xfId="0" applyFont="1" applyAlignment="1" applyProtection="1">
      <alignment horizontal="justify" vertical="top" wrapText="1"/>
      <protection locked="0"/>
    </xf>
    <xf numFmtId="0" fontId="0" fillId="0" borderId="0" xfId="0" applyFont="1" applyAlignment="1">
      <alignment horizontal="justify" vertical="top" wrapText="1"/>
    </xf>
    <xf numFmtId="0" fontId="46" fillId="0" borderId="0" xfId="0" applyFont="1" applyAlignment="1" applyProtection="1">
      <alignment horizontal="justify" vertical="top" wrapText="1"/>
      <protection locked="0"/>
    </xf>
    <xf numFmtId="0" fontId="46" fillId="0" borderId="0" xfId="0" applyFont="1" applyAlignment="1">
      <alignment horizontal="justify" vertical="top" wrapText="1"/>
    </xf>
    <xf numFmtId="0" fontId="45" fillId="0" borderId="0" xfId="0" applyFont="1" applyAlignment="1" applyProtection="1">
      <alignment horizontal="left" vertical="center" wrapText="1"/>
      <protection locked="0"/>
    </xf>
    <xf numFmtId="0" fontId="37" fillId="0" borderId="0" xfId="0" applyFont="1" applyAlignment="1" applyProtection="1">
      <alignment horizontal="left" vertical="center"/>
      <protection locked="0"/>
    </xf>
    <xf numFmtId="0" fontId="53" fillId="0" borderId="0" xfId="0" applyFont="1" applyAlignment="1" applyProtection="1">
      <alignment horizontal="center" wrapText="1"/>
      <protection locked="0"/>
    </xf>
    <xf numFmtId="0" fontId="45" fillId="0" borderId="0" xfId="0" applyFont="1" applyAlignment="1" applyProtection="1">
      <alignment horizontal="center" vertical="top" wrapText="1"/>
      <protection locked="0"/>
    </xf>
    <xf numFmtId="0" fontId="0" fillId="0" borderId="0" xfId="0" applyFont="1" applyAlignment="1" applyProtection="1">
      <alignment horizontal="center" vertical="top" wrapText="1"/>
      <protection locked="0"/>
    </xf>
    <xf numFmtId="0" fontId="57" fillId="10" borderId="49" xfId="0" applyFont="1" applyFill="1" applyBorder="1" applyAlignment="1" applyProtection="1">
      <alignment horizontal="center" vertical="center" wrapText="1"/>
      <protection locked="0"/>
    </xf>
    <xf numFmtId="0" fontId="57" fillId="10" borderId="50" xfId="0" applyFont="1" applyFill="1" applyBorder="1" applyAlignment="1" applyProtection="1">
      <alignment horizontal="center" vertical="center" wrapText="1"/>
      <protection locked="0"/>
    </xf>
    <xf numFmtId="0" fontId="57" fillId="10" borderId="51" xfId="0" applyFont="1" applyFill="1" applyBorder="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0" fillId="0" borderId="0" xfId="0" applyFont="1" applyAlignment="1" applyProtection="1">
      <alignment horizontal="center" vertical="center" wrapText="1"/>
      <protection locked="0"/>
    </xf>
    <xf numFmtId="0" fontId="73" fillId="0" borderId="0" xfId="0" applyFont="1" applyAlignment="1" applyProtection="1">
      <alignment horizontal="center" vertical="top" wrapText="1"/>
      <protection locked="0"/>
    </xf>
    <xf numFmtId="0" fontId="0" fillId="0" borderId="0" xfId="0" quotePrefix="1" applyFont="1" applyAlignment="1" applyProtection="1">
      <alignment horizontal="left" wrapText="1"/>
      <protection locked="0"/>
    </xf>
    <xf numFmtId="0" fontId="0" fillId="0" borderId="0" xfId="0" applyFont="1" applyAlignment="1" applyProtection="1">
      <alignment horizontal="left" wrapText="1"/>
      <protection locked="0"/>
    </xf>
    <xf numFmtId="0" fontId="60" fillId="7" borderId="0" xfId="0" applyFont="1" applyFill="1" applyBorder="1" applyAlignment="1" applyProtection="1">
      <alignment horizontal="center" vertical="top" wrapText="1"/>
      <protection locked="0"/>
    </xf>
    <xf numFmtId="0" fontId="61" fillId="0" borderId="0" xfId="0" applyFont="1" applyAlignment="1" applyProtection="1">
      <alignment horizontal="center" vertical="top" wrapText="1"/>
      <protection locked="0"/>
    </xf>
    <xf numFmtId="0" fontId="42" fillId="7" borderId="0" xfId="0" applyFont="1" applyFill="1" applyBorder="1" applyAlignment="1" applyProtection="1">
      <alignment horizontal="justify" vertical="center" wrapText="1"/>
      <protection locked="0"/>
    </xf>
    <xf numFmtId="0" fontId="46" fillId="0" borderId="0" xfId="0" applyFont="1" applyAlignment="1" applyProtection="1">
      <alignment horizontal="justify" vertical="center" wrapText="1"/>
      <protection locked="0"/>
    </xf>
    <xf numFmtId="0" fontId="45" fillId="2" borderId="0" xfId="0" applyFont="1" applyFill="1" applyAlignment="1" applyProtection="1">
      <alignment horizontal="center" wrapText="1"/>
      <protection locked="0"/>
    </xf>
    <xf numFmtId="0" fontId="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right" vertical="center" wrapText="1"/>
      <protection locked="0"/>
    </xf>
    <xf numFmtId="0" fontId="46" fillId="0" borderId="0" xfId="0" applyFont="1" applyAlignment="1" applyProtection="1">
      <alignment horizontal="right" vertical="center" wrapText="1"/>
      <protection locked="0"/>
    </xf>
    <xf numFmtId="0" fontId="45" fillId="7" borderId="0" xfId="0" applyFont="1" applyFill="1" applyBorder="1" applyAlignment="1" applyProtection="1">
      <alignment horizontal="center" vertical="center" wrapText="1"/>
      <protection locked="0"/>
    </xf>
    <xf numFmtId="0" fontId="55" fillId="0" borderId="0" xfId="0" applyFont="1" applyAlignment="1" applyProtection="1">
      <alignment horizontal="justify" wrapText="1"/>
      <protection locked="0"/>
    </xf>
    <xf numFmtId="0" fontId="0" fillId="0" borderId="0" xfId="0" applyFont="1" applyAlignment="1">
      <alignment horizontal="justify" wrapText="1"/>
    </xf>
    <xf numFmtId="0" fontId="51" fillId="0" borderId="0" xfId="0" applyFont="1" applyAlignment="1" applyProtection="1">
      <alignment horizontal="left" vertical="center"/>
      <protection locked="0"/>
    </xf>
    <xf numFmtId="0" fontId="46" fillId="0" borderId="0" xfId="0" applyFont="1" applyAlignment="1">
      <alignment horizontal="justify" vertical="center" wrapText="1"/>
    </xf>
    <xf numFmtId="0" fontId="82" fillId="0" borderId="0" xfId="0" applyFont="1" applyAlignment="1" applyProtection="1">
      <alignment horizontal="left" vertical="center"/>
      <protection locked="0"/>
    </xf>
    <xf numFmtId="0" fontId="0" fillId="0" borderId="0" xfId="0" applyAlignment="1">
      <alignment horizontal="justify" vertical="center" wrapText="1"/>
    </xf>
    <xf numFmtId="0" fontId="55" fillId="0" borderId="0" xfId="0" applyFont="1" applyAlignment="1" applyProtection="1">
      <alignment horizontal="left" wrapText="1"/>
      <protection locked="0"/>
    </xf>
    <xf numFmtId="0" fontId="0" fillId="0" borderId="0" xfId="0" applyAlignment="1">
      <alignment horizontal="left" wrapText="1"/>
    </xf>
    <xf numFmtId="0" fontId="46" fillId="0" borderId="0" xfId="0" applyFont="1" applyAlignment="1" applyProtection="1">
      <alignment horizontal="left" vertical="center" wrapText="1"/>
      <protection locked="0"/>
    </xf>
    <xf numFmtId="0" fontId="46" fillId="0" borderId="0" xfId="0" quotePrefix="1" applyFont="1" applyAlignment="1" applyProtection="1">
      <alignment horizontal="left" vertical="center" wrapText="1"/>
      <protection locked="0"/>
    </xf>
    <xf numFmtId="0" fontId="37" fillId="0" borderId="0" xfId="0" applyFont="1" applyAlignment="1" applyProtection="1">
      <alignment horizontal="justify" vertical="center" wrapText="1"/>
      <protection locked="0"/>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wrapText="1"/>
      <protection locked="0"/>
    </xf>
    <xf numFmtId="0" fontId="51" fillId="0" borderId="0" xfId="0" applyFont="1" applyAlignment="1" applyProtection="1">
      <alignment horizontal="left"/>
      <protection locked="0"/>
    </xf>
    <xf numFmtId="0" fontId="54" fillId="0" borderId="0" xfId="0" applyFont="1" applyAlignment="1" applyProtection="1">
      <alignment horizontal="left"/>
      <protection locked="0"/>
    </xf>
    <xf numFmtId="0" fontId="54" fillId="0" borderId="0" xfId="0" applyFont="1" applyAlignment="1" applyProtection="1">
      <alignment horizontal="justify" vertical="justify" wrapText="1"/>
      <protection locked="0"/>
    </xf>
    <xf numFmtId="0" fontId="0" fillId="0" borderId="0" xfId="0" applyFont="1" applyAlignment="1" applyProtection="1">
      <alignment horizontal="justify" vertical="justify" wrapText="1"/>
      <protection locked="0"/>
    </xf>
    <xf numFmtId="0" fontId="51" fillId="0" borderId="0" xfId="0" applyFont="1" applyAlignment="1" applyProtection="1">
      <alignment horizontal="center" wrapText="1"/>
      <protection locked="0"/>
    </xf>
    <xf numFmtId="0" fontId="51" fillId="0" borderId="0" xfId="0" applyFont="1" applyAlignment="1" applyProtection="1">
      <alignment horizontal="center"/>
      <protection locked="0"/>
    </xf>
    <xf numFmtId="0" fontId="0" fillId="7" borderId="0" xfId="0" applyFont="1" applyFill="1" applyBorder="1" applyAlignment="1" applyProtection="1">
      <alignment horizontal="center" vertical="top" wrapText="1"/>
      <protection locked="0"/>
    </xf>
    <xf numFmtId="0" fontId="50" fillId="0" borderId="0" xfId="0" applyFont="1" applyAlignment="1" applyProtection="1">
      <alignment horizontal="right" wrapText="1"/>
      <protection locked="0"/>
    </xf>
    <xf numFmtId="0" fontId="46" fillId="0" borderId="0" xfId="0" applyFont="1" applyAlignment="1" applyProtection="1">
      <alignment horizontal="right" wrapText="1"/>
      <protection locked="0"/>
    </xf>
    <xf numFmtId="0" fontId="46" fillId="0" borderId="0" xfId="0" applyFont="1" applyAlignment="1" applyProtection="1">
      <alignment horizontal="center" wrapText="1"/>
      <protection locked="0"/>
    </xf>
    <xf numFmtId="0" fontId="0" fillId="0" borderId="0" xfId="0" applyFont="1" applyAlignment="1">
      <alignment horizontal="left" vertical="center" wrapText="1"/>
    </xf>
    <xf numFmtId="0" fontId="45" fillId="0" borderId="0" xfId="0" applyFont="1" applyAlignment="1" applyProtection="1">
      <alignment horizontal="left" vertical="center"/>
      <protection locked="0"/>
    </xf>
    <xf numFmtId="0" fontId="34" fillId="0" borderId="0" xfId="0" applyFont="1" applyAlignment="1" applyProtection="1">
      <alignment horizontal="left" vertical="center" wrapText="1"/>
      <protection locked="0"/>
    </xf>
    <xf numFmtId="0" fontId="58" fillId="0" borderId="0" xfId="0" applyFont="1" applyAlignment="1">
      <alignment horizontal="left" vertical="center" wrapText="1"/>
    </xf>
    <xf numFmtId="0" fontId="34" fillId="0" borderId="0" xfId="0" quotePrefix="1" applyFont="1" applyAlignment="1" applyProtection="1">
      <alignment horizontal="justify" vertical="justify" wrapText="1"/>
      <protection locked="0"/>
    </xf>
    <xf numFmtId="0" fontId="58" fillId="0" borderId="0" xfId="0" applyFont="1" applyAlignment="1">
      <alignment horizontal="justify" vertical="justify" wrapText="1"/>
    </xf>
    <xf numFmtId="0" fontId="50" fillId="0" borderId="0" xfId="0" quotePrefix="1" applyFont="1" applyAlignment="1" applyProtection="1">
      <alignment horizontal="justify" vertical="center" wrapText="1"/>
      <protection locked="0"/>
    </xf>
    <xf numFmtId="0" fontId="181" fillId="6" borderId="0" xfId="0" applyFont="1" applyFill="1" applyAlignment="1" applyProtection="1">
      <alignment horizontal="center" wrapText="1"/>
      <protection locked="0"/>
    </xf>
    <xf numFmtId="0" fontId="73" fillId="0" borderId="0" xfId="0" applyFont="1" applyAlignment="1" applyProtection="1">
      <alignment horizontal="center" wrapText="1"/>
      <protection locked="0"/>
    </xf>
    <xf numFmtId="0" fontId="1" fillId="0" borderId="0" xfId="0" applyFont="1" applyAlignment="1" applyProtection="1">
      <alignment horizontal="center" wrapText="1"/>
      <protection locked="0"/>
    </xf>
    <xf numFmtId="0" fontId="37" fillId="0" borderId="0" xfId="0" applyFont="1" applyAlignment="1">
      <alignment horizontal="justify" vertical="center" wrapText="1"/>
    </xf>
    <xf numFmtId="0" fontId="53" fillId="0" borderId="0" xfId="0" quotePrefix="1" applyFont="1" applyAlignment="1" applyProtection="1">
      <alignment horizontal="left" wrapText="1"/>
      <protection locked="0"/>
    </xf>
    <xf numFmtId="0" fontId="53" fillId="0" borderId="0" xfId="0" quotePrefix="1" applyFont="1" applyAlignment="1" applyProtection="1">
      <alignment horizontal="justify" wrapText="1"/>
      <protection locked="0"/>
    </xf>
    <xf numFmtId="0" fontId="74"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92" fillId="0" borderId="0" xfId="0" applyFont="1" applyAlignment="1" applyProtection="1">
      <alignment horizontal="center" vertical="top" wrapText="1"/>
      <protection locked="0"/>
    </xf>
    <xf numFmtId="0" fontId="58" fillId="0" borderId="0" xfId="0" applyFont="1" applyAlignment="1" applyProtection="1">
      <alignment horizontal="justify" vertical="center" wrapText="1"/>
      <protection locked="0"/>
    </xf>
    <xf numFmtId="0" fontId="58" fillId="0" borderId="0" xfId="0" applyFont="1" applyAlignment="1" applyProtection="1">
      <alignment horizontal="center"/>
      <protection locked="0"/>
    </xf>
    <xf numFmtId="0" fontId="73" fillId="7" borderId="0" xfId="0" applyFont="1" applyFill="1" applyBorder="1" applyAlignment="1" applyProtection="1">
      <alignment horizontal="center" vertical="top" wrapText="1"/>
      <protection locked="0"/>
    </xf>
    <xf numFmtId="0" fontId="1" fillId="0" borderId="0" xfId="0" applyFont="1" applyAlignment="1" applyProtection="1">
      <alignment horizontal="center" vertical="top" wrapText="1"/>
      <protection locked="0"/>
    </xf>
    <xf numFmtId="0" fontId="42" fillId="7" borderId="0" xfId="0" applyFont="1" applyFill="1" applyBorder="1" applyAlignment="1" applyProtection="1">
      <alignment horizontal="left" vertical="center" wrapText="1"/>
      <protection locked="0"/>
    </xf>
    <xf numFmtId="0" fontId="55" fillId="0" borderId="0" xfId="0" applyFont="1" applyAlignment="1" applyProtection="1">
      <alignment horizontal="justify" vertical="top" wrapText="1"/>
      <protection locked="0"/>
    </xf>
    <xf numFmtId="0" fontId="0" fillId="0" borderId="0" xfId="0" applyAlignment="1">
      <alignment horizontal="justify" vertical="top" wrapText="1"/>
    </xf>
    <xf numFmtId="0" fontId="83" fillId="0" borderId="0" xfId="0" applyFont="1" applyAlignment="1" applyProtection="1">
      <alignment horizontal="justify" vertical="center" wrapText="1"/>
      <protection locked="0"/>
    </xf>
    <xf numFmtId="0" fontId="82" fillId="0" borderId="0" xfId="0" applyFont="1" applyAlignment="1" applyProtection="1">
      <alignment horizontal="left"/>
      <protection locked="0"/>
    </xf>
    <xf numFmtId="0" fontId="83" fillId="0" borderId="0" xfId="0" quotePrefix="1" applyFont="1" applyAlignment="1" applyProtection="1">
      <alignment horizontal="left" wrapText="1"/>
      <protection locked="0"/>
    </xf>
    <xf numFmtId="0" fontId="34" fillId="0" borderId="0" xfId="0" applyFont="1" applyAlignment="1" applyProtection="1">
      <alignment horizontal="left" wrapText="1"/>
      <protection locked="0"/>
    </xf>
    <xf numFmtId="0" fontId="249" fillId="0" borderId="0" xfId="0" applyFont="1" applyAlignment="1" applyProtection="1">
      <alignment horizontal="left"/>
      <protection locked="0"/>
    </xf>
    <xf numFmtId="0" fontId="50" fillId="0" borderId="0" xfId="0" quotePrefix="1" applyFont="1" applyAlignment="1" applyProtection="1">
      <alignment horizontal="left" wrapText="1"/>
      <protection locked="0"/>
    </xf>
    <xf numFmtId="0" fontId="249" fillId="0" borderId="0" xfId="0" applyFont="1" applyAlignment="1" applyProtection="1">
      <alignment horizontal="justify" vertical="justify" wrapText="1"/>
      <protection locked="0"/>
    </xf>
    <xf numFmtId="0" fontId="34" fillId="0" borderId="0" xfId="0" applyFont="1" applyAlignment="1" applyProtection="1">
      <alignment horizontal="justify" vertical="justify" wrapText="1"/>
      <protection locked="0"/>
    </xf>
    <xf numFmtId="0" fontId="83" fillId="0" borderId="0" xfId="0" quotePrefix="1" applyFont="1" applyAlignment="1" applyProtection="1">
      <alignment horizontal="justify" vertical="justify" wrapText="1"/>
      <protection locked="0"/>
    </xf>
    <xf numFmtId="0" fontId="34" fillId="0" borderId="0" xfId="0" applyFont="1" applyAlignment="1">
      <alignment horizontal="justify" vertical="justify" wrapText="1"/>
    </xf>
    <xf numFmtId="0" fontId="50" fillId="0" borderId="0" xfId="0" applyFont="1" applyAlignment="1" applyProtection="1">
      <alignment horizontal="left" vertical="center" wrapText="1"/>
      <protection locked="0"/>
    </xf>
    <xf numFmtId="0" fontId="83" fillId="0" borderId="0" xfId="0" applyFont="1" applyAlignment="1" applyProtection="1">
      <alignment horizontal="left" vertical="center" wrapText="1"/>
      <protection locked="0"/>
    </xf>
    <xf numFmtId="0" fontId="60"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0" fillId="0" borderId="0" xfId="0" applyAlignment="1" applyProtection="1">
      <alignment horizontal="justify" vertical="center" wrapText="1"/>
      <protection locked="0"/>
    </xf>
    <xf numFmtId="0" fontId="0" fillId="0" borderId="0" xfId="0" applyAlignment="1">
      <alignment horizontal="left" vertical="center" wrapText="1"/>
    </xf>
    <xf numFmtId="0" fontId="183" fillId="6" borderId="0" xfId="0" applyFont="1" applyFill="1" applyAlignment="1" applyProtection="1">
      <alignment horizontal="center"/>
      <protection locked="0"/>
    </xf>
    <xf numFmtId="0" fontId="0" fillId="0" borderId="0" xfId="0" applyAlignment="1" applyProtection="1">
      <alignment horizontal="center" wrapText="1"/>
      <protection locked="0"/>
    </xf>
    <xf numFmtId="0" fontId="0" fillId="7" borderId="0" xfId="0" applyFill="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0" xfId="0" quotePrefix="1" applyAlignment="1" applyProtection="1">
      <alignment horizontal="left" vertical="center" wrapText="1"/>
      <protection locked="0"/>
    </xf>
    <xf numFmtId="0" fontId="0" fillId="0" borderId="0" xfId="0" applyAlignment="1" applyProtection="1">
      <alignment horizontal="left" vertical="center" wrapText="1"/>
      <protection locked="0"/>
    </xf>
    <xf numFmtId="0" fontId="34" fillId="0" borderId="0" xfId="0" quotePrefix="1" applyFont="1" applyAlignment="1" applyProtection="1">
      <alignment horizontal="left" vertical="center" wrapText="1"/>
      <protection locked="0"/>
    </xf>
    <xf numFmtId="0" fontId="45" fillId="0" borderId="0" xfId="0" applyFont="1" applyAlignment="1" applyProtection="1">
      <alignment horizontal="center" vertical="top"/>
      <protection locked="0"/>
    </xf>
    <xf numFmtId="0" fontId="83" fillId="0" borderId="0" xfId="0" quotePrefix="1" applyFont="1" applyAlignment="1" applyProtection="1">
      <alignment horizontal="left" vertical="center" wrapText="1"/>
      <protection locked="0"/>
    </xf>
    <xf numFmtId="0" fontId="48" fillId="10" borderId="127" xfId="0" applyFont="1" applyFill="1" applyBorder="1" applyAlignment="1" applyProtection="1">
      <alignment horizontal="center" vertical="center" wrapText="1"/>
      <protection locked="0"/>
    </xf>
    <xf numFmtId="0" fontId="48" fillId="10" borderId="0" xfId="0" applyFont="1" applyFill="1" applyBorder="1" applyAlignment="1" applyProtection="1">
      <alignment horizontal="center" vertical="center" wrapText="1"/>
      <protection locked="0"/>
    </xf>
    <xf numFmtId="0" fontId="48" fillId="10" borderId="128" xfId="0" applyFont="1" applyFill="1" applyBorder="1" applyAlignment="1" applyProtection="1">
      <alignment horizontal="center" vertical="center" wrapText="1"/>
      <protection locked="0"/>
    </xf>
    <xf numFmtId="0" fontId="43" fillId="0" borderId="0" xfId="0" quotePrefix="1" applyFont="1" applyAlignment="1" applyProtection="1">
      <alignment horizontal="justify" vertical="center" wrapText="1"/>
      <protection locked="0"/>
    </xf>
    <xf numFmtId="0" fontId="43" fillId="0" borderId="0" xfId="0" applyFont="1" applyAlignment="1" applyProtection="1">
      <alignment horizontal="justify" vertical="center" wrapText="1"/>
      <protection locked="0"/>
    </xf>
    <xf numFmtId="0" fontId="45" fillId="0" borderId="0" xfId="0" applyFont="1" applyBorder="1" applyAlignment="1" applyProtection="1">
      <alignment horizontal="center" wrapText="1"/>
      <protection locked="0"/>
    </xf>
    <xf numFmtId="0" fontId="45" fillId="0" borderId="0" xfId="0" applyFont="1" applyBorder="1" applyAlignment="1" applyProtection="1">
      <alignment horizontal="center"/>
      <protection locked="0"/>
    </xf>
    <xf numFmtId="0" fontId="83" fillId="0" borderId="0" xfId="0" quotePrefix="1" applyFont="1" applyAlignment="1" applyProtection="1">
      <alignment horizontal="justify" vertical="center" wrapText="1"/>
      <protection locked="0"/>
    </xf>
    <xf numFmtId="0" fontId="82" fillId="0" borderId="0" xfId="0" applyFont="1" applyAlignment="1" applyProtection="1">
      <alignment horizontal="left" vertical="center" wrapText="1"/>
      <protection locked="0"/>
    </xf>
    <xf numFmtId="0" fontId="46" fillId="0" borderId="0" xfId="0" applyFont="1" applyAlignment="1" applyProtection="1">
      <alignment horizontal="left"/>
      <protection locked="0"/>
    </xf>
    <xf numFmtId="0" fontId="0" fillId="0" borderId="0" xfId="0" applyAlignment="1">
      <alignment horizontal="center" vertical="center" wrapText="1"/>
    </xf>
    <xf numFmtId="0" fontId="0" fillId="0" borderId="0" xfId="0" quotePrefix="1" applyAlignment="1" applyProtection="1">
      <alignment horizontal="justify" vertical="top" wrapText="1"/>
      <protection locked="0"/>
    </xf>
    <xf numFmtId="0" fontId="0" fillId="0" borderId="0" xfId="0" applyAlignment="1" applyProtection="1">
      <alignment horizontal="justify" vertical="top" wrapText="1"/>
      <protection locked="0"/>
    </xf>
    <xf numFmtId="0" fontId="0" fillId="0" borderId="0" xfId="0" quotePrefix="1" applyAlignment="1" applyProtection="1">
      <alignment horizontal="justify" wrapText="1"/>
      <protection locked="0"/>
    </xf>
    <xf numFmtId="0" fontId="34" fillId="0" borderId="0" xfId="0" applyFont="1" applyAlignment="1" applyProtection="1">
      <alignment horizontal="justify" vertical="top" wrapText="1"/>
      <protection locked="0"/>
    </xf>
    <xf numFmtId="0" fontId="0" fillId="0" borderId="0" xfId="0" applyAlignment="1" applyProtection="1">
      <alignment horizontal="left" vertical="top" wrapText="1"/>
      <protection locked="0"/>
    </xf>
    <xf numFmtId="0" fontId="0" fillId="0" borderId="0" xfId="0" quotePrefix="1" applyAlignment="1" applyProtection="1">
      <alignment horizontal="left" wrapText="1"/>
      <protection locked="0"/>
    </xf>
    <xf numFmtId="0" fontId="38" fillId="0" borderId="0" xfId="0" applyFont="1" applyAlignment="1" applyProtection="1">
      <alignment horizontal="center"/>
      <protection locked="0"/>
    </xf>
    <xf numFmtId="0" fontId="0" fillId="7"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50" fillId="7" borderId="0" xfId="0" applyFont="1" applyFill="1" applyAlignment="1" applyProtection="1">
      <alignment horizontal="right" vertical="center" wrapText="1"/>
      <protection locked="0"/>
    </xf>
    <xf numFmtId="0" fontId="45" fillId="7" borderId="0" xfId="0" applyFont="1" applyFill="1" applyAlignment="1" applyProtection="1">
      <alignment horizontal="center" vertical="center" wrapText="1"/>
      <protection locked="0"/>
    </xf>
    <xf numFmtId="0" fontId="60" fillId="7" borderId="0" xfId="0" applyFont="1" applyFill="1" applyAlignment="1" applyProtection="1">
      <alignment horizontal="center" vertical="top" wrapText="1"/>
      <protection locked="0"/>
    </xf>
    <xf numFmtId="0" fontId="42" fillId="7" borderId="0" xfId="0" applyFont="1" applyFill="1" applyAlignment="1" applyProtection="1">
      <alignment horizontal="left" vertical="center" wrapText="1"/>
      <protection locked="0"/>
    </xf>
    <xf numFmtId="0" fontId="46" fillId="0" borderId="0" xfId="0" quotePrefix="1" applyFont="1" applyAlignment="1" applyProtection="1">
      <alignment horizontal="justify" vertical="center" wrapText="1"/>
      <protection locked="0"/>
    </xf>
    <xf numFmtId="0" fontId="0" fillId="0" borderId="0" xfId="0" applyAlignment="1">
      <alignment horizontal="justify" wrapText="1"/>
    </xf>
    <xf numFmtId="0" fontId="46" fillId="0" borderId="0" xfId="0" quotePrefix="1" applyFont="1" applyAlignment="1" applyProtection="1">
      <alignment horizontal="justify" vertical="top" wrapText="1"/>
      <protection locked="0"/>
    </xf>
    <xf numFmtId="0" fontId="0" fillId="0" borderId="0" xfId="0" applyAlignment="1" applyProtection="1">
      <alignment horizontal="justify" wrapText="1"/>
      <protection locked="0"/>
    </xf>
    <xf numFmtId="0" fontId="50" fillId="0" borderId="0" xfId="0" applyFont="1" applyAlignment="1" applyProtection="1">
      <alignment horizontal="right"/>
      <protection locked="0"/>
    </xf>
    <xf numFmtId="0" fontId="50" fillId="0" borderId="0" xfId="0" quotePrefix="1" applyFont="1" applyAlignment="1" applyProtection="1">
      <alignment horizontal="left" vertical="center" wrapText="1"/>
      <protection locked="0"/>
    </xf>
    <xf numFmtId="0" fontId="33" fillId="0" borderId="0" xfId="0" applyFont="1" applyAlignment="1">
      <alignment horizontal="justify" vertical="center" wrapText="1"/>
    </xf>
    <xf numFmtId="0" fontId="33" fillId="0" borderId="0" xfId="0" quotePrefix="1" applyFont="1" applyAlignment="1">
      <alignment horizontal="justify" vertical="center" wrapText="1"/>
    </xf>
    <xf numFmtId="0" fontId="104" fillId="0" borderId="0" xfId="0" applyFont="1" applyAlignment="1">
      <alignment horizontal="right" vertical="center"/>
    </xf>
    <xf numFmtId="0" fontId="185" fillId="12" borderId="0" xfId="0" applyFont="1" applyFill="1" applyAlignment="1">
      <alignment horizontal="center" vertical="center" wrapText="1"/>
    </xf>
    <xf numFmtId="0" fontId="184" fillId="12" borderId="0" xfId="0" applyFont="1" applyFill="1" applyAlignment="1">
      <alignment horizontal="center" vertical="center" wrapText="1"/>
    </xf>
    <xf numFmtId="0" fontId="85" fillId="0" borderId="0" xfId="0" applyFont="1" applyAlignment="1">
      <alignment horizontal="center" vertical="center"/>
    </xf>
    <xf numFmtId="0" fontId="121" fillId="0" borderId="0" xfId="0" applyFont="1" applyAlignment="1">
      <alignment horizontal="center" vertical="center"/>
    </xf>
    <xf numFmtId="0" fontId="33" fillId="0" borderId="0" xfId="0" applyFont="1" applyAlignment="1">
      <alignment horizontal="center" vertical="center"/>
    </xf>
    <xf numFmtId="176" fontId="104" fillId="0" borderId="0" xfId="0" applyNumberFormat="1" applyFont="1" applyAlignment="1">
      <alignment horizontal="left"/>
    </xf>
    <xf numFmtId="0" fontId="191" fillId="0" borderId="0" xfId="0" applyFont="1" applyAlignment="1">
      <alignment horizontal="center" vertical="center" wrapText="1"/>
    </xf>
    <xf numFmtId="0" fontId="34" fillId="0" borderId="0" xfId="0" applyFont="1" applyBorder="1" applyAlignment="1">
      <alignment horizontal="justify" vertical="top" wrapText="1"/>
    </xf>
    <xf numFmtId="175" fontId="104" fillId="0" borderId="0" xfId="0" applyNumberFormat="1" applyFont="1" applyAlignment="1">
      <alignment horizontal="left"/>
    </xf>
    <xf numFmtId="0" fontId="107" fillId="0" borderId="0" xfId="0" applyFont="1" applyAlignment="1">
      <alignment horizontal="justify" vertical="center" wrapText="1"/>
    </xf>
    <xf numFmtId="0" fontId="104" fillId="0" borderId="0" xfId="0" quotePrefix="1" applyFont="1" applyAlignment="1">
      <alignment horizontal="justify" vertical="center" wrapText="1"/>
    </xf>
    <xf numFmtId="0" fontId="110" fillId="0" borderId="0" xfId="16" applyFont="1" applyAlignment="1">
      <alignment horizontal="center" vertical="center"/>
    </xf>
    <xf numFmtId="0" fontId="85" fillId="0" borderId="0" xfId="0" applyFont="1" applyBorder="1" applyAlignment="1">
      <alignment horizontal="center" vertical="center"/>
    </xf>
    <xf numFmtId="0" fontId="85" fillId="0" borderId="0" xfId="0" applyFont="1" applyBorder="1" applyAlignment="1">
      <alignment horizontal="left"/>
    </xf>
    <xf numFmtId="0" fontId="104" fillId="0" borderId="0" xfId="0" applyFont="1" applyBorder="1" applyAlignment="1">
      <alignment horizontal="center"/>
    </xf>
    <xf numFmtId="0" fontId="85" fillId="0" borderId="0" xfId="0" applyFont="1" applyBorder="1" applyAlignment="1">
      <alignment horizontal="center"/>
    </xf>
    <xf numFmtId="0" fontId="85" fillId="0" borderId="116" xfId="0" applyFont="1" applyBorder="1" applyAlignment="1">
      <alignment horizontal="center" vertical="center" wrapText="1"/>
    </xf>
    <xf numFmtId="0" fontId="85" fillId="0" borderId="118" xfId="0" applyFont="1" applyBorder="1" applyAlignment="1">
      <alignment horizontal="center" vertical="center" wrapText="1"/>
    </xf>
    <xf numFmtId="0" fontId="85" fillId="0" borderId="69" xfId="0" applyFont="1" applyBorder="1" applyAlignment="1">
      <alignment horizontal="center" vertical="center" wrapText="1"/>
    </xf>
    <xf numFmtId="0" fontId="85" fillId="0" borderId="81" xfId="0" applyFont="1" applyBorder="1" applyAlignment="1">
      <alignment horizontal="center" vertical="center" wrapText="1"/>
    </xf>
    <xf numFmtId="0" fontId="103" fillId="0" borderId="115" xfId="0" applyFont="1" applyBorder="1" applyAlignment="1">
      <alignment horizontal="justify" vertical="center" wrapText="1"/>
    </xf>
    <xf numFmtId="0" fontId="85" fillId="0" borderId="114" xfId="0" applyFont="1" applyBorder="1" applyAlignment="1">
      <alignment horizontal="center" vertical="center"/>
    </xf>
    <xf numFmtId="0" fontId="85" fillId="0" borderId="85" xfId="0" applyFont="1" applyBorder="1" applyAlignment="1">
      <alignment horizontal="center" vertical="center"/>
    </xf>
    <xf numFmtId="0" fontId="85" fillId="0" borderId="1" xfId="0" applyFont="1" applyBorder="1" applyAlignment="1">
      <alignment horizontal="center" vertical="center"/>
    </xf>
    <xf numFmtId="0" fontId="85" fillId="0" borderId="119" xfId="0" applyFont="1" applyBorder="1" applyAlignment="1">
      <alignment horizontal="center" vertical="center" wrapText="1"/>
    </xf>
    <xf numFmtId="0" fontId="85" fillId="0" borderId="120" xfId="0" applyFont="1" applyBorder="1" applyAlignment="1">
      <alignment horizontal="center" vertical="center" wrapText="1"/>
    </xf>
    <xf numFmtId="0" fontId="103" fillId="0" borderId="122" xfId="0" applyFont="1" applyBorder="1" applyAlignment="1">
      <alignment horizontal="justify" vertical="center" wrapText="1"/>
    </xf>
    <xf numFmtId="0" fontId="85" fillId="0" borderId="70" xfId="0" applyFont="1" applyBorder="1" applyAlignment="1">
      <alignment horizontal="center"/>
    </xf>
    <xf numFmtId="0" fontId="85" fillId="0" borderId="129" xfId="0" applyFont="1" applyBorder="1" applyAlignment="1">
      <alignment horizontal="center" vertical="center" wrapText="1"/>
    </xf>
    <xf numFmtId="0" fontId="85" fillId="0" borderId="121" xfId="0" applyFont="1" applyBorder="1" applyAlignment="1">
      <alignment horizontal="center" vertical="center" wrapText="1"/>
    </xf>
    <xf numFmtId="0" fontId="85" fillId="0" borderId="70" xfId="0" applyFont="1" applyBorder="1" applyAlignment="1">
      <alignment horizontal="center" vertical="center" wrapText="1"/>
    </xf>
    <xf numFmtId="0" fontId="85" fillId="0" borderId="114" xfId="0" applyFont="1" applyBorder="1" applyAlignment="1">
      <alignment horizontal="center" vertical="center" wrapText="1"/>
    </xf>
    <xf numFmtId="0" fontId="85" fillId="0" borderId="85" xfId="0" applyFont="1" applyBorder="1" applyAlignment="1">
      <alignment horizontal="center" vertical="center" wrapText="1"/>
    </xf>
    <xf numFmtId="0" fontId="33" fillId="0" borderId="0" xfId="0" quotePrefix="1" applyFont="1" applyBorder="1" applyAlignment="1">
      <alignment horizontal="center" vertical="center"/>
    </xf>
    <xf numFmtId="0" fontId="105" fillId="0" borderId="0" xfId="0" applyFont="1" applyAlignment="1">
      <alignment horizontal="center" vertical="center" wrapText="1"/>
    </xf>
    <xf numFmtId="0" fontId="95" fillId="0" borderId="131"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95" fillId="0" borderId="85" xfId="0" applyFont="1" applyFill="1" applyBorder="1" applyAlignment="1">
      <alignment horizontal="center" vertical="center" wrapText="1"/>
    </xf>
    <xf numFmtId="0" fontId="95" fillId="0" borderId="123" xfId="0" applyFont="1" applyFill="1" applyBorder="1" applyAlignment="1">
      <alignment horizontal="center" vertical="center" wrapText="1"/>
    </xf>
    <xf numFmtId="0" fontId="95" fillId="0" borderId="124" xfId="0" applyFont="1" applyFill="1" applyBorder="1" applyAlignment="1">
      <alignment horizontal="center" vertical="center" wrapText="1"/>
    </xf>
    <xf numFmtId="0" fontId="95" fillId="0" borderId="125" xfId="0" applyFont="1" applyFill="1" applyBorder="1" applyAlignment="1">
      <alignment horizontal="center" vertical="center" wrapText="1"/>
    </xf>
    <xf numFmtId="0" fontId="95" fillId="0" borderId="126" xfId="0" applyFont="1" applyFill="1" applyBorder="1" applyAlignment="1">
      <alignment horizontal="center" vertical="center" wrapText="1"/>
    </xf>
    <xf numFmtId="0" fontId="85" fillId="0" borderId="111" xfId="0" applyFont="1" applyBorder="1" applyAlignment="1">
      <alignment horizontal="center" vertical="center" wrapText="1"/>
    </xf>
    <xf numFmtId="0" fontId="85" fillId="0" borderId="113" xfId="0" applyFont="1" applyBorder="1" applyAlignment="1">
      <alignment horizontal="center" vertical="center" wrapText="1"/>
    </xf>
    <xf numFmtId="0" fontId="33" fillId="0" borderId="119" xfId="0" applyFont="1" applyBorder="1" applyAlignment="1">
      <alignment horizontal="left" vertical="top" wrapText="1"/>
    </xf>
    <xf numFmtId="0" fontId="33" fillId="0" borderId="120" xfId="0" applyFont="1" applyBorder="1" applyAlignment="1">
      <alignment horizontal="left" vertical="top" wrapText="1"/>
    </xf>
    <xf numFmtId="0" fontId="143" fillId="4" borderId="114" xfId="0" applyFont="1" applyFill="1" applyBorder="1" applyAlignment="1">
      <alignment horizontal="center" vertical="center" wrapText="1"/>
    </xf>
    <xf numFmtId="0" fontId="82" fillId="4" borderId="119" xfId="0" applyFont="1" applyFill="1" applyBorder="1" applyAlignment="1">
      <alignment horizontal="center" vertical="center" wrapText="1"/>
    </xf>
    <xf numFmtId="0" fontId="82" fillId="4" borderId="120" xfId="0" applyFont="1" applyFill="1" applyBorder="1" applyAlignment="1">
      <alignment horizontal="center" vertical="center" wrapText="1"/>
    </xf>
    <xf numFmtId="0" fontId="82" fillId="4" borderId="114" xfId="0" applyFont="1" applyFill="1" applyBorder="1" applyAlignment="1">
      <alignment horizontal="center" vertical="center" wrapText="1"/>
    </xf>
    <xf numFmtId="0" fontId="82" fillId="4" borderId="85" xfId="0" applyFont="1" applyFill="1" applyBorder="1" applyAlignment="1">
      <alignment horizontal="center" vertical="center" wrapText="1"/>
    </xf>
    <xf numFmtId="0" fontId="85" fillId="0" borderId="117" xfId="0" applyFont="1" applyBorder="1" applyAlignment="1">
      <alignment horizontal="center" vertical="center" wrapText="1"/>
    </xf>
    <xf numFmtId="0" fontId="33" fillId="0" borderId="115"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81" xfId="0" applyFont="1" applyBorder="1" applyAlignment="1">
      <alignment horizontal="justify" vertical="center" wrapText="1"/>
    </xf>
    <xf numFmtId="0" fontId="82" fillId="0" borderId="0" xfId="10" applyFont="1" applyFill="1" applyAlignment="1">
      <alignment horizontal="center" vertical="center"/>
    </xf>
    <xf numFmtId="164" fontId="82" fillId="0" borderId="0" xfId="10" applyNumberFormat="1" applyFont="1" applyFill="1" applyAlignment="1">
      <alignment horizontal="center" vertical="center"/>
    </xf>
    <xf numFmtId="0" fontId="34" fillId="0" borderId="1" xfId="10" quotePrefix="1" applyFont="1" applyFill="1" applyBorder="1" applyAlignment="1">
      <alignment horizontal="left" vertical="center"/>
    </xf>
    <xf numFmtId="0" fontId="34" fillId="0" borderId="1" xfId="10" applyFont="1" applyFill="1" applyBorder="1" applyAlignment="1">
      <alignment horizontal="left" vertical="center"/>
    </xf>
    <xf numFmtId="0" fontId="34" fillId="0" borderId="1" xfId="10" applyFont="1" applyFill="1" applyBorder="1" applyAlignment="1">
      <alignment horizontal="center" vertical="center"/>
    </xf>
    <xf numFmtId="177" fontId="34" fillId="0" borderId="1" xfId="10" applyNumberFormat="1" applyFont="1" applyFill="1" applyBorder="1" applyAlignment="1">
      <alignment horizontal="center" vertical="center"/>
    </xf>
    <xf numFmtId="0" fontId="114" fillId="0" borderId="0" xfId="2" applyNumberFormat="1" applyFont="1" applyAlignment="1">
      <alignment horizontal="center" vertical="center"/>
    </xf>
    <xf numFmtId="0" fontId="34" fillId="0" borderId="1" xfId="10" quotePrefix="1" applyFont="1" applyFill="1" applyBorder="1" applyAlignment="1">
      <alignment vertical="center"/>
    </xf>
    <xf numFmtId="0" fontId="34" fillId="0" borderId="1" xfId="10" applyFont="1" applyFill="1" applyBorder="1" applyAlignment="1">
      <alignment vertical="center"/>
    </xf>
    <xf numFmtId="178" fontId="34" fillId="0" borderId="1" xfId="10" applyNumberFormat="1" applyFont="1" applyFill="1" applyBorder="1" applyAlignment="1">
      <alignment horizontal="center" vertical="center"/>
    </xf>
    <xf numFmtId="1" fontId="34" fillId="0" borderId="1" xfId="10" applyNumberFormat="1" applyFont="1" applyFill="1" applyBorder="1" applyAlignment="1">
      <alignment horizontal="center" vertical="center"/>
    </xf>
    <xf numFmtId="0" fontId="82" fillId="0" borderId="0" xfId="0" applyFont="1" applyBorder="1" applyAlignment="1">
      <alignment horizontal="left" vertical="center"/>
    </xf>
    <xf numFmtId="0" fontId="34" fillId="0" borderId="0" xfId="2" quotePrefix="1" applyFont="1" applyAlignment="1">
      <alignment horizontal="justify" vertical="center" wrapText="1"/>
    </xf>
    <xf numFmtId="0" fontId="82" fillId="0" borderId="1" xfId="10" applyFont="1" applyFill="1" applyBorder="1" applyAlignment="1">
      <alignment horizontal="center" vertical="center"/>
    </xf>
    <xf numFmtId="0" fontId="34" fillId="0" borderId="0" xfId="10" applyFont="1" applyFill="1" applyAlignment="1">
      <alignment horizontal="justify" vertical="center"/>
    </xf>
    <xf numFmtId="0" fontId="34" fillId="0" borderId="70" xfId="10" applyFont="1" applyFill="1" applyBorder="1" applyAlignment="1">
      <alignment horizontal="justify" vertical="center"/>
    </xf>
    <xf numFmtId="0" fontId="116" fillId="0" borderId="0" xfId="2" applyNumberFormat="1" applyFont="1" applyAlignment="1">
      <alignment horizontal="justify" wrapText="1"/>
    </xf>
    <xf numFmtId="0" fontId="84" fillId="0" borderId="0" xfId="2" applyFont="1" applyBorder="1" applyAlignment="1">
      <alignment horizontal="center" vertical="center"/>
    </xf>
    <xf numFmtId="0" fontId="37" fillId="0" borderId="0" xfId="0" quotePrefix="1" applyFont="1" applyBorder="1" applyAlignment="1">
      <alignment horizontal="justify" vertical="center" wrapText="1"/>
    </xf>
    <xf numFmtId="0" fontId="37" fillId="0" borderId="0" xfId="2" quotePrefix="1" applyNumberFormat="1" applyFont="1" applyAlignment="1">
      <alignment horizontal="justify" vertical="center" wrapText="1"/>
    </xf>
    <xf numFmtId="0" fontId="37" fillId="0" borderId="0" xfId="2" quotePrefix="1" applyNumberFormat="1" applyFont="1" applyAlignment="1">
      <alignment horizontal="left" vertical="center"/>
    </xf>
    <xf numFmtId="0" fontId="115" fillId="0" borderId="0" xfId="2" quotePrefix="1" applyFont="1" applyAlignment="1">
      <alignment horizontal="justify" vertical="center" wrapText="1"/>
    </xf>
    <xf numFmtId="0" fontId="115" fillId="0" borderId="0" xfId="2" quotePrefix="1" applyFont="1" applyAlignment="1">
      <alignment horizontal="left" vertical="center" wrapText="1"/>
    </xf>
    <xf numFmtId="0" fontId="116" fillId="0" borderId="0" xfId="2" applyNumberFormat="1" applyFont="1" applyAlignment="1">
      <alignment horizontal="justify" vertical="center" wrapText="1"/>
    </xf>
    <xf numFmtId="0" fontId="83" fillId="0" borderId="0" xfId="0" applyFont="1" applyBorder="1" applyAlignment="1">
      <alignment horizontal="right" vertical="center"/>
    </xf>
    <xf numFmtId="0" fontId="185" fillId="12" borderId="0" xfId="9" applyFont="1" applyFill="1" applyAlignment="1">
      <alignment horizontal="center"/>
    </xf>
    <xf numFmtId="0" fontId="112" fillId="12" borderId="0" xfId="9" applyFont="1" applyFill="1" applyAlignment="1">
      <alignment horizontal="center"/>
    </xf>
    <xf numFmtId="0" fontId="41" fillId="0" borderId="0" xfId="0" applyFont="1" applyAlignment="1">
      <alignment horizontal="center" vertical="center"/>
    </xf>
    <xf numFmtId="0" fontId="82" fillId="0" borderId="0" xfId="0" applyFont="1" applyAlignment="1">
      <alignment horizontal="center" vertical="center"/>
    </xf>
    <xf numFmtId="0" fontId="106" fillId="0" borderId="0" xfId="0" applyFont="1" applyAlignment="1">
      <alignment horizontal="center" vertical="center" wrapText="1"/>
    </xf>
    <xf numFmtId="180" fontId="104" fillId="0" borderId="0" xfId="0" applyNumberFormat="1" applyFont="1" applyAlignment="1">
      <alignment horizontal="right"/>
    </xf>
    <xf numFmtId="0" fontId="33" fillId="0" borderId="88" xfId="0" applyFont="1" applyBorder="1" applyAlignment="1">
      <alignment horizontal="center" vertical="center"/>
    </xf>
    <xf numFmtId="0" fontId="33" fillId="0" borderId="89" xfId="0" applyFont="1" applyBorder="1" applyAlignment="1">
      <alignment horizontal="center" vertical="center"/>
    </xf>
    <xf numFmtId="0" fontId="33" fillId="0" borderId="86" xfId="0" applyFont="1" applyBorder="1" applyAlignment="1">
      <alignment horizontal="center" vertical="center"/>
    </xf>
    <xf numFmtId="0" fontId="33" fillId="0" borderId="87" xfId="0" applyFont="1" applyBorder="1" applyAlignment="1">
      <alignment horizontal="center" vertical="center"/>
    </xf>
    <xf numFmtId="0" fontId="85" fillId="0" borderId="83" xfId="0" applyFont="1" applyBorder="1" applyAlignment="1">
      <alignment horizontal="center" vertical="center"/>
    </xf>
    <xf numFmtId="0" fontId="85" fillId="0" borderId="79" xfId="0" applyFont="1" applyBorder="1" applyAlignment="1">
      <alignment horizontal="center" vertical="center"/>
    </xf>
    <xf numFmtId="0" fontId="85" fillId="0" borderId="80" xfId="0" applyFont="1" applyBorder="1" applyAlignment="1">
      <alignment horizontal="center" vertical="center"/>
    </xf>
    <xf numFmtId="0" fontId="85" fillId="0" borderId="69" xfId="0" applyFont="1" applyBorder="1" applyAlignment="1">
      <alignment horizontal="center" vertical="center"/>
    </xf>
    <xf numFmtId="0" fontId="85" fillId="0" borderId="81" xfId="0" applyFont="1" applyBorder="1" applyAlignment="1">
      <alignment horizontal="center" vertical="center"/>
    </xf>
    <xf numFmtId="0" fontId="85" fillId="0" borderId="71" xfId="0" applyFont="1" applyBorder="1" applyAlignment="1">
      <alignment horizontal="center" vertical="center" wrapText="1"/>
    </xf>
    <xf numFmtId="0" fontId="85" fillId="0" borderId="82" xfId="0" applyFont="1" applyBorder="1" applyAlignment="1">
      <alignment horizontal="center" vertical="center" wrapText="1"/>
    </xf>
    <xf numFmtId="0" fontId="33" fillId="0" borderId="86" xfId="0" applyNumberFormat="1" applyFont="1" applyBorder="1" applyAlignment="1">
      <alignment horizontal="left" vertical="center"/>
    </xf>
    <xf numFmtId="0" fontId="33" fillId="0" borderId="87" xfId="0" applyNumberFormat="1" applyFont="1" applyBorder="1" applyAlignment="1">
      <alignment horizontal="left" vertical="center"/>
    </xf>
    <xf numFmtId="0" fontId="33" fillId="0" borderId="88" xfId="0" applyNumberFormat="1" applyFont="1" applyBorder="1" applyAlignment="1">
      <alignment horizontal="left" vertical="center"/>
    </xf>
    <xf numFmtId="0" fontId="33" fillId="0" borderId="89" xfId="0" applyNumberFormat="1" applyFont="1" applyBorder="1" applyAlignment="1">
      <alignment horizontal="left" vertical="center"/>
    </xf>
    <xf numFmtId="0" fontId="33" fillId="0" borderId="90" xfId="0" applyFont="1" applyBorder="1" applyAlignment="1">
      <alignment horizontal="center" vertical="center"/>
    </xf>
    <xf numFmtId="0" fontId="33" fillId="0" borderId="91" xfId="0" applyFont="1" applyBorder="1" applyAlignment="1">
      <alignment horizontal="center" vertical="center"/>
    </xf>
    <xf numFmtId="0" fontId="33" fillId="0" borderId="90" xfId="0" applyNumberFormat="1" applyFont="1" applyBorder="1" applyAlignment="1">
      <alignment horizontal="left" vertical="center"/>
    </xf>
    <xf numFmtId="0" fontId="33" fillId="0" borderId="91" xfId="0" applyNumberFormat="1" applyFont="1" applyBorder="1" applyAlignment="1">
      <alignment horizontal="left" vertical="center"/>
    </xf>
    <xf numFmtId="0" fontId="33" fillId="0" borderId="0" xfId="0" applyFont="1" applyAlignment="1">
      <alignment horizontal="left" vertical="center"/>
    </xf>
    <xf numFmtId="0" fontId="104" fillId="0" borderId="0" xfId="0" applyFont="1" applyBorder="1" applyAlignment="1">
      <alignment horizontal="center" vertical="top"/>
    </xf>
    <xf numFmtId="0" fontId="33" fillId="0" borderId="0" xfId="6" applyFont="1" applyAlignment="1">
      <alignment horizontal="left" vertical="center"/>
    </xf>
    <xf numFmtId="0" fontId="33" fillId="0" borderId="0" xfId="6" quotePrefix="1" applyFont="1" applyAlignment="1">
      <alignment horizontal="center" vertical="top" wrapText="1"/>
    </xf>
    <xf numFmtId="0" fontId="191" fillId="0" borderId="0" xfId="6" applyFont="1" applyAlignment="1">
      <alignment horizontal="center" vertical="top" wrapText="1"/>
    </xf>
    <xf numFmtId="0" fontId="103" fillId="0" borderId="0" xfId="6" applyFont="1" applyAlignment="1">
      <alignment horizontal="center" vertical="top" wrapText="1"/>
    </xf>
    <xf numFmtId="0" fontId="85" fillId="0" borderId="0" xfId="6" applyFont="1" applyAlignment="1">
      <alignment horizontal="justify" vertical="top" wrapText="1"/>
    </xf>
    <xf numFmtId="0" fontId="33" fillId="0" borderId="0" xfId="6" applyFont="1" applyAlignment="1">
      <alignment horizontal="justify" vertical="top" wrapText="1"/>
    </xf>
    <xf numFmtId="0" fontId="85" fillId="0" borderId="0" xfId="6" applyFont="1" applyAlignment="1">
      <alignment horizontal="left" vertical="top"/>
    </xf>
    <xf numFmtId="0" fontId="185" fillId="12" borderId="0" xfId="0" applyFont="1" applyFill="1" applyAlignment="1">
      <alignment horizontal="center"/>
    </xf>
    <xf numFmtId="0" fontId="112" fillId="12" borderId="0" xfId="0" applyFont="1" applyFill="1" applyAlignment="1">
      <alignment horizontal="center" wrapText="1"/>
    </xf>
    <xf numFmtId="0" fontId="82" fillId="0" borderId="0" xfId="6" quotePrefix="1" applyFont="1" applyAlignment="1">
      <alignment horizontal="left"/>
    </xf>
    <xf numFmtId="0" fontId="82" fillId="0" borderId="0" xfId="6" applyFont="1" applyAlignment="1">
      <alignment horizontal="left"/>
    </xf>
    <xf numFmtId="0" fontId="83" fillId="0" borderId="0" xfId="6" applyFont="1" applyAlignment="1">
      <alignment horizontal="justify" wrapText="1"/>
    </xf>
    <xf numFmtId="0" fontId="82" fillId="0" borderId="0" xfId="6" quotePrefix="1" applyFont="1" applyAlignment="1">
      <alignment horizontal="left" wrapText="1"/>
    </xf>
    <xf numFmtId="0" fontId="82" fillId="0" borderId="0" xfId="6" applyFont="1" applyAlignment="1">
      <alignment horizontal="left" wrapText="1"/>
    </xf>
    <xf numFmtId="0" fontId="85" fillId="0" borderId="0" xfId="6" applyFont="1" applyAlignment="1">
      <alignment horizontal="justify" vertical="center" wrapText="1"/>
    </xf>
    <xf numFmtId="0" fontId="85" fillId="0" borderId="0" xfId="6" applyFont="1" applyAlignment="1">
      <alignment horizontal="center" vertical="top" wrapText="1"/>
    </xf>
    <xf numFmtId="0" fontId="33" fillId="0" borderId="0" xfId="6" applyFont="1" applyAlignment="1">
      <alignment horizontal="center" vertical="top" wrapText="1"/>
    </xf>
    <xf numFmtId="0" fontId="33" fillId="0" borderId="0" xfId="6" applyFont="1" applyAlignment="1">
      <alignment horizontal="justify" vertical="center" wrapText="1"/>
    </xf>
    <xf numFmtId="0" fontId="82" fillId="0" borderId="0" xfId="6" applyFont="1" applyAlignment="1">
      <alignment horizontal="center" vertical="center"/>
    </xf>
    <xf numFmtId="0" fontId="85" fillId="0" borderId="0" xfId="6" applyFont="1" applyAlignment="1">
      <alignment horizontal="center" vertical="center"/>
    </xf>
    <xf numFmtId="0" fontId="85" fillId="0" borderId="0" xfId="6" applyFont="1" applyBorder="1" applyAlignment="1">
      <alignment horizontal="left" vertical="center" wrapText="1"/>
    </xf>
    <xf numFmtId="0" fontId="82" fillId="0" borderId="0" xfId="6" applyFont="1" applyAlignment="1">
      <alignment horizontal="center"/>
    </xf>
    <xf numFmtId="0" fontId="34" fillId="0" borderId="0" xfId="6" applyFont="1" applyAlignment="1">
      <alignment horizontal="left" vertical="center"/>
    </xf>
    <xf numFmtId="0" fontId="95" fillId="0" borderId="0" xfId="2" applyFont="1" applyAlignment="1">
      <alignment horizontal="left" vertical="top" wrapText="1"/>
    </xf>
    <xf numFmtId="0" fontId="58" fillId="0" borderId="0" xfId="2" applyFont="1" applyAlignment="1">
      <alignment horizontal="left" vertical="top" wrapText="1"/>
    </xf>
    <xf numFmtId="0" fontId="95" fillId="0" borderId="0" xfId="2" applyFont="1" applyAlignment="1">
      <alignment horizontal="center" vertical="top"/>
    </xf>
    <xf numFmtId="0" fontId="95" fillId="0" borderId="0" xfId="2" applyFont="1" applyAlignment="1">
      <alignment horizontal="center" vertical="center"/>
    </xf>
    <xf numFmtId="0" fontId="82" fillId="0" borderId="0" xfId="2" applyFont="1" applyAlignment="1">
      <alignment horizontal="center" vertical="center"/>
    </xf>
    <xf numFmtId="0" fontId="95" fillId="0" borderId="0" xfId="2" applyFont="1" applyAlignment="1">
      <alignment horizontal="center" vertical="top" wrapText="1"/>
    </xf>
    <xf numFmtId="0" fontId="58" fillId="0" borderId="0" xfId="2" applyFont="1" applyAlignment="1">
      <alignment horizontal="left" vertical="center" wrapText="1"/>
    </xf>
    <xf numFmtId="0" fontId="58" fillId="0" borderId="0" xfId="2" quotePrefix="1" applyFont="1" applyAlignment="1">
      <alignment horizontal="left" vertical="center"/>
    </xf>
    <xf numFmtId="0" fontId="58" fillId="0" borderId="0" xfId="2" applyFont="1" applyAlignment="1">
      <alignment horizontal="left" vertical="center"/>
    </xf>
    <xf numFmtId="0" fontId="95" fillId="0" borderId="0" xfId="2" applyFont="1" applyAlignment="1">
      <alignment horizontal="justify" vertical="top" wrapText="1"/>
    </xf>
    <xf numFmtId="0" fontId="58" fillId="0" borderId="0" xfId="2" quotePrefix="1" applyFont="1" applyAlignment="1">
      <alignment horizontal="justify" vertical="top"/>
    </xf>
    <xf numFmtId="0" fontId="58" fillId="0" borderId="0" xfId="2" applyFont="1" applyAlignment="1">
      <alignment horizontal="justify" vertical="top"/>
    </xf>
    <xf numFmtId="0" fontId="95" fillId="0" borderId="0" xfId="2" applyFont="1" applyAlignment="1">
      <alignment horizontal="left"/>
    </xf>
    <xf numFmtId="0" fontId="95" fillId="0" borderId="0" xfId="2" applyFont="1" applyAlignment="1">
      <alignment horizontal="left" vertical="center" wrapText="1"/>
    </xf>
    <xf numFmtId="0" fontId="58" fillId="0" borderId="0" xfId="2" applyFont="1" applyAlignment="1">
      <alignment horizontal="justify" vertical="top" wrapText="1"/>
    </xf>
    <xf numFmtId="0" fontId="95" fillId="0" borderId="0" xfId="2" quotePrefix="1" applyFont="1" applyAlignment="1">
      <alignment horizontal="left" vertical="top" wrapText="1"/>
    </xf>
    <xf numFmtId="0" fontId="96" fillId="0" borderId="0" xfId="2" quotePrefix="1" applyFont="1" applyAlignment="1">
      <alignment horizontal="justify" vertical="top" wrapText="1"/>
    </xf>
    <xf numFmtId="0" fontId="96" fillId="0" borderId="0" xfId="2" quotePrefix="1" applyFont="1" applyAlignment="1">
      <alignment horizontal="justify" wrapText="1"/>
    </xf>
    <xf numFmtId="0" fontId="96" fillId="0" borderId="0" xfId="2" applyFont="1" applyAlignment="1">
      <alignment horizontal="justify" wrapText="1"/>
    </xf>
    <xf numFmtId="0" fontId="95" fillId="0" borderId="0" xfId="2" quotePrefix="1" applyFont="1" applyAlignment="1">
      <alignment horizontal="left" wrapText="1"/>
    </xf>
    <xf numFmtId="0" fontId="95" fillId="0" borderId="0" xfId="2" applyFont="1" applyAlignment="1">
      <alignment horizontal="justify" vertical="center" wrapText="1"/>
    </xf>
    <xf numFmtId="0" fontId="112" fillId="12" borderId="0" xfId="0" applyFont="1" applyFill="1" applyAlignment="1">
      <alignment horizontal="center"/>
    </xf>
    <xf numFmtId="0" fontId="58" fillId="0" borderId="0" xfId="2" applyFont="1" applyAlignment="1">
      <alignment horizontal="center" vertical="top" wrapText="1"/>
    </xf>
    <xf numFmtId="0" fontId="58" fillId="0" borderId="0" xfId="2" quotePrefix="1" applyFont="1" applyAlignment="1">
      <alignment horizontal="center" vertical="top" wrapText="1"/>
    </xf>
    <xf numFmtId="0" fontId="91" fillId="0" borderId="0" xfId="2" applyFont="1" applyAlignment="1">
      <alignment horizontal="center" vertical="top" wrapText="1"/>
    </xf>
    <xf numFmtId="0" fontId="242" fillId="0" borderId="0" xfId="2" applyFont="1" applyAlignment="1">
      <alignment horizontal="center" vertical="top" wrapText="1"/>
    </xf>
    <xf numFmtId="0" fontId="243" fillId="0" borderId="0" xfId="2" applyFont="1" applyAlignment="1">
      <alignment horizontal="left" vertical="top" wrapText="1"/>
    </xf>
    <xf numFmtId="0" fontId="58" fillId="0" borderId="0" xfId="2" applyFont="1" applyAlignment="1">
      <alignment horizontal="justify" vertical="center" wrapText="1"/>
    </xf>
    <xf numFmtId="0" fontId="245" fillId="12" borderId="0" xfId="0" applyFont="1" applyFill="1" applyAlignment="1">
      <alignment horizontal="center"/>
    </xf>
    <xf numFmtId="0" fontId="248" fillId="0" borderId="0" xfId="2" applyFont="1" applyAlignment="1">
      <alignment horizontal="center" vertical="top" wrapText="1"/>
    </xf>
    <xf numFmtId="0" fontId="34" fillId="0" borderId="0" xfId="2" applyFont="1" applyAlignment="1">
      <alignment horizontal="left" vertical="top" wrapText="1"/>
    </xf>
    <xf numFmtId="0" fontId="65" fillId="6" borderId="0" xfId="9" applyFont="1" applyFill="1" applyAlignment="1">
      <alignment horizontal="center"/>
    </xf>
    <xf numFmtId="0" fontId="25" fillId="0" borderId="0" xfId="0" applyFont="1" applyAlignment="1">
      <alignment horizontal="center"/>
    </xf>
    <xf numFmtId="0" fontId="20" fillId="0" borderId="0" xfId="0" applyFont="1" applyAlignment="1">
      <alignment horizontal="center"/>
    </xf>
    <xf numFmtId="0" fontId="25" fillId="0" borderId="0" xfId="0" applyFont="1" applyAlignment="1">
      <alignment horizontal="justify" vertical="top" wrapText="1"/>
    </xf>
    <xf numFmtId="0" fontId="66" fillId="0" borderId="0" xfId="0" applyFont="1" applyAlignment="1">
      <alignment horizontal="center"/>
    </xf>
    <xf numFmtId="0" fontId="67" fillId="0" borderId="0" xfId="0" applyFont="1" applyAlignment="1">
      <alignment horizontal="center"/>
    </xf>
    <xf numFmtId="0" fontId="69" fillId="0" borderId="0" xfId="0" applyFont="1" applyAlignment="1">
      <alignment horizontal="center"/>
    </xf>
    <xf numFmtId="0" fontId="67" fillId="0" borderId="0" xfId="0" applyFont="1" applyAlignment="1">
      <alignment horizontal="left" vertical="top"/>
    </xf>
    <xf numFmtId="0" fontId="203" fillId="0" borderId="0" xfId="0" applyFont="1" applyAlignment="1">
      <alignment horizontal="justify" vertical="top" wrapText="1"/>
    </xf>
    <xf numFmtId="0" fontId="23" fillId="0" borderId="0" xfId="0" applyFont="1" applyAlignment="1">
      <alignment horizontal="center"/>
    </xf>
    <xf numFmtId="0" fontId="95" fillId="0" borderId="0" xfId="0" applyFont="1" applyAlignment="1">
      <alignment horizontal="justify" vertical="top" wrapText="1"/>
    </xf>
    <xf numFmtId="0" fontId="58" fillId="0" borderId="0" xfId="0" applyFont="1" applyAlignment="1">
      <alignment horizontal="justify" vertical="top" wrapText="1"/>
    </xf>
    <xf numFmtId="0" fontId="205" fillId="0" borderId="0" xfId="0" applyFont="1" applyAlignment="1">
      <alignment horizontal="justify" vertical="top" wrapText="1"/>
    </xf>
    <xf numFmtId="0" fontId="112" fillId="6" borderId="0" xfId="9" applyFont="1" applyFill="1" applyAlignment="1">
      <alignment horizontal="center"/>
    </xf>
    <xf numFmtId="0" fontId="95" fillId="0" borderId="0" xfId="0" applyFont="1" applyAlignment="1">
      <alignment horizontal="center"/>
    </xf>
    <xf numFmtId="0" fontId="205" fillId="0" borderId="0" xfId="0" applyFont="1" applyAlignment="1">
      <alignment horizontal="center"/>
    </xf>
    <xf numFmtId="0" fontId="139" fillId="0" borderId="0" xfId="0" applyFont="1" applyAlignment="1">
      <alignment horizontal="center"/>
    </xf>
    <xf numFmtId="0" fontId="207" fillId="0" borderId="0" xfId="0" applyFont="1" applyAlignment="1">
      <alignment horizontal="center"/>
    </xf>
    <xf numFmtId="0" fontId="91" fillId="0" borderId="0" xfId="0" applyFont="1" applyAlignment="1">
      <alignment horizontal="center"/>
    </xf>
    <xf numFmtId="0" fontId="131" fillId="0" borderId="0" xfId="0" applyFont="1" applyAlignment="1">
      <alignment horizontal="center"/>
    </xf>
    <xf numFmtId="0" fontId="129" fillId="0" borderId="0" xfId="0" applyFont="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top"/>
    </xf>
    <xf numFmtId="0" fontId="205" fillId="0" borderId="0" xfId="0" applyFont="1" applyAlignment="1">
      <alignment horizontal="justify" vertical="center" wrapText="1"/>
    </xf>
    <xf numFmtId="0" fontId="129" fillId="0" borderId="0" xfId="0" applyFont="1" applyAlignment="1">
      <alignment horizontal="center" vertical="center" wrapText="1"/>
    </xf>
    <xf numFmtId="0" fontId="95" fillId="0" borderId="130" xfId="0" applyFont="1" applyBorder="1" applyAlignment="1">
      <alignment horizontal="center" vertical="center" wrapText="1"/>
    </xf>
    <xf numFmtId="0" fontId="165" fillId="0" borderId="131" xfId="0" applyFont="1" applyBorder="1" applyAlignment="1">
      <alignment horizontal="center" vertical="center" wrapText="1"/>
    </xf>
    <xf numFmtId="0" fontId="205" fillId="0" borderId="0" xfId="0" applyFont="1" applyAlignment="1">
      <alignment horizontal="center" vertical="top" wrapText="1"/>
    </xf>
    <xf numFmtId="0" fontId="165" fillId="0" borderId="84" xfId="0" applyFont="1" applyBorder="1" applyAlignment="1">
      <alignment horizontal="left" vertical="center" wrapText="1"/>
    </xf>
    <xf numFmtId="0" fontId="165" fillId="0" borderId="85" xfId="0" applyFont="1" applyBorder="1" applyAlignment="1">
      <alignment horizontal="left" vertical="center" wrapText="1"/>
    </xf>
    <xf numFmtId="0" fontId="226" fillId="0" borderId="131" xfId="0" applyFont="1" applyBorder="1" applyAlignment="1">
      <alignment horizontal="justify" vertical="center" wrapText="1"/>
    </xf>
    <xf numFmtId="0" fontId="151" fillId="0" borderId="84" xfId="0" applyFont="1" applyBorder="1" applyAlignment="1">
      <alignment horizontal="center" vertical="center" wrapText="1"/>
    </xf>
    <xf numFmtId="0" fontId="151" fillId="0" borderId="85" xfId="0" applyFont="1" applyBorder="1" applyAlignment="1">
      <alignment horizontal="center" vertical="center" wrapText="1"/>
    </xf>
    <xf numFmtId="0" fontId="151" fillId="0" borderId="131" xfId="0" applyFont="1" applyBorder="1" applyAlignment="1">
      <alignment horizontal="center" vertical="center" wrapText="1"/>
    </xf>
    <xf numFmtId="0" fontId="226" fillId="0" borderId="131" xfId="0" applyFont="1" applyBorder="1" applyAlignment="1">
      <alignment vertical="center" wrapText="1"/>
    </xf>
    <xf numFmtId="0" fontId="151" fillId="0" borderId="85" xfId="0" applyFont="1" applyBorder="1" applyAlignment="1">
      <alignment horizontal="left" vertical="center" wrapText="1"/>
    </xf>
    <xf numFmtId="0" fontId="58" fillId="0" borderId="85" xfId="0" applyFont="1" applyBorder="1" applyAlignment="1">
      <alignment horizontal="left" vertical="center" wrapText="1"/>
    </xf>
    <xf numFmtId="0" fontId="206" fillId="0" borderId="0" xfId="0" applyFont="1" applyAlignment="1">
      <alignment horizontal="center" vertical="center"/>
    </xf>
    <xf numFmtId="0" fontId="205" fillId="0" borderId="131" xfId="0" applyFont="1" applyBorder="1" applyAlignment="1">
      <alignment horizontal="center" vertical="center" wrapText="1"/>
    </xf>
    <xf numFmtId="0" fontId="205" fillId="0" borderId="84" xfId="0" applyFont="1" applyBorder="1" applyAlignment="1">
      <alignment horizontal="center" vertical="center" wrapText="1"/>
    </xf>
    <xf numFmtId="0" fontId="205" fillId="0" borderId="85" xfId="0" applyFont="1" applyBorder="1" applyAlignment="1">
      <alignment horizontal="center" vertical="center" wrapText="1"/>
    </xf>
    <xf numFmtId="0" fontId="72" fillId="6" borderId="0" xfId="9" applyFont="1" applyFill="1" applyAlignment="1">
      <alignment horizontal="center"/>
    </xf>
    <xf numFmtId="0" fontId="58" fillId="0" borderId="0" xfId="0" applyFont="1" applyAlignment="1">
      <alignment horizontal="justify" vertical="center" wrapText="1"/>
    </xf>
    <xf numFmtId="0" fontId="95" fillId="0" borderId="0" xfId="0" applyFont="1" applyAlignment="1">
      <alignment horizontal="center" vertical="top" wrapText="1"/>
    </xf>
    <xf numFmtId="0" fontId="91" fillId="0" borderId="0" xfId="0" applyFont="1" applyAlignment="1">
      <alignment horizontal="center" vertical="center" wrapText="1"/>
    </xf>
    <xf numFmtId="0" fontId="131" fillId="0" borderId="0" xfId="0" applyFont="1" applyAlignment="1">
      <alignment horizontal="left" wrapText="1"/>
    </xf>
    <xf numFmtId="0" fontId="131" fillId="0" borderId="0" xfId="0" applyFont="1" applyAlignment="1">
      <alignment horizontal="justify" wrapText="1"/>
    </xf>
    <xf numFmtId="0" fontId="58" fillId="0" borderId="0" xfId="0" quotePrefix="1" applyFont="1" applyAlignment="1">
      <alignment horizontal="justify" vertical="top" wrapText="1"/>
    </xf>
    <xf numFmtId="0" fontId="58" fillId="0" borderId="0" xfId="0" quotePrefix="1" applyFont="1" applyAlignment="1">
      <alignment horizontal="justify" vertical="center" wrapText="1"/>
    </xf>
    <xf numFmtId="0" fontId="71" fillId="6" borderId="0" xfId="9" applyFont="1" applyFill="1" applyAlignment="1">
      <alignment horizontal="center"/>
    </xf>
    <xf numFmtId="0" fontId="58" fillId="0" borderId="0" xfId="0" applyFont="1" applyBorder="1" applyAlignment="1">
      <alignment horizontal="justify" vertical="center" wrapText="1"/>
    </xf>
    <xf numFmtId="0" fontId="58" fillId="0" borderId="0" xfId="0" applyFont="1" applyBorder="1" applyAlignment="1">
      <alignment horizontal="left" vertical="center" wrapText="1"/>
    </xf>
    <xf numFmtId="0" fontId="58" fillId="0" borderId="0" xfId="0" applyFont="1" applyAlignment="1">
      <alignment horizontal="center"/>
    </xf>
    <xf numFmtId="0" fontId="58" fillId="0" borderId="0" xfId="0" applyFont="1" applyAlignment="1">
      <alignment horizontal="center" vertical="top" wrapText="1"/>
    </xf>
    <xf numFmtId="0" fontId="58" fillId="0" borderId="3" xfId="0" applyFont="1" applyBorder="1" applyAlignment="1">
      <alignment horizontal="left" vertical="center" wrapText="1"/>
    </xf>
    <xf numFmtId="0" fontId="58" fillId="0" borderId="4" xfId="0" applyFont="1" applyBorder="1" applyAlignment="1">
      <alignment horizontal="left" vertical="center" wrapText="1"/>
    </xf>
    <xf numFmtId="0" fontId="58" fillId="0" borderId="1" xfId="0" applyFont="1" applyBorder="1" applyAlignment="1">
      <alignment horizontal="center" vertical="center" wrapText="1"/>
    </xf>
    <xf numFmtId="0" fontId="58" fillId="0" borderId="5" xfId="0" applyFont="1" applyBorder="1" applyAlignment="1">
      <alignment horizontal="left" vertical="center" wrapText="1"/>
    </xf>
    <xf numFmtId="0" fontId="34" fillId="0" borderId="0" xfId="0" applyFont="1" applyAlignment="1" applyProtection="1">
      <alignment horizontal="justify" wrapText="1"/>
      <protection locked="0"/>
    </xf>
    <xf numFmtId="0" fontId="129" fillId="0" borderId="0" xfId="0" applyFont="1" applyAlignment="1">
      <alignment horizontal="center" wrapText="1"/>
    </xf>
    <xf numFmtId="0" fontId="129" fillId="0" borderId="0" xfId="0" applyFont="1" applyAlignment="1">
      <alignment horizontal="center"/>
    </xf>
    <xf numFmtId="0" fontId="71" fillId="6" borderId="0" xfId="9" applyFont="1" applyFill="1" applyAlignment="1">
      <alignment horizontal="center" vertical="center"/>
    </xf>
    <xf numFmtId="0" fontId="95" fillId="0" borderId="0" xfId="0" applyFont="1" applyAlignment="1">
      <alignment horizontal="center" vertical="center" wrapText="1"/>
    </xf>
    <xf numFmtId="0" fontId="133" fillId="0" borderId="0" xfId="0" applyFont="1" applyAlignment="1">
      <alignment horizontal="right" vertical="center" wrapText="1"/>
    </xf>
    <xf numFmtId="0" fontId="151" fillId="0" borderId="0" xfId="0" applyFont="1" applyAlignment="1">
      <alignment horizontal="justify" vertical="center" wrapText="1"/>
    </xf>
    <xf numFmtId="0" fontId="58" fillId="0" borderId="0" xfId="0" quotePrefix="1" applyFont="1" applyAlignment="1">
      <alignment horizontal="center" vertical="center" wrapText="1"/>
    </xf>
    <xf numFmtId="0" fontId="58" fillId="0" borderId="0" xfId="0" applyFont="1" applyAlignment="1">
      <alignment horizontal="center" vertical="center" wrapText="1"/>
    </xf>
    <xf numFmtId="0" fontId="205" fillId="0" borderId="0" xfId="0" applyFont="1" applyAlignment="1">
      <alignment horizontal="left" vertical="center" wrapText="1"/>
    </xf>
    <xf numFmtId="0" fontId="151" fillId="0" borderId="0" xfId="0" applyFont="1" applyAlignment="1">
      <alignment horizontal="left" vertical="center" wrapText="1"/>
    </xf>
    <xf numFmtId="0" fontId="205" fillId="0" borderId="0" xfId="0" applyFont="1" applyAlignment="1">
      <alignment horizontal="left" vertical="center"/>
    </xf>
    <xf numFmtId="0" fontId="212" fillId="0" borderId="0" xfId="0" applyFont="1" applyAlignment="1">
      <alignment horizontal="justify" vertical="center" wrapText="1"/>
    </xf>
    <xf numFmtId="0" fontId="151" fillId="0" borderId="0" xfId="0" applyFont="1" applyAlignment="1">
      <alignment horizontal="left" vertical="center" wrapText="1" indent="2"/>
    </xf>
    <xf numFmtId="0" fontId="1" fillId="0" borderId="0" xfId="0" applyFont="1" applyAlignment="1">
      <alignment horizontal="left" vertical="center" wrapText="1" indent="1"/>
    </xf>
    <xf numFmtId="0" fontId="1" fillId="0" borderId="0" xfId="0" applyFont="1" applyAlignment="1">
      <alignment horizontal="justify" vertical="center" wrapText="1"/>
    </xf>
    <xf numFmtId="0" fontId="151" fillId="0" borderId="0" xfId="0" quotePrefix="1" applyFont="1" applyAlignment="1">
      <alignment horizontal="justify" vertical="center" wrapText="1"/>
    </xf>
    <xf numFmtId="0" fontId="205" fillId="0" borderId="0" xfId="0" applyFont="1" applyAlignment="1">
      <alignment horizontal="center" vertical="center" wrapText="1"/>
    </xf>
    <xf numFmtId="0" fontId="151" fillId="0" borderId="0" xfId="0" applyFont="1" applyAlignment="1">
      <alignment horizontal="left" vertical="center" indent="1"/>
    </xf>
    <xf numFmtId="0" fontId="133" fillId="0" borderId="0" xfId="0" applyFont="1" applyAlignment="1">
      <alignment horizontal="center" vertical="center"/>
    </xf>
    <xf numFmtId="0" fontId="151" fillId="0" borderId="130" xfId="0" applyFont="1" applyBorder="1" applyAlignment="1">
      <alignment horizontal="justify" vertical="top" wrapText="1"/>
    </xf>
    <xf numFmtId="0" fontId="151" fillId="0" borderId="124" xfId="0" applyFont="1" applyBorder="1" applyAlignment="1">
      <alignment horizontal="justify" vertical="top" wrapText="1"/>
    </xf>
    <xf numFmtId="0" fontId="151" fillId="0" borderId="125" xfId="0" applyFont="1" applyBorder="1" applyAlignment="1">
      <alignment horizontal="justify" vertical="top" wrapText="1"/>
    </xf>
    <xf numFmtId="0" fontId="151" fillId="0" borderId="126" xfId="0" applyFont="1" applyBorder="1" applyAlignment="1">
      <alignment horizontal="justify" vertical="top" wrapText="1"/>
    </xf>
    <xf numFmtId="0" fontId="58" fillId="0" borderId="0" xfId="0" quotePrefix="1" applyFont="1" applyAlignment="1">
      <alignment vertical="center"/>
    </xf>
    <xf numFmtId="0" fontId="58" fillId="0" borderId="0" xfId="0" applyFont="1" applyAlignment="1">
      <alignment vertical="center"/>
    </xf>
    <xf numFmtId="0" fontId="58" fillId="0" borderId="62" xfId="0" applyFont="1" applyBorder="1" applyAlignment="1">
      <alignment horizontal="left" vertical="center" wrapText="1"/>
    </xf>
    <xf numFmtId="0" fontId="58" fillId="0" borderId="62" xfId="0" applyFont="1" applyBorder="1" applyAlignment="1">
      <alignment horizontal="center" vertical="center" wrapText="1"/>
    </xf>
    <xf numFmtId="0" fontId="58" fillId="0" borderId="63" xfId="0" applyFont="1" applyBorder="1" applyAlignment="1">
      <alignment horizontal="center" vertical="center" wrapText="1"/>
    </xf>
    <xf numFmtId="0" fontId="131" fillId="0" borderId="0" xfId="0" applyFont="1" applyBorder="1" applyAlignment="1">
      <alignment horizontal="left" vertical="center"/>
    </xf>
    <xf numFmtId="0" fontId="95" fillId="0" borderId="0" xfId="0" applyFont="1" applyAlignment="1">
      <alignment horizontal="left" vertical="center"/>
    </xf>
    <xf numFmtId="0" fontId="58" fillId="0" borderId="64" xfId="0" quotePrefix="1" applyFont="1" applyBorder="1" applyAlignment="1">
      <alignment horizontal="left" vertical="center" wrapText="1"/>
    </xf>
    <xf numFmtId="0" fontId="58" fillId="0" borderId="0" xfId="0" quotePrefix="1" applyFont="1" applyBorder="1" applyAlignment="1">
      <alignment horizontal="left" vertical="center" wrapText="1"/>
    </xf>
    <xf numFmtId="0" fontId="58" fillId="0" borderId="64" xfId="0" applyFont="1" applyBorder="1" applyAlignment="1">
      <alignment horizontal="left" vertical="center"/>
    </xf>
    <xf numFmtId="0" fontId="58" fillId="0" borderId="60" xfId="0" applyFont="1" applyBorder="1" applyAlignment="1">
      <alignment horizontal="center" vertical="center" wrapText="1"/>
    </xf>
    <xf numFmtId="0" fontId="58" fillId="0" borderId="61" xfId="0" applyFont="1" applyBorder="1" applyAlignment="1">
      <alignment horizontal="left" vertical="center" wrapText="1"/>
    </xf>
    <xf numFmtId="0" fontId="58" fillId="0" borderId="61" xfId="0" applyFont="1" applyBorder="1" applyAlignment="1">
      <alignment horizontal="center" vertical="center" wrapText="1"/>
    </xf>
    <xf numFmtId="0" fontId="131" fillId="0" borderId="0" xfId="0" applyFont="1" applyAlignment="1">
      <alignment vertical="center"/>
    </xf>
    <xf numFmtId="0" fontId="136" fillId="0" borderId="0" xfId="2" applyNumberFormat="1" applyFont="1" applyAlignment="1">
      <alignment horizontal="left" wrapText="1"/>
    </xf>
    <xf numFmtId="0" fontId="136" fillId="0" borderId="0" xfId="2" applyNumberFormat="1" applyFont="1" applyAlignment="1">
      <alignment horizontal="justify" wrapText="1"/>
    </xf>
    <xf numFmtId="164" fontId="111" fillId="7" borderId="0" xfId="8" applyFont="1" applyFill="1" applyBorder="1" applyAlignment="1">
      <alignment horizontal="left"/>
    </xf>
    <xf numFmtId="0" fontId="34" fillId="0" borderId="0" xfId="0" quotePrefix="1" applyFont="1" applyAlignment="1">
      <alignment vertical="center"/>
    </xf>
    <xf numFmtId="0" fontId="34" fillId="0" borderId="0" xfId="0" applyFont="1" applyAlignment="1">
      <alignment vertical="center"/>
    </xf>
    <xf numFmtId="164" fontId="33" fillId="0" borderId="0" xfId="8" quotePrefix="1" applyNumberFormat="1" applyFont="1" applyBorder="1" applyAlignment="1">
      <alignment horizontal="justify" wrapText="1"/>
    </xf>
    <xf numFmtId="0" fontId="34" fillId="7" borderId="0" xfId="9" applyFont="1" applyFill="1" applyBorder="1" applyAlignment="1">
      <alignment horizontal="left"/>
    </xf>
    <xf numFmtId="0" fontId="82" fillId="0" borderId="0" xfId="0" applyFont="1" applyAlignment="1">
      <alignment horizontal="center" vertical="center" wrapText="1"/>
    </xf>
    <xf numFmtId="0" fontId="134" fillId="0" borderId="0" xfId="0" applyFont="1" applyAlignment="1">
      <alignment horizontal="center" vertical="center"/>
    </xf>
    <xf numFmtId="0" fontId="135" fillId="0" borderId="0" xfId="0" applyFont="1" applyAlignment="1">
      <alignment horizontal="center" vertical="center"/>
    </xf>
    <xf numFmtId="0" fontId="114" fillId="0" borderId="60" xfId="0" applyFont="1" applyBorder="1" applyAlignment="1">
      <alignment horizontal="center" vertical="center" wrapText="1"/>
    </xf>
    <xf numFmtId="0" fontId="102" fillId="0" borderId="62" xfId="0" applyFont="1" applyBorder="1" applyAlignment="1">
      <alignment horizontal="center" vertical="center" wrapText="1"/>
    </xf>
    <xf numFmtId="0" fontId="102" fillId="0" borderId="63" xfId="0" applyFont="1" applyBorder="1" applyAlignment="1">
      <alignment horizontal="center" vertical="center" wrapText="1"/>
    </xf>
    <xf numFmtId="0" fontId="102" fillId="0" borderId="62" xfId="0" applyFont="1" applyBorder="1" applyAlignment="1">
      <alignment horizontal="left" vertical="center" wrapText="1"/>
    </xf>
    <xf numFmtId="0" fontId="102" fillId="0" borderId="63" xfId="0" applyFont="1" applyBorder="1" applyAlignment="1">
      <alignment horizontal="left" vertical="center" wrapText="1"/>
    </xf>
    <xf numFmtId="0" fontId="102" fillId="0" borderId="65" xfId="0" applyFont="1" applyBorder="1" applyAlignment="1">
      <alignment horizontal="center" vertical="center" wrapText="1"/>
    </xf>
    <xf numFmtId="0" fontId="102" fillId="0" borderId="65" xfId="0" applyFont="1" applyBorder="1" applyAlignment="1">
      <alignment horizontal="left" vertical="center" wrapText="1"/>
    </xf>
    <xf numFmtId="0" fontId="96" fillId="0" borderId="0" xfId="0" quotePrefix="1" applyFont="1" applyAlignment="1">
      <alignment vertical="center"/>
    </xf>
    <xf numFmtId="0" fontId="96" fillId="0" borderId="0" xfId="0" applyFont="1" applyAlignment="1">
      <alignment vertical="center"/>
    </xf>
    <xf numFmtId="0" fontId="138" fillId="0" borderId="0" xfId="0" quotePrefix="1" applyFont="1" applyAlignment="1">
      <alignment horizontal="justify" vertical="center" wrapText="1"/>
    </xf>
    <xf numFmtId="0" fontId="138" fillId="0" borderId="0" xfId="0" applyFont="1" applyAlignment="1">
      <alignment horizontal="justify" vertical="center" wrapText="1"/>
    </xf>
    <xf numFmtId="164" fontId="33" fillId="0" borderId="0" xfId="8" quotePrefix="1" applyNumberFormat="1" applyFont="1" applyBorder="1" applyAlignment="1">
      <alignment horizontal="justify" vertical="center" wrapText="1"/>
    </xf>
    <xf numFmtId="0" fontId="58" fillId="0" borderId="138" xfId="0" applyFont="1" applyBorder="1" applyAlignment="1">
      <alignment horizontal="justify" vertical="center" wrapText="1"/>
    </xf>
    <xf numFmtId="0" fontId="95" fillId="0" borderId="138" xfId="0" applyFont="1" applyBorder="1" applyAlignment="1">
      <alignment horizontal="center" vertical="center" wrapText="1"/>
    </xf>
    <xf numFmtId="0" fontId="34" fillId="0" borderId="0" xfId="0" quotePrefix="1" applyFont="1" applyAlignment="1">
      <alignment horizontal="justify" vertical="center" wrapText="1"/>
    </xf>
    <xf numFmtId="0" fontId="58" fillId="0" borderId="0" xfId="0" quotePrefix="1" applyFont="1" applyAlignment="1">
      <alignment horizontal="left" vertical="center" wrapText="1"/>
    </xf>
    <xf numFmtId="0" fontId="222" fillId="0" borderId="0" xfId="0" applyFont="1" applyAlignment="1">
      <alignment horizontal="justify" vertical="center" wrapText="1"/>
    </xf>
    <xf numFmtId="0" fontId="102" fillId="0" borderId="0" xfId="0" applyFont="1" applyAlignment="1">
      <alignment horizontal="left" vertical="center"/>
    </xf>
    <xf numFmtId="0" fontId="96" fillId="0" borderId="140" xfId="0" applyFont="1" applyBorder="1" applyAlignment="1">
      <alignment horizontal="center" vertical="center"/>
    </xf>
    <xf numFmtId="0" fontId="136" fillId="0" borderId="0" xfId="0" applyFont="1" applyAlignment="1">
      <alignment horizontal="justify" vertical="center" wrapText="1"/>
    </xf>
    <xf numFmtId="0" fontId="114" fillId="0" borderId="0" xfId="0" applyFont="1" applyAlignment="1">
      <alignment horizontal="left" vertical="center"/>
    </xf>
    <xf numFmtId="0" fontId="58" fillId="0" borderId="0" xfId="0" applyFont="1" applyAlignment="1">
      <alignment horizontal="center" vertical="center"/>
    </xf>
    <xf numFmtId="0" fontId="114" fillId="0" borderId="0" xfId="0" applyFont="1" applyAlignment="1">
      <alignment horizontal="center" vertical="center"/>
    </xf>
    <xf numFmtId="0" fontId="96" fillId="0" borderId="139" xfId="0" applyFont="1" applyBorder="1" applyAlignment="1">
      <alignment horizontal="center" vertical="center"/>
    </xf>
    <xf numFmtId="0" fontId="96" fillId="0" borderId="0" xfId="0" applyFont="1" applyAlignment="1">
      <alignment horizontal="justify" vertical="center" wrapText="1"/>
    </xf>
    <xf numFmtId="0" fontId="114" fillId="0" borderId="0" xfId="0" applyFont="1" applyAlignment="1">
      <alignment horizontal="left" vertical="center" wrapText="1"/>
    </xf>
    <xf numFmtId="0" fontId="89" fillId="0" borderId="0" xfId="0" applyFont="1" applyAlignment="1">
      <alignment horizontal="justify" vertical="center" wrapText="1"/>
    </xf>
    <xf numFmtId="0" fontId="58" fillId="0" borderId="0" xfId="0" applyFont="1" applyAlignment="1">
      <alignment horizontal="justify" vertical="center"/>
    </xf>
    <xf numFmtId="0" fontId="96" fillId="0" borderId="0" xfId="0" applyFont="1" applyAlignment="1">
      <alignment horizontal="right"/>
    </xf>
    <xf numFmtId="0" fontId="221" fillId="0" borderId="0" xfId="0" applyFont="1" applyAlignment="1">
      <alignment horizontal="center" vertical="center" wrapText="1"/>
    </xf>
    <xf numFmtId="0" fontId="0" fillId="0" borderId="0" xfId="0" quotePrefix="1" applyAlignment="1">
      <alignment horizontal="center"/>
    </xf>
    <xf numFmtId="0" fontId="114" fillId="25" borderId="0" xfId="0" applyFont="1" applyFill="1" applyAlignment="1">
      <alignment horizontal="center" vertical="center" wrapText="1"/>
    </xf>
    <xf numFmtId="0" fontId="114" fillId="25" borderId="0" xfId="0" quotePrefix="1" applyFont="1" applyFill="1" applyAlignment="1">
      <alignment horizontal="center" vertical="center" wrapText="1"/>
    </xf>
    <xf numFmtId="0" fontId="222" fillId="25" borderId="0" xfId="0" applyFont="1" applyFill="1" applyAlignment="1">
      <alignment horizontal="right" vertical="center" wrapText="1"/>
    </xf>
    <xf numFmtId="0" fontId="114" fillId="25" borderId="0" xfId="0" applyFont="1" applyFill="1" applyBorder="1" applyAlignment="1">
      <alignment horizontal="center" vertical="center" wrapText="1"/>
    </xf>
    <xf numFmtId="0" fontId="102" fillId="25" borderId="0" xfId="0" applyFont="1" applyFill="1" applyAlignment="1">
      <alignment horizontal="left" vertical="center" wrapText="1"/>
    </xf>
    <xf numFmtId="0" fontId="185" fillId="12" borderId="0" xfId="0" applyFont="1" applyFill="1" applyAlignment="1">
      <alignment horizontal="center" vertical="center"/>
    </xf>
    <xf numFmtId="0" fontId="62" fillId="12" borderId="0" xfId="0" applyFont="1" applyFill="1" applyAlignment="1">
      <alignment horizontal="center" vertical="center"/>
    </xf>
    <xf numFmtId="0" fontId="114" fillId="25" borderId="0" xfId="0" applyFont="1" applyFill="1" applyAlignment="1">
      <alignment horizontal="left" vertical="center" wrapText="1"/>
    </xf>
    <xf numFmtId="0" fontId="102" fillId="25" borderId="0" xfId="0" applyFont="1" applyFill="1" applyAlignment="1">
      <alignment horizontal="center" vertical="center" wrapText="1"/>
    </xf>
    <xf numFmtId="0" fontId="89" fillId="0" borderId="0" xfId="0" applyFont="1" applyAlignment="1">
      <alignment horizontal="left" vertical="center" wrapText="1"/>
    </xf>
    <xf numFmtId="0" fontId="95" fillId="0" borderId="0" xfId="0" applyFont="1" applyAlignment="1">
      <alignment horizontal="justify" vertical="center" wrapText="1"/>
    </xf>
    <xf numFmtId="0" fontId="95" fillId="0" borderId="139" xfId="0" applyFont="1" applyBorder="1" applyAlignment="1">
      <alignment horizontal="justify" vertical="center" wrapText="1"/>
    </xf>
    <xf numFmtId="0" fontId="82" fillId="0" borderId="0" xfId="0" applyFont="1" applyAlignment="1">
      <alignment horizontal="justify" vertical="center" wrapText="1"/>
    </xf>
    <xf numFmtId="0" fontId="131" fillId="0" borderId="0" xfId="0" applyFont="1" applyAlignment="1">
      <alignment horizontal="left" vertical="center" wrapText="1"/>
    </xf>
    <xf numFmtId="0" fontId="71" fillId="6" borderId="0" xfId="9" applyFont="1" applyFill="1" applyAlignment="1">
      <alignment horizontal="center" vertical="center" wrapText="1"/>
    </xf>
    <xf numFmtId="0" fontId="89" fillId="0" borderId="0" xfId="0" applyFont="1" applyAlignment="1">
      <alignment horizontal="center" vertical="center" wrapText="1"/>
    </xf>
    <xf numFmtId="0" fontId="93" fillId="0" borderId="0" xfId="0" applyFont="1" applyAlignment="1">
      <alignment horizontal="center" vertical="center" wrapText="1"/>
    </xf>
    <xf numFmtId="0" fontId="92" fillId="0" borderId="0" xfId="0" applyFont="1" applyAlignment="1">
      <alignment horizontal="right" vertical="center" wrapText="1"/>
    </xf>
    <xf numFmtId="0" fontId="93" fillId="0" borderId="0" xfId="0" quotePrefix="1" applyFont="1" applyAlignment="1">
      <alignment horizontal="center" vertical="center" wrapText="1"/>
    </xf>
    <xf numFmtId="0" fontId="224" fillId="0" borderId="0" xfId="0" applyFont="1" applyAlignment="1">
      <alignment horizontal="left" vertical="center" wrapText="1"/>
    </xf>
    <xf numFmtId="0" fontId="93" fillId="0" borderId="0" xfId="0" applyFont="1" applyAlignment="1">
      <alignment horizontal="justify" vertical="center" wrapText="1"/>
    </xf>
    <xf numFmtId="0" fontId="223" fillId="0" borderId="0" xfId="0" applyFont="1" applyAlignment="1">
      <alignment horizontal="justify" vertical="center" wrapText="1"/>
    </xf>
    <xf numFmtId="0" fontId="0" fillId="0" borderId="0" xfId="0" applyAlignment="1">
      <alignment horizontal="left" vertical="center"/>
    </xf>
    <xf numFmtId="0" fontId="93" fillId="0" borderId="0" xfId="0" applyFont="1" applyAlignment="1">
      <alignment horizontal="left" vertical="center"/>
    </xf>
    <xf numFmtId="0" fontId="92" fillId="0" borderId="0" xfId="0" applyFont="1" applyAlignment="1">
      <alignment horizontal="center" vertical="center" wrapText="1"/>
    </xf>
    <xf numFmtId="0" fontId="93" fillId="0" borderId="141" xfId="0" applyFont="1" applyBorder="1" applyAlignment="1">
      <alignment horizontal="left" vertical="center"/>
    </xf>
    <xf numFmtId="0" fontId="93" fillId="0" borderId="124" xfId="0" applyFont="1" applyBorder="1" applyAlignment="1">
      <alignment horizontal="center" vertical="center" wrapText="1"/>
    </xf>
    <xf numFmtId="0" fontId="93" fillId="0" borderId="125" xfId="0" applyFont="1" applyBorder="1" applyAlignment="1">
      <alignment horizontal="center" vertical="center" wrapText="1"/>
    </xf>
    <xf numFmtId="0" fontId="93" fillId="0" borderId="126" xfId="0" applyFont="1" applyBorder="1" applyAlignment="1">
      <alignment horizontal="center" vertical="center" wrapText="1"/>
    </xf>
    <xf numFmtId="0" fontId="89" fillId="0" borderId="124" xfId="0" applyFont="1" applyBorder="1" applyAlignment="1">
      <alignment horizontal="center" vertical="center" wrapText="1"/>
    </xf>
    <xf numFmtId="0" fontId="89" fillId="0" borderId="125" xfId="0" applyFont="1" applyBorder="1" applyAlignment="1">
      <alignment horizontal="center" vertical="center" wrapText="1"/>
    </xf>
    <xf numFmtId="0" fontId="89" fillId="0" borderId="126" xfId="0" applyFont="1" applyBorder="1" applyAlignment="1">
      <alignment horizontal="center" vertical="center" wrapText="1"/>
    </xf>
    <xf numFmtId="0" fontId="223" fillId="0" borderId="0" xfId="0" applyFont="1" applyAlignment="1">
      <alignment horizontal="justify" wrapText="1"/>
    </xf>
    <xf numFmtId="0" fontId="89" fillId="0" borderId="139" xfId="0" applyFont="1" applyBorder="1" applyAlignment="1">
      <alignment horizontal="center" vertical="center" wrapText="1"/>
    </xf>
    <xf numFmtId="0" fontId="89" fillId="0" borderId="140" xfId="0" applyFont="1" applyBorder="1" applyAlignment="1">
      <alignment horizontal="center" vertical="center" wrapText="1"/>
    </xf>
    <xf numFmtId="0" fontId="93" fillId="0" borderId="0" xfId="0" applyFont="1" applyAlignment="1">
      <alignment horizontal="center" vertical="center"/>
    </xf>
    <xf numFmtId="0" fontId="0" fillId="0" borderId="0" xfId="0" applyAlignment="1">
      <alignment horizontal="center" vertical="center"/>
    </xf>
    <xf numFmtId="0" fontId="95" fillId="0" borderId="0" xfId="0" applyFont="1" applyAlignment="1">
      <alignment horizontal="left" vertical="center" wrapText="1"/>
    </xf>
    <xf numFmtId="0" fontId="93" fillId="0" borderId="0" xfId="0" applyFont="1" applyAlignment="1">
      <alignment horizontal="left" vertical="center" wrapText="1"/>
    </xf>
    <xf numFmtId="0" fontId="205" fillId="0" borderId="0" xfId="0" applyFont="1" applyAlignment="1">
      <alignment horizontal="center" vertical="center"/>
    </xf>
    <xf numFmtId="0" fontId="92" fillId="0" borderId="0" xfId="0" applyFont="1" applyAlignment="1">
      <alignment horizontal="center" vertical="center"/>
    </xf>
    <xf numFmtId="0" fontId="68" fillId="0" borderId="0" xfId="0" applyFont="1" applyBorder="1" applyAlignment="1">
      <alignment horizontal="center" vertical="center" wrapText="1"/>
    </xf>
    <xf numFmtId="0" fontId="79" fillId="0" borderId="0" xfId="4" applyFont="1" applyFill="1" applyBorder="1" applyAlignment="1">
      <alignment horizontal="left" vertical="center" wrapText="1"/>
    </xf>
    <xf numFmtId="0" fontId="0" fillId="0" borderId="58" xfId="0" applyBorder="1" applyAlignment="1">
      <alignment horizontal="left"/>
    </xf>
    <xf numFmtId="0" fontId="0" fillId="0" borderId="59" xfId="0" applyBorder="1" applyAlignment="1">
      <alignment horizontal="left"/>
    </xf>
    <xf numFmtId="0" fontId="0" fillId="0" borderId="72" xfId="0" applyBorder="1" applyAlignment="1">
      <alignment horizontal="left"/>
    </xf>
    <xf numFmtId="0" fontId="96" fillId="0" borderId="0" xfId="0" applyFont="1" applyAlignment="1">
      <alignment horizontal="left"/>
    </xf>
    <xf numFmtId="0" fontId="95" fillId="0" borderId="0" xfId="0" applyFont="1" applyAlignment="1">
      <alignment horizontal="left"/>
    </xf>
    <xf numFmtId="0" fontId="0" fillId="0" borderId="0" xfId="0" applyAlignment="1">
      <alignment horizontal="left"/>
    </xf>
    <xf numFmtId="0" fontId="58" fillId="0" borderId="0" xfId="0" applyFont="1" applyAlignment="1">
      <alignment horizontal="left"/>
    </xf>
    <xf numFmtId="0" fontId="98" fillId="0" borderId="0" xfId="0" applyFont="1" applyAlignment="1">
      <alignment horizontal="center" vertical="center"/>
    </xf>
    <xf numFmtId="0" fontId="46" fillId="0" borderId="0" xfId="0" applyFont="1" applyAlignment="1">
      <alignment horizontal="center" vertical="center" wrapText="1"/>
    </xf>
    <xf numFmtId="0" fontId="34" fillId="0" borderId="0" xfId="0" applyFont="1" applyAlignment="1">
      <alignment horizontal="justify" wrapText="1"/>
    </xf>
    <xf numFmtId="0" fontId="82" fillId="0" borderId="0" xfId="0" applyFont="1" applyAlignment="1">
      <alignment horizontal="left"/>
    </xf>
    <xf numFmtId="0" fontId="95" fillId="0" borderId="0" xfId="0" applyFont="1" applyFill="1" applyBorder="1" applyAlignment="1">
      <alignment horizontal="justify" vertical="center" wrapText="1"/>
    </xf>
    <xf numFmtId="0" fontId="139" fillId="0" borderId="0" xfId="0" applyFont="1" applyAlignment="1">
      <alignment horizontal="center" vertical="center" wrapText="1"/>
    </xf>
    <xf numFmtId="0" fontId="95" fillId="0" borderId="0" xfId="0" applyFont="1" applyBorder="1" applyAlignment="1">
      <alignment horizontal="justify" vertical="center" wrapText="1"/>
    </xf>
    <xf numFmtId="0" fontId="132" fillId="0" borderId="0" xfId="0" applyFont="1" applyAlignment="1">
      <alignment horizontal="center"/>
    </xf>
    <xf numFmtId="0" fontId="58" fillId="0" borderId="0" xfId="0" quotePrefix="1" applyFont="1" applyAlignment="1">
      <alignment horizontal="justify" wrapText="1"/>
    </xf>
  </cellXfs>
  <cellStyles count="17">
    <cellStyle name="Heading 1" xfId="4" builtinId="16"/>
    <cellStyle name="Heading 2" xfId="5" builtinId="17"/>
    <cellStyle name="Hyperlink" xfId="12" builtinId="8"/>
    <cellStyle name="Normal" xfId="0" builtinId="0"/>
    <cellStyle name="Normal 2" xfId="2" xr:uid="{00000000-0005-0000-0000-000004000000}"/>
    <cellStyle name="Normal 2 3" xfId="11" xr:uid="{00000000-0005-0000-0000-000005000000}"/>
    <cellStyle name="Normal 3" xfId="6" xr:uid="{00000000-0005-0000-0000-000006000000}"/>
    <cellStyle name="Normal 4" xfId="3" xr:uid="{00000000-0005-0000-0000-000007000000}"/>
    <cellStyle name="Normal 6" xfId="8" xr:uid="{00000000-0005-0000-0000-000008000000}"/>
    <cellStyle name="Normal 9" xfId="9" xr:uid="{00000000-0005-0000-0000-000009000000}"/>
    <cellStyle name="Normal_ket qua kiem tra he so nen" xfId="10" xr:uid="{00000000-0005-0000-0000-00000A000000}"/>
    <cellStyle name="Normal_NhËt tr×nh cäc c¸t 4" xfId="16" xr:uid="{00000000-0005-0000-0000-00000B000000}"/>
    <cellStyle name="Normal_Sheet1" xfId="13" xr:uid="{00000000-0005-0000-0000-00000C000000}"/>
    <cellStyle name="Normal_Sheet2" xfId="15" xr:uid="{00000000-0005-0000-0000-00000D000000}"/>
    <cellStyle name="Normal_tbGiaCamay" xfId="14" xr:uid="{00000000-0005-0000-0000-00000E000000}"/>
    <cellStyle name="Period Highlight Control" xfId="7" xr:uid="{00000000-0005-0000-0000-00000F000000}"/>
    <cellStyle name="Title" xfId="1" builtinId="15"/>
  </cellStyles>
  <dxfs count="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microsoft.com/office/2006/relationships/vbaProject" Target="vbaProject.bin"/><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Spin" dx="22" fmlaLink="$T$2" max="30000" min="1" page="10"/>
</file>

<file path=xl/ctrlProps/ctrlProp11.xml><?xml version="1.0" encoding="utf-8"?>
<formControlPr xmlns="http://schemas.microsoft.com/office/spreadsheetml/2009/9/main" objectType="Spin" dx="22" fmlaLink="$N$2" max="30000" min="1" page="10"/>
</file>

<file path=xl/ctrlProps/ctrlProp12.xml><?xml version="1.0" encoding="utf-8"?>
<formControlPr xmlns="http://schemas.microsoft.com/office/spreadsheetml/2009/9/main" objectType="Spin" dx="22" fmlaLink="$Q$2" max="30000" min="1" page="10"/>
</file>

<file path=xl/ctrlProps/ctrlProp13.xml><?xml version="1.0" encoding="utf-8"?>
<formControlPr xmlns="http://schemas.microsoft.com/office/spreadsheetml/2009/9/main" objectType="Spin" dx="22" fmlaLink="$O$2" max="30000" min="1" page="10"/>
</file>

<file path=xl/ctrlProps/ctrlProp14.xml><?xml version="1.0" encoding="utf-8"?>
<formControlPr xmlns="http://schemas.microsoft.com/office/spreadsheetml/2009/9/main" objectType="Spin" dx="22" fmlaLink="$N$2" max="30000" min="1" page="10" val="3"/>
</file>

<file path=xl/ctrlProps/ctrlProp15.xml><?xml version="1.0" encoding="utf-8"?>
<formControlPr xmlns="http://schemas.microsoft.com/office/spreadsheetml/2009/9/main" objectType="Spin" dx="22" fmlaLink="$N$2" max="30000" min="1" page="10"/>
</file>

<file path=xl/ctrlProps/ctrlProp16.xml><?xml version="1.0" encoding="utf-8"?>
<formControlPr xmlns="http://schemas.microsoft.com/office/spreadsheetml/2009/9/main" objectType="Spin" dx="22" fmlaLink="$R$2" max="30000" min="1" page="10"/>
</file>

<file path=xl/ctrlProps/ctrlProp17.xml><?xml version="1.0" encoding="utf-8"?>
<formControlPr xmlns="http://schemas.microsoft.com/office/spreadsheetml/2009/9/main" objectType="Spin" dx="22" fmlaLink="$R$2" max="30000" min="1" page="10" val="4"/>
</file>

<file path=xl/ctrlProps/ctrlProp18.xml><?xml version="1.0" encoding="utf-8"?>
<formControlPr xmlns="http://schemas.microsoft.com/office/spreadsheetml/2009/9/main" objectType="Spin" dx="22" fmlaLink="$R$2" max="4" min="1" page="10" val="4"/>
</file>

<file path=xl/ctrlProps/ctrlProp19.xml><?xml version="1.0" encoding="utf-8"?>
<formControlPr xmlns="http://schemas.microsoft.com/office/spreadsheetml/2009/9/main" objectType="Spin" dx="22" fmlaLink="$Q$2" max="7" min="6" page="10" val="7"/>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Spin" dx="22" fmlaLink="$D$6" max="30000" page="10" val="11"/>
</file>

<file path=xl/ctrlProps/ctrlProp21.xml><?xml version="1.0" encoding="utf-8"?>
<formControlPr xmlns="http://schemas.microsoft.com/office/spreadsheetml/2009/9/main" objectType="Spin" dx="22" fmlaLink="$D$6" max="30000" page="10" val="12"/>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Spin" dx="22" fmlaLink="$P$2" max="30000" min="1" page="10"/>
</file>

<file path=xl/ctrlProps/ctrlProp5.xml><?xml version="1.0" encoding="utf-8"?>
<formControlPr xmlns="http://schemas.microsoft.com/office/spreadsheetml/2009/9/main" objectType="Spin" dx="22" fmlaLink="$P$2" max="30000" min="1" page="10"/>
</file>

<file path=xl/ctrlProps/ctrlProp6.xml><?xml version="1.0" encoding="utf-8"?>
<formControlPr xmlns="http://schemas.microsoft.com/office/spreadsheetml/2009/9/main" objectType="Spin" dx="22" fmlaLink="$N$2" max="30000" min="1" page="10"/>
</file>

<file path=xl/ctrlProps/ctrlProp7.xml><?xml version="1.0" encoding="utf-8"?>
<formControlPr xmlns="http://schemas.microsoft.com/office/spreadsheetml/2009/9/main" objectType="Spin" dx="22" fmlaLink="$N$2" max="30000" min="1" page="10" val="3"/>
</file>

<file path=xl/ctrlProps/ctrlProp8.xml><?xml version="1.0" encoding="utf-8"?>
<formControlPr xmlns="http://schemas.microsoft.com/office/spreadsheetml/2009/9/main" objectType="Spin" dx="22" fmlaLink="$S$2" max="30000" min="1" page="10"/>
</file>

<file path=xl/ctrlProps/ctrlProp9.xml><?xml version="1.0" encoding="utf-8"?>
<formControlPr xmlns="http://schemas.microsoft.com/office/spreadsheetml/2009/9/main" objectType="Spin" dx="22" fmlaLink="$N$2" max="30000" min="1" page="10"/>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wmf"/><Relationship Id="rId1" Type="http://schemas.openxmlformats.org/officeDocument/2006/relationships/image" Target="../media/image8.jpeg"/><Relationship Id="rId5" Type="http://schemas.openxmlformats.org/officeDocument/2006/relationships/image" Target="../media/image12.png"/><Relationship Id="rId4"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wmf"/><Relationship Id="rId1" Type="http://schemas.openxmlformats.org/officeDocument/2006/relationships/image" Target="../media/image8.jpeg"/><Relationship Id="rId5" Type="http://schemas.openxmlformats.org/officeDocument/2006/relationships/image" Target="../media/image12.png"/><Relationship Id="rId4"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66675</xdr:colOff>
          <xdr:row>0</xdr:row>
          <xdr:rowOff>9525</xdr:rowOff>
        </xdr:from>
        <xdr:to>
          <xdr:col>7</xdr:col>
          <xdr:colOff>57150</xdr:colOff>
          <xdr:row>1</xdr:row>
          <xdr:rowOff>0</xdr:rowOff>
        </xdr:to>
        <xdr:sp macro="" textlink="">
          <xdr:nvSpPr>
            <xdr:cNvPr id="374785" name="Button 1" hidden="1">
              <a:extLst>
                <a:ext uri="{63B3BB69-23CF-44E3-9099-C40C66FF867C}">
                  <a14:compatExt spid="_x0000_s374785"/>
                </a:ext>
                <a:ext uri="{FF2B5EF4-FFF2-40B4-BE49-F238E27FC236}">
                  <a16:creationId xmlns:a16="http://schemas.microsoft.com/office/drawing/2014/main" id="{00000000-0008-0000-0700-000001B80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300" b="0" i="0" u="none" strike="noStrike" baseline="0">
                  <a:solidFill>
                    <a:srgbClr val="000000"/>
                  </a:solidFill>
                  <a:latin typeface="Times New Roman"/>
                  <a:cs typeface="Times New Roman"/>
                </a:rPr>
                <a:t>Button 1</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104775</xdr:colOff>
          <xdr:row>0</xdr:row>
          <xdr:rowOff>0</xdr:rowOff>
        </xdr:from>
        <xdr:to>
          <xdr:col>14</xdr:col>
          <xdr:colOff>485775</xdr:colOff>
          <xdr:row>2</xdr:row>
          <xdr:rowOff>142875</xdr:rowOff>
        </xdr:to>
        <xdr:sp macro="" textlink="">
          <xdr:nvSpPr>
            <xdr:cNvPr id="611329" name="Spinner 1" hidden="1">
              <a:extLst>
                <a:ext uri="{63B3BB69-23CF-44E3-9099-C40C66FF867C}">
                  <a14:compatExt spid="_x0000_s611329"/>
                </a:ext>
                <a:ext uri="{FF2B5EF4-FFF2-40B4-BE49-F238E27FC236}">
                  <a16:creationId xmlns:a16="http://schemas.microsoft.com/office/drawing/2014/main" id="{00000000-0008-0000-2A00-00000154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xdr:col>
      <xdr:colOff>0</xdr:colOff>
      <xdr:row>103</xdr:row>
      <xdr:rowOff>28575</xdr:rowOff>
    </xdr:from>
    <xdr:to>
      <xdr:col>6</xdr:col>
      <xdr:colOff>200025</xdr:colOff>
      <xdr:row>103</xdr:row>
      <xdr:rowOff>190500</xdr:rowOff>
    </xdr:to>
    <xdr:sp macro="" textlink="">
      <xdr:nvSpPr>
        <xdr:cNvPr id="5" name="Rectangle 19">
          <a:extLst>
            <a:ext uri="{FF2B5EF4-FFF2-40B4-BE49-F238E27FC236}">
              <a16:creationId xmlns:a16="http://schemas.microsoft.com/office/drawing/2014/main" id="{00000000-0008-0000-2A00-000005000000}"/>
            </a:ext>
          </a:extLst>
        </xdr:cNvPr>
        <xdr:cNvSpPr>
          <a:spLocks noChangeArrowheads="1"/>
        </xdr:cNvSpPr>
      </xdr:nvSpPr>
      <xdr:spPr bwMode="auto">
        <a:xfrm>
          <a:off x="5067300" y="25384125"/>
          <a:ext cx="200025" cy="161925"/>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102</xdr:row>
      <xdr:rowOff>0</xdr:rowOff>
    </xdr:from>
    <xdr:to>
      <xdr:col>6</xdr:col>
      <xdr:colOff>200025</xdr:colOff>
      <xdr:row>102</xdr:row>
      <xdr:rowOff>161925</xdr:rowOff>
    </xdr:to>
    <xdr:sp macro="" textlink="">
      <xdr:nvSpPr>
        <xdr:cNvPr id="6" name="Rectangle 19">
          <a:extLst>
            <a:ext uri="{FF2B5EF4-FFF2-40B4-BE49-F238E27FC236}">
              <a16:creationId xmlns:a16="http://schemas.microsoft.com/office/drawing/2014/main" id="{00000000-0008-0000-2A00-000006000000}"/>
            </a:ext>
          </a:extLst>
        </xdr:cNvPr>
        <xdr:cNvSpPr>
          <a:spLocks noChangeArrowheads="1"/>
        </xdr:cNvSpPr>
      </xdr:nvSpPr>
      <xdr:spPr bwMode="auto">
        <a:xfrm>
          <a:off x="5067300" y="25136475"/>
          <a:ext cx="200025" cy="161925"/>
        </a:xfrm>
        <a:prstGeom prst="rect">
          <a:avLst/>
        </a:prstGeom>
        <a:solidFill>
          <a:srgbClr val="FFFFFF"/>
        </a:solidFill>
        <a:ln w="9525">
          <a:solidFill>
            <a:srgbClr val="000000"/>
          </a:solidFill>
          <a:miter lim="800000"/>
          <a:headEnd/>
          <a:tailEnd/>
        </a:ln>
      </xdr:spPr>
      <xdr:txBody>
        <a:bodyPr anchor="ctr"/>
        <a:lstStyle/>
        <a:p>
          <a:pPr algn="ctr"/>
          <a:r>
            <a:rPr lang="en-US">
              <a:sym typeface="Wingdings 2" panose="05020102010507070707" pitchFamily="18" charset="2"/>
            </a:rPr>
            <a:t></a:t>
          </a:r>
          <a:endParaRPr lang="en-US"/>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133350</xdr:colOff>
          <xdr:row>0</xdr:row>
          <xdr:rowOff>0</xdr:rowOff>
        </xdr:from>
        <xdr:to>
          <xdr:col>14</xdr:col>
          <xdr:colOff>400050</xdr:colOff>
          <xdr:row>2</xdr:row>
          <xdr:rowOff>133350</xdr:rowOff>
        </xdr:to>
        <xdr:sp macro="" textlink="">
          <xdr:nvSpPr>
            <xdr:cNvPr id="612353" name="Spinner 1" hidden="1">
              <a:extLst>
                <a:ext uri="{63B3BB69-23CF-44E3-9099-C40C66FF867C}">
                  <a14:compatExt spid="_x0000_s612353"/>
                </a:ext>
                <a:ext uri="{FF2B5EF4-FFF2-40B4-BE49-F238E27FC236}">
                  <a16:creationId xmlns:a16="http://schemas.microsoft.com/office/drawing/2014/main" id="{00000000-0008-0000-2B00-00000158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1628775</xdr:colOff>
      <xdr:row>45</xdr:row>
      <xdr:rowOff>0</xdr:rowOff>
    </xdr:from>
    <xdr:to>
      <xdr:col>8</xdr:col>
      <xdr:colOff>657225</xdr:colOff>
      <xdr:row>54</xdr:row>
      <xdr:rowOff>0</xdr:rowOff>
    </xdr:to>
    <xdr:pic>
      <xdr:nvPicPr>
        <xdr:cNvPr id="3" name="Anhminhhoa">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67300" y="10887075"/>
          <a:ext cx="2286000" cy="1714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133350</xdr:colOff>
          <xdr:row>0</xdr:row>
          <xdr:rowOff>0</xdr:rowOff>
        </xdr:from>
        <xdr:to>
          <xdr:col>19</xdr:col>
          <xdr:colOff>400050</xdr:colOff>
          <xdr:row>2</xdr:row>
          <xdr:rowOff>133350</xdr:rowOff>
        </xdr:to>
        <xdr:sp macro="" textlink="">
          <xdr:nvSpPr>
            <xdr:cNvPr id="613377" name="Spinner 1" hidden="1">
              <a:extLst>
                <a:ext uri="{63B3BB69-23CF-44E3-9099-C40C66FF867C}">
                  <a14:compatExt spid="_x0000_s613377"/>
                </a:ext>
                <a:ext uri="{FF2B5EF4-FFF2-40B4-BE49-F238E27FC236}">
                  <a16:creationId xmlns:a16="http://schemas.microsoft.com/office/drawing/2014/main" id="{00000000-0008-0000-2C00-0000015C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133350</xdr:colOff>
          <xdr:row>0</xdr:row>
          <xdr:rowOff>0</xdr:rowOff>
        </xdr:from>
        <xdr:to>
          <xdr:col>14</xdr:col>
          <xdr:colOff>400050</xdr:colOff>
          <xdr:row>2</xdr:row>
          <xdr:rowOff>133350</xdr:rowOff>
        </xdr:to>
        <xdr:sp macro="" textlink="">
          <xdr:nvSpPr>
            <xdr:cNvPr id="392193" name="Spinner 1" hidden="1">
              <a:extLst>
                <a:ext uri="{63B3BB69-23CF-44E3-9099-C40C66FF867C}">
                  <a14:compatExt spid="_x0000_s392193"/>
                </a:ext>
                <a:ext uri="{FF2B5EF4-FFF2-40B4-BE49-F238E27FC236}">
                  <a16:creationId xmlns:a16="http://schemas.microsoft.com/office/drawing/2014/main" id="{00000000-0008-0000-2D00-000001FC05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436973</xdr:colOff>
      <xdr:row>46</xdr:row>
      <xdr:rowOff>0</xdr:rowOff>
    </xdr:from>
    <xdr:to>
      <xdr:col>10</xdr:col>
      <xdr:colOff>20226</xdr:colOff>
      <xdr:row>55</xdr:row>
      <xdr:rowOff>0</xdr:rowOff>
    </xdr:to>
    <xdr:pic>
      <xdr:nvPicPr>
        <xdr:cNvPr id="16" name="Anhminhhoa">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5498" y="10963275"/>
          <a:ext cx="4260028" cy="1885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133350</xdr:colOff>
          <xdr:row>0</xdr:row>
          <xdr:rowOff>0</xdr:rowOff>
        </xdr:from>
        <xdr:to>
          <xdr:col>20</xdr:col>
          <xdr:colOff>400050</xdr:colOff>
          <xdr:row>2</xdr:row>
          <xdr:rowOff>133350</xdr:rowOff>
        </xdr:to>
        <xdr:sp macro="" textlink="">
          <xdr:nvSpPr>
            <xdr:cNvPr id="417796" name="Spinner 4" hidden="1">
              <a:extLst>
                <a:ext uri="{63B3BB69-23CF-44E3-9099-C40C66FF867C}">
                  <a14:compatExt spid="_x0000_s417796"/>
                </a:ext>
                <a:ext uri="{FF2B5EF4-FFF2-40B4-BE49-F238E27FC236}">
                  <a16:creationId xmlns:a16="http://schemas.microsoft.com/office/drawing/2014/main" id="{00000000-0008-0000-2E00-0000046006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133350</xdr:colOff>
          <xdr:row>0</xdr:row>
          <xdr:rowOff>0</xdr:rowOff>
        </xdr:from>
        <xdr:to>
          <xdr:col>14</xdr:col>
          <xdr:colOff>400050</xdr:colOff>
          <xdr:row>2</xdr:row>
          <xdr:rowOff>133350</xdr:rowOff>
        </xdr:to>
        <xdr:sp macro="" textlink="">
          <xdr:nvSpPr>
            <xdr:cNvPr id="614401" name="Spinner 1" hidden="1">
              <a:extLst>
                <a:ext uri="{63B3BB69-23CF-44E3-9099-C40C66FF867C}">
                  <a14:compatExt spid="_x0000_s614401"/>
                </a:ext>
                <a:ext uri="{FF2B5EF4-FFF2-40B4-BE49-F238E27FC236}">
                  <a16:creationId xmlns:a16="http://schemas.microsoft.com/office/drawing/2014/main" id="{00000000-0008-0000-2F00-00000160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0</xdr:row>
          <xdr:rowOff>57150</xdr:rowOff>
        </xdr:from>
        <xdr:to>
          <xdr:col>18</xdr:col>
          <xdr:colOff>19050</xdr:colOff>
          <xdr:row>2</xdr:row>
          <xdr:rowOff>152400</xdr:rowOff>
        </xdr:to>
        <xdr:sp macro="" textlink="">
          <xdr:nvSpPr>
            <xdr:cNvPr id="419841" name="Spinner 1" hidden="1">
              <a:extLst>
                <a:ext uri="{63B3BB69-23CF-44E3-9099-C40C66FF867C}">
                  <a14:compatExt spid="_x0000_s419841"/>
                </a:ext>
                <a:ext uri="{FF2B5EF4-FFF2-40B4-BE49-F238E27FC236}">
                  <a16:creationId xmlns:a16="http://schemas.microsoft.com/office/drawing/2014/main" id="{00000000-0008-0000-3000-0000016806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95250</xdr:colOff>
          <xdr:row>0</xdr:row>
          <xdr:rowOff>0</xdr:rowOff>
        </xdr:from>
        <xdr:to>
          <xdr:col>15</xdr:col>
          <xdr:colOff>400050</xdr:colOff>
          <xdr:row>2</xdr:row>
          <xdr:rowOff>152400</xdr:rowOff>
        </xdr:to>
        <xdr:sp macro="" textlink="">
          <xdr:nvSpPr>
            <xdr:cNvPr id="460801" name="Spinner 1" hidden="1">
              <a:extLst>
                <a:ext uri="{63B3BB69-23CF-44E3-9099-C40C66FF867C}">
                  <a14:compatExt spid="_x0000_s460801"/>
                </a:ext>
                <a:ext uri="{FF2B5EF4-FFF2-40B4-BE49-F238E27FC236}">
                  <a16:creationId xmlns:a16="http://schemas.microsoft.com/office/drawing/2014/main" id="{00000000-0008-0000-3100-0000010807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133350</xdr:colOff>
          <xdr:row>0</xdr:row>
          <xdr:rowOff>0</xdr:rowOff>
        </xdr:from>
        <xdr:to>
          <xdr:col>14</xdr:col>
          <xdr:colOff>400050</xdr:colOff>
          <xdr:row>2</xdr:row>
          <xdr:rowOff>133350</xdr:rowOff>
        </xdr:to>
        <xdr:sp macro="" textlink="">
          <xdr:nvSpPr>
            <xdr:cNvPr id="615425" name="Spinner 1" hidden="1">
              <a:extLst>
                <a:ext uri="{63B3BB69-23CF-44E3-9099-C40C66FF867C}">
                  <a14:compatExt spid="_x0000_s615425"/>
                </a:ext>
                <a:ext uri="{FF2B5EF4-FFF2-40B4-BE49-F238E27FC236}">
                  <a16:creationId xmlns:a16="http://schemas.microsoft.com/office/drawing/2014/main" id="{00000000-0008-0000-3200-00000164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1899480</xdr:colOff>
      <xdr:row>44</xdr:row>
      <xdr:rowOff>0</xdr:rowOff>
    </xdr:from>
    <xdr:to>
      <xdr:col>8</xdr:col>
      <xdr:colOff>386523</xdr:colOff>
      <xdr:row>52</xdr:row>
      <xdr:rowOff>0</xdr:rowOff>
    </xdr:to>
    <xdr:pic>
      <xdr:nvPicPr>
        <xdr:cNvPr id="14" name="Anhminhhoa">
          <a:extLst>
            <a:ext uri="{FF2B5EF4-FFF2-40B4-BE49-F238E27FC236}">
              <a16:creationId xmlns:a16="http://schemas.microsoft.com/office/drawing/2014/main" id="{00000000-0008-0000-3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8005" y="11058525"/>
          <a:ext cx="1744593" cy="1676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200025</xdr:colOff>
          <xdr:row>0</xdr:row>
          <xdr:rowOff>85725</xdr:rowOff>
        </xdr:from>
        <xdr:to>
          <xdr:col>14</xdr:col>
          <xdr:colOff>476250</xdr:colOff>
          <xdr:row>3</xdr:row>
          <xdr:rowOff>28575</xdr:rowOff>
        </xdr:to>
        <xdr:sp macro="" textlink="">
          <xdr:nvSpPr>
            <xdr:cNvPr id="852996" name="Spinner 4" hidden="1">
              <a:extLst>
                <a:ext uri="{63B3BB69-23CF-44E3-9099-C40C66FF867C}">
                  <a14:compatExt spid="_x0000_s852996"/>
                </a:ext>
                <a:ext uri="{FF2B5EF4-FFF2-40B4-BE49-F238E27FC236}">
                  <a16:creationId xmlns:a16="http://schemas.microsoft.com/office/drawing/2014/main" id="{00000000-0008-0000-3300-000004040D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1876425</xdr:colOff>
          <xdr:row>1</xdr:row>
          <xdr:rowOff>57150</xdr:rowOff>
        </xdr:to>
        <xdr:sp macro="" textlink="">
          <xdr:nvSpPr>
            <xdr:cNvPr id="897025" name="Button 1" hidden="1">
              <a:extLst>
                <a:ext uri="{63B3BB69-23CF-44E3-9099-C40C66FF867C}">
                  <a14:compatExt spid="_x0000_s897025"/>
                </a:ext>
                <a:ext uri="{FF2B5EF4-FFF2-40B4-BE49-F238E27FC236}">
                  <a16:creationId xmlns:a16="http://schemas.microsoft.com/office/drawing/2014/main" id="{00000000-0008-0000-0A00-000001B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300" b="0" i="0" u="none" strike="noStrike" baseline="0">
                  <a:solidFill>
                    <a:srgbClr val="FF0000"/>
                  </a:solidFill>
                  <a:latin typeface="Times New Roman"/>
                  <a:cs typeface="Times New Roman"/>
                </a:rPr>
                <a:t>Cập nhật tiêu đề biên bản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323850</xdr:colOff>
          <xdr:row>0</xdr:row>
          <xdr:rowOff>95250</xdr:rowOff>
        </xdr:from>
        <xdr:to>
          <xdr:col>18</xdr:col>
          <xdr:colOff>581025</xdr:colOff>
          <xdr:row>2</xdr:row>
          <xdr:rowOff>161925</xdr:rowOff>
        </xdr:to>
        <xdr:sp macro="" textlink="">
          <xdr:nvSpPr>
            <xdr:cNvPr id="861185" name="Spinner 1" hidden="1">
              <a:extLst>
                <a:ext uri="{63B3BB69-23CF-44E3-9099-C40C66FF867C}">
                  <a14:compatExt spid="_x0000_s861185"/>
                </a:ext>
                <a:ext uri="{FF2B5EF4-FFF2-40B4-BE49-F238E27FC236}">
                  <a16:creationId xmlns:a16="http://schemas.microsoft.com/office/drawing/2014/main" id="{00000000-0008-0000-3400-000001240D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323850</xdr:colOff>
          <xdr:row>0</xdr:row>
          <xdr:rowOff>95250</xdr:rowOff>
        </xdr:from>
        <xdr:to>
          <xdr:col>18</xdr:col>
          <xdr:colOff>581025</xdr:colOff>
          <xdr:row>2</xdr:row>
          <xdr:rowOff>161925</xdr:rowOff>
        </xdr:to>
        <xdr:sp macro="" textlink="">
          <xdr:nvSpPr>
            <xdr:cNvPr id="855041" name="Spinner 1" hidden="1">
              <a:extLst>
                <a:ext uri="{63B3BB69-23CF-44E3-9099-C40C66FF867C}">
                  <a14:compatExt spid="_x0000_s855041"/>
                </a:ext>
                <a:ext uri="{FF2B5EF4-FFF2-40B4-BE49-F238E27FC236}">
                  <a16:creationId xmlns:a16="http://schemas.microsoft.com/office/drawing/2014/main" id="{00000000-0008-0000-3500-0000010C0D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3</xdr:col>
      <xdr:colOff>0</xdr:colOff>
      <xdr:row>3</xdr:row>
      <xdr:rowOff>28575</xdr:rowOff>
    </xdr:from>
    <xdr:to>
      <xdr:col>15</xdr:col>
      <xdr:colOff>47625</xdr:colOff>
      <xdr:row>46</xdr:row>
      <xdr:rowOff>171450</xdr:rowOff>
    </xdr:to>
    <xdr:grpSp>
      <xdr:nvGrpSpPr>
        <xdr:cNvPr id="6" name="Group 5">
          <a:extLst>
            <a:ext uri="{FF2B5EF4-FFF2-40B4-BE49-F238E27FC236}">
              <a16:creationId xmlns:a16="http://schemas.microsoft.com/office/drawing/2014/main" id="{00000000-0008-0000-3600-000006000000}"/>
            </a:ext>
          </a:extLst>
        </xdr:cNvPr>
        <xdr:cNvGrpSpPr/>
      </xdr:nvGrpSpPr>
      <xdr:grpSpPr>
        <a:xfrm>
          <a:off x="3227917" y="631825"/>
          <a:ext cx="7064375" cy="9657292"/>
          <a:chOff x="2581275" y="638175"/>
          <a:chExt cx="6895915" cy="9715335"/>
        </a:xfrm>
      </xdr:grpSpPr>
      <xdr:grpSp>
        <xdr:nvGrpSpPr>
          <xdr:cNvPr id="142338" name="Group 2">
            <a:extLst>
              <a:ext uri="{FF2B5EF4-FFF2-40B4-BE49-F238E27FC236}">
                <a16:creationId xmlns:a16="http://schemas.microsoft.com/office/drawing/2014/main" id="{00000000-0008-0000-3600-0000022C0200}"/>
              </a:ext>
            </a:extLst>
          </xdr:cNvPr>
          <xdr:cNvGrpSpPr>
            <a:grpSpLocks/>
          </xdr:cNvGrpSpPr>
        </xdr:nvGrpSpPr>
        <xdr:grpSpPr bwMode="auto">
          <a:xfrm>
            <a:off x="2828925" y="819241"/>
            <a:ext cx="6391275" cy="9398238"/>
            <a:chOff x="2125" y="1544"/>
            <a:chExt cx="8540" cy="13799"/>
          </a:xfrm>
          <a:effectLst>
            <a:outerShdw blurRad="50800" dist="50800" dir="5400000" sx="104000" sy="104000" algn="ctr" rotWithShape="0">
              <a:srgbClr val="000000">
                <a:alpha val="0"/>
              </a:srgbClr>
            </a:outerShdw>
          </a:effectLst>
        </xdr:grpSpPr>
        <xdr:pic>
          <xdr:nvPicPr>
            <xdr:cNvPr id="19" name="Picture 18" descr="CRNRC047">
              <a:extLst>
                <a:ext uri="{FF2B5EF4-FFF2-40B4-BE49-F238E27FC236}">
                  <a16:creationId xmlns:a16="http://schemas.microsoft.com/office/drawing/2014/main" id="{00000000-0008-0000-3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2373" y="1872"/>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J0105250">
              <a:extLst>
                <a:ext uri="{FF2B5EF4-FFF2-40B4-BE49-F238E27FC236}">
                  <a16:creationId xmlns:a16="http://schemas.microsoft.com/office/drawing/2014/main" id="{00000000-0008-0000-3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65" y="1544"/>
              <a:ext cx="4860"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Picture 16" descr="CRNRC047">
              <a:extLst>
                <a:ext uri="{FF2B5EF4-FFF2-40B4-BE49-F238E27FC236}">
                  <a16:creationId xmlns:a16="http://schemas.microsoft.com/office/drawing/2014/main" id="{00000000-0008-0000-3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8" y="1821"/>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Picture 14" descr="CRNRC047">
              <a:extLst>
                <a:ext uri="{FF2B5EF4-FFF2-40B4-BE49-F238E27FC236}">
                  <a16:creationId xmlns:a16="http://schemas.microsoft.com/office/drawing/2014/main" id="{00000000-0008-0000-3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2431" y="14257"/>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12" descr="CRNRC047">
              <a:extLst>
                <a:ext uri="{FF2B5EF4-FFF2-40B4-BE49-F238E27FC236}">
                  <a16:creationId xmlns:a16="http://schemas.microsoft.com/office/drawing/2014/main" id="{00000000-0008-0000-3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9546" y="14206"/>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8" descr="BDRSC012">
              <a:extLst>
                <a:ext uri="{FF2B5EF4-FFF2-40B4-BE49-F238E27FC236}">
                  <a16:creationId xmlns:a16="http://schemas.microsoft.com/office/drawing/2014/main" id="{00000000-0008-0000-3600-000009000000}"/>
                </a:ext>
              </a:extLst>
            </xdr:cNvPr>
            <xdr:cNvPicPr>
              <a:picLocks noChangeAspect="1" noChangeArrowheads="1"/>
            </xdr:cNvPicPr>
          </xdr:nvPicPr>
          <xdr:blipFill>
            <a:blip xmlns:r="http://schemas.openxmlformats.org/officeDocument/2006/relationships" r:embed="rId3">
              <a:lum bright="6000" contrast="48000"/>
              <a:extLst>
                <a:ext uri="{28A0092B-C50C-407E-A947-70E740481C1C}">
                  <a14:useLocalDpi xmlns:a14="http://schemas.microsoft.com/office/drawing/2010/main" val="0"/>
                </a:ext>
              </a:extLst>
            </a:blip>
            <a:srcRect/>
            <a:stretch>
              <a:fillRect/>
            </a:stretch>
          </xdr:blipFill>
          <xdr:spPr bwMode="auto">
            <a:xfrm>
              <a:off x="10525" y="3323"/>
              <a:ext cx="140" cy="10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9" descr="BDRSC012">
              <a:extLst>
                <a:ext uri="{FF2B5EF4-FFF2-40B4-BE49-F238E27FC236}">
                  <a16:creationId xmlns:a16="http://schemas.microsoft.com/office/drawing/2014/main" id="{00000000-0008-0000-36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5" y="3323"/>
              <a:ext cx="140" cy="10339"/>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11" name="Picture 10" descr="J0105250">
              <a:extLst>
                <a:ext uri="{FF2B5EF4-FFF2-40B4-BE49-F238E27FC236}">
                  <a16:creationId xmlns:a16="http://schemas.microsoft.com/office/drawing/2014/main" id="{00000000-0008-0000-3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0" y="15149"/>
              <a:ext cx="4860"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72425" y="638175"/>
            <a:ext cx="1476581" cy="1324160"/>
          </a:xfrm>
          <a:prstGeom prst="rect">
            <a:avLst/>
          </a:prstGeom>
        </xdr:spPr>
      </xdr:pic>
      <xdr:pic>
        <xdr:nvPicPr>
          <xdr:cNvPr id="21" name="Picture 20">
            <a:extLst>
              <a:ext uri="{FF2B5EF4-FFF2-40B4-BE49-F238E27FC236}">
                <a16:creationId xmlns:a16="http://schemas.microsoft.com/office/drawing/2014/main" id="{00000000-0008-0000-36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10800000">
            <a:off x="2581275" y="9001125"/>
            <a:ext cx="1476581" cy="1324160"/>
          </a:xfrm>
          <a:prstGeom prst="rect">
            <a:avLst/>
          </a:prstGeom>
        </xdr:spPr>
      </xdr:pic>
      <xdr:pic>
        <xdr:nvPicPr>
          <xdr:cNvPr id="4" name="Picture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81275" y="647700"/>
            <a:ext cx="1476190" cy="1323810"/>
          </a:xfrm>
          <a:prstGeom prst="rect">
            <a:avLst/>
          </a:prstGeom>
        </xdr:spPr>
      </xdr:pic>
      <xdr:pic>
        <xdr:nvPicPr>
          <xdr:cNvPr id="24" name="Picture 23">
            <a:extLst>
              <a:ext uri="{FF2B5EF4-FFF2-40B4-BE49-F238E27FC236}">
                <a16:creationId xmlns:a16="http://schemas.microsoft.com/office/drawing/2014/main" id="{00000000-0008-0000-36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10800000">
            <a:off x="8001000" y="9029700"/>
            <a:ext cx="1476190" cy="1323810"/>
          </a:xfrm>
          <a:prstGeom prst="rect">
            <a:avLst/>
          </a:prstGeom>
        </xdr:spPr>
      </xdr:pic>
    </xdr:grpSp>
    <xdr:clientData/>
  </xdr:twoCellAnchor>
  <xdr:twoCellAnchor>
    <xdr:from>
      <xdr:col>7</xdr:col>
      <xdr:colOff>619125</xdr:colOff>
      <xdr:row>7</xdr:row>
      <xdr:rowOff>38100</xdr:rowOff>
    </xdr:from>
    <xdr:to>
      <xdr:col>10</xdr:col>
      <xdr:colOff>9525</xdr:colOff>
      <xdr:row>7</xdr:row>
      <xdr:rowOff>38100</xdr:rowOff>
    </xdr:to>
    <xdr:cxnSp macro="">
      <xdr:nvCxnSpPr>
        <xdr:cNvPr id="8" name="Straight Connector 7">
          <a:extLst>
            <a:ext uri="{FF2B5EF4-FFF2-40B4-BE49-F238E27FC236}">
              <a16:creationId xmlns:a16="http://schemas.microsoft.com/office/drawing/2014/main" id="{00000000-0008-0000-3600-000008000000}"/>
            </a:ext>
          </a:extLst>
        </xdr:cNvPr>
        <xdr:cNvCxnSpPr/>
      </xdr:nvCxnSpPr>
      <xdr:spPr>
        <a:xfrm>
          <a:off x="5572125" y="1695450"/>
          <a:ext cx="17049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18</xdr:col>
          <xdr:colOff>304800</xdr:colOff>
          <xdr:row>0</xdr:row>
          <xdr:rowOff>66675</xdr:rowOff>
        </xdr:from>
        <xdr:to>
          <xdr:col>18</xdr:col>
          <xdr:colOff>628650</xdr:colOff>
          <xdr:row>2</xdr:row>
          <xdr:rowOff>123825</xdr:rowOff>
        </xdr:to>
        <xdr:sp macro="" textlink="">
          <xdr:nvSpPr>
            <xdr:cNvPr id="325633" name="Spinner 1" hidden="1">
              <a:extLst>
                <a:ext uri="{63B3BB69-23CF-44E3-9099-C40C66FF867C}">
                  <a14:compatExt spid="_x0000_s325633"/>
                </a:ext>
                <a:ext uri="{FF2B5EF4-FFF2-40B4-BE49-F238E27FC236}">
                  <a16:creationId xmlns:a16="http://schemas.microsoft.com/office/drawing/2014/main" id="{00000000-0008-0000-3600-000001F8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xdr:col>
      <xdr:colOff>723900</xdr:colOff>
      <xdr:row>3</xdr:row>
      <xdr:rowOff>28575</xdr:rowOff>
    </xdr:from>
    <xdr:to>
      <xdr:col>14</xdr:col>
      <xdr:colOff>476250</xdr:colOff>
      <xdr:row>45</xdr:row>
      <xdr:rowOff>171450</xdr:rowOff>
    </xdr:to>
    <xdr:grpSp>
      <xdr:nvGrpSpPr>
        <xdr:cNvPr id="2" name="Group 1">
          <a:extLst>
            <a:ext uri="{FF2B5EF4-FFF2-40B4-BE49-F238E27FC236}">
              <a16:creationId xmlns:a16="http://schemas.microsoft.com/office/drawing/2014/main" id="{00000000-0008-0000-3700-000002000000}"/>
            </a:ext>
          </a:extLst>
        </xdr:cNvPr>
        <xdr:cNvGrpSpPr/>
      </xdr:nvGrpSpPr>
      <xdr:grpSpPr>
        <a:xfrm>
          <a:off x="2476500" y="628650"/>
          <a:ext cx="6781800" cy="9515475"/>
          <a:chOff x="2581275" y="638175"/>
          <a:chExt cx="6895915" cy="9715335"/>
        </a:xfrm>
      </xdr:grpSpPr>
      <xdr:grpSp>
        <xdr:nvGrpSpPr>
          <xdr:cNvPr id="3" name="Group 2">
            <a:extLst>
              <a:ext uri="{FF2B5EF4-FFF2-40B4-BE49-F238E27FC236}">
                <a16:creationId xmlns:a16="http://schemas.microsoft.com/office/drawing/2014/main" id="{00000000-0008-0000-3700-000003000000}"/>
              </a:ext>
            </a:extLst>
          </xdr:cNvPr>
          <xdr:cNvGrpSpPr>
            <a:grpSpLocks/>
          </xdr:cNvGrpSpPr>
        </xdr:nvGrpSpPr>
        <xdr:grpSpPr bwMode="auto">
          <a:xfrm>
            <a:off x="2828925" y="819241"/>
            <a:ext cx="6391275" cy="9398238"/>
            <a:chOff x="2125" y="1544"/>
            <a:chExt cx="8540" cy="13799"/>
          </a:xfrm>
          <a:effectLst>
            <a:outerShdw blurRad="50800" dist="50800" dir="5400000" sx="104000" sy="104000" algn="ctr" rotWithShape="0">
              <a:srgbClr val="000000">
                <a:alpha val="0"/>
              </a:srgbClr>
            </a:outerShdw>
          </a:effectLst>
        </xdr:grpSpPr>
        <xdr:pic>
          <xdr:nvPicPr>
            <xdr:cNvPr id="8" name="Picture 7" descr="CRNRC047">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2373" y="1872"/>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8" descr="J0105250">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65" y="1544"/>
              <a:ext cx="4860"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9" descr="CRNRC047">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8" y="1821"/>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Picture 10" descr="CRNRC047">
              <a:extLst>
                <a:ext uri="{FF2B5EF4-FFF2-40B4-BE49-F238E27FC236}">
                  <a16:creationId xmlns:a16="http://schemas.microsoft.com/office/drawing/2014/main" id="{00000000-0008-0000-3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2431" y="14257"/>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Picture 11" descr="CRNRC047">
              <a:extLst>
                <a:ext uri="{FF2B5EF4-FFF2-40B4-BE49-F238E27FC236}">
                  <a16:creationId xmlns:a16="http://schemas.microsoft.com/office/drawing/2014/main" id="{00000000-0008-0000-3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9546" y="14206"/>
              <a:ext cx="870" cy="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12" descr="BDRSC012">
              <a:extLst>
                <a:ext uri="{FF2B5EF4-FFF2-40B4-BE49-F238E27FC236}">
                  <a16:creationId xmlns:a16="http://schemas.microsoft.com/office/drawing/2014/main" id="{00000000-0008-0000-3700-00000D000000}"/>
                </a:ext>
              </a:extLst>
            </xdr:cNvPr>
            <xdr:cNvPicPr>
              <a:picLocks noChangeAspect="1" noChangeArrowheads="1"/>
            </xdr:cNvPicPr>
          </xdr:nvPicPr>
          <xdr:blipFill>
            <a:blip xmlns:r="http://schemas.openxmlformats.org/officeDocument/2006/relationships" r:embed="rId3">
              <a:lum bright="6000" contrast="48000"/>
              <a:extLst>
                <a:ext uri="{28A0092B-C50C-407E-A947-70E740481C1C}">
                  <a14:useLocalDpi xmlns:a14="http://schemas.microsoft.com/office/drawing/2010/main" val="0"/>
                </a:ext>
              </a:extLst>
            </a:blip>
            <a:srcRect/>
            <a:stretch>
              <a:fillRect/>
            </a:stretch>
          </xdr:blipFill>
          <xdr:spPr bwMode="auto">
            <a:xfrm>
              <a:off x="10525" y="3323"/>
              <a:ext cx="140" cy="10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Picture 13" descr="BDRSC012">
              <a:extLst>
                <a:ext uri="{FF2B5EF4-FFF2-40B4-BE49-F238E27FC236}">
                  <a16:creationId xmlns:a16="http://schemas.microsoft.com/office/drawing/2014/main" id="{00000000-0008-0000-37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5" y="3323"/>
              <a:ext cx="140" cy="10339"/>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15" name="Picture 14" descr="J0105250">
              <a:extLst>
                <a:ext uri="{FF2B5EF4-FFF2-40B4-BE49-F238E27FC236}">
                  <a16:creationId xmlns:a16="http://schemas.microsoft.com/office/drawing/2014/main" id="{00000000-0008-0000-37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0" y="15149"/>
              <a:ext cx="4860"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Picture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72425" y="638175"/>
            <a:ext cx="1476581" cy="1324160"/>
          </a:xfrm>
          <a:prstGeom prst="rect">
            <a:avLst/>
          </a:prstGeom>
        </xdr:spPr>
      </xdr:pic>
      <xdr:pic>
        <xdr:nvPicPr>
          <xdr:cNvPr id="5" name="Picture 4">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10800000">
            <a:off x="2581275" y="9001125"/>
            <a:ext cx="1476581" cy="1324160"/>
          </a:xfrm>
          <a:prstGeom prst="rect">
            <a:avLst/>
          </a:prstGeom>
        </xdr:spPr>
      </xdr:pic>
      <xdr:pic>
        <xdr:nvPicPr>
          <xdr:cNvPr id="6" name="Picture 5">
            <a:extLst>
              <a:ext uri="{FF2B5EF4-FFF2-40B4-BE49-F238E27FC236}">
                <a16:creationId xmlns:a16="http://schemas.microsoft.com/office/drawing/2014/main" id="{00000000-0008-0000-3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81275" y="647700"/>
            <a:ext cx="1476190" cy="1323810"/>
          </a:xfrm>
          <a:prstGeom prst="rect">
            <a:avLst/>
          </a:prstGeom>
        </xdr:spPr>
      </xdr:pic>
      <xdr:pic>
        <xdr:nvPicPr>
          <xdr:cNvPr id="7" name="Picture 6">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10800000">
            <a:off x="8001000" y="9029700"/>
            <a:ext cx="1476190" cy="1323810"/>
          </a:xfrm>
          <a:prstGeom prst="rect">
            <a:avLst/>
          </a:prstGeom>
        </xdr:spPr>
      </xdr:pic>
    </xdr:grpSp>
    <xdr:clientData/>
  </xdr:twoCellAnchor>
  <xdr:twoCellAnchor>
    <xdr:from>
      <xdr:col>7</xdr:col>
      <xdr:colOff>619125</xdr:colOff>
      <xdr:row>7</xdr:row>
      <xdr:rowOff>38100</xdr:rowOff>
    </xdr:from>
    <xdr:to>
      <xdr:col>10</xdr:col>
      <xdr:colOff>9525</xdr:colOff>
      <xdr:row>7</xdr:row>
      <xdr:rowOff>38100</xdr:rowOff>
    </xdr:to>
    <xdr:cxnSp macro="">
      <xdr:nvCxnSpPr>
        <xdr:cNvPr id="16" name="Straight Connector 15">
          <a:extLst>
            <a:ext uri="{FF2B5EF4-FFF2-40B4-BE49-F238E27FC236}">
              <a16:creationId xmlns:a16="http://schemas.microsoft.com/office/drawing/2014/main" id="{00000000-0008-0000-3700-000010000000}"/>
            </a:ext>
          </a:extLst>
        </xdr:cNvPr>
        <xdr:cNvCxnSpPr/>
      </xdr:nvCxnSpPr>
      <xdr:spPr>
        <a:xfrm>
          <a:off x="6191250" y="1495425"/>
          <a:ext cx="17049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17</xdr:col>
          <xdr:colOff>85725</xdr:colOff>
          <xdr:row>0</xdr:row>
          <xdr:rowOff>38100</xdr:rowOff>
        </xdr:from>
        <xdr:to>
          <xdr:col>18</xdr:col>
          <xdr:colOff>57150</xdr:colOff>
          <xdr:row>2</xdr:row>
          <xdr:rowOff>95250</xdr:rowOff>
        </xdr:to>
        <xdr:sp macro="" textlink="">
          <xdr:nvSpPr>
            <xdr:cNvPr id="688129" name="Spinner 1" hidden="1">
              <a:extLst>
                <a:ext uri="{63B3BB69-23CF-44E3-9099-C40C66FF867C}">
                  <a14:compatExt spid="_x0000_s688129"/>
                </a:ext>
                <a:ext uri="{FF2B5EF4-FFF2-40B4-BE49-F238E27FC236}">
                  <a16:creationId xmlns:a16="http://schemas.microsoft.com/office/drawing/2014/main" id="{00000000-0008-0000-3700-00000180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9</xdr:col>
      <xdr:colOff>266700</xdr:colOff>
      <xdr:row>6</xdr:row>
      <xdr:rowOff>38100</xdr:rowOff>
    </xdr:from>
    <xdr:to>
      <xdr:col>11</xdr:col>
      <xdr:colOff>733425</xdr:colOff>
      <xdr:row>6</xdr:row>
      <xdr:rowOff>38100</xdr:rowOff>
    </xdr:to>
    <xdr:cxnSp macro="">
      <xdr:nvCxnSpPr>
        <xdr:cNvPr id="2" name="Straight Connector 1">
          <a:extLst>
            <a:ext uri="{FF2B5EF4-FFF2-40B4-BE49-F238E27FC236}">
              <a16:creationId xmlns:a16="http://schemas.microsoft.com/office/drawing/2014/main" id="{00000000-0008-0000-3800-000002000000}"/>
            </a:ext>
          </a:extLst>
        </xdr:cNvPr>
        <xdr:cNvCxnSpPr/>
      </xdr:nvCxnSpPr>
      <xdr:spPr>
        <a:xfrm>
          <a:off x="5581650" y="990600"/>
          <a:ext cx="20097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266700</xdr:colOff>
      <xdr:row>6</xdr:row>
      <xdr:rowOff>38100</xdr:rowOff>
    </xdr:from>
    <xdr:to>
      <xdr:col>11</xdr:col>
      <xdr:colOff>733425</xdr:colOff>
      <xdr:row>6</xdr:row>
      <xdr:rowOff>38100</xdr:rowOff>
    </xdr:to>
    <xdr:cxnSp macro="">
      <xdr:nvCxnSpPr>
        <xdr:cNvPr id="2" name="Straight Connector 1">
          <a:extLst>
            <a:ext uri="{FF2B5EF4-FFF2-40B4-BE49-F238E27FC236}">
              <a16:creationId xmlns:a16="http://schemas.microsoft.com/office/drawing/2014/main" id="{00000000-0008-0000-3900-000002000000}"/>
            </a:ext>
          </a:extLst>
        </xdr:cNvPr>
        <xdr:cNvCxnSpPr/>
      </xdr:nvCxnSpPr>
      <xdr:spPr>
        <a:xfrm>
          <a:off x="5429250" y="990600"/>
          <a:ext cx="1943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228600</xdr:colOff>
      <xdr:row>6</xdr:row>
      <xdr:rowOff>85725</xdr:rowOff>
    </xdr:from>
    <xdr:to>
      <xdr:col>11</xdr:col>
      <xdr:colOff>504825</xdr:colOff>
      <xdr:row>6</xdr:row>
      <xdr:rowOff>85725</xdr:rowOff>
    </xdr:to>
    <xdr:cxnSp macro="">
      <xdr:nvCxnSpPr>
        <xdr:cNvPr id="2" name="Straight Connector 1">
          <a:extLst>
            <a:ext uri="{FF2B5EF4-FFF2-40B4-BE49-F238E27FC236}">
              <a16:creationId xmlns:a16="http://schemas.microsoft.com/office/drawing/2014/main" id="{00000000-0008-0000-3B00-000002000000}"/>
            </a:ext>
          </a:extLst>
        </xdr:cNvPr>
        <xdr:cNvCxnSpPr/>
      </xdr:nvCxnSpPr>
      <xdr:spPr>
        <a:xfrm>
          <a:off x="5438775" y="1419225"/>
          <a:ext cx="2066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228600</xdr:colOff>
      <xdr:row>6</xdr:row>
      <xdr:rowOff>85725</xdr:rowOff>
    </xdr:from>
    <xdr:to>
      <xdr:col>11</xdr:col>
      <xdr:colOff>504825</xdr:colOff>
      <xdr:row>6</xdr:row>
      <xdr:rowOff>85725</xdr:rowOff>
    </xdr:to>
    <xdr:cxnSp macro="">
      <xdr:nvCxnSpPr>
        <xdr:cNvPr id="2" name="Straight Connector 1">
          <a:extLst>
            <a:ext uri="{FF2B5EF4-FFF2-40B4-BE49-F238E27FC236}">
              <a16:creationId xmlns:a16="http://schemas.microsoft.com/office/drawing/2014/main" id="{00000000-0008-0000-3C00-000002000000}"/>
            </a:ext>
          </a:extLst>
        </xdr:cNvPr>
        <xdr:cNvCxnSpPr/>
      </xdr:nvCxnSpPr>
      <xdr:spPr>
        <a:xfrm>
          <a:off x="5286375" y="1419225"/>
          <a:ext cx="2066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228600</xdr:colOff>
      <xdr:row>6</xdr:row>
      <xdr:rowOff>85725</xdr:rowOff>
    </xdr:from>
    <xdr:to>
      <xdr:col>11</xdr:col>
      <xdr:colOff>504825</xdr:colOff>
      <xdr:row>6</xdr:row>
      <xdr:rowOff>85725</xdr:rowOff>
    </xdr:to>
    <xdr:cxnSp macro="">
      <xdr:nvCxnSpPr>
        <xdr:cNvPr id="2" name="Straight Connector 1">
          <a:extLst>
            <a:ext uri="{FF2B5EF4-FFF2-40B4-BE49-F238E27FC236}">
              <a16:creationId xmlns:a16="http://schemas.microsoft.com/office/drawing/2014/main" id="{00000000-0008-0000-3D00-000002000000}"/>
            </a:ext>
          </a:extLst>
        </xdr:cNvPr>
        <xdr:cNvCxnSpPr/>
      </xdr:nvCxnSpPr>
      <xdr:spPr>
        <a:xfrm>
          <a:off x="5286375" y="1419225"/>
          <a:ext cx="2066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704850</xdr:colOff>
      <xdr:row>7</xdr:row>
      <xdr:rowOff>76200</xdr:rowOff>
    </xdr:from>
    <xdr:to>
      <xdr:col>7</xdr:col>
      <xdr:colOff>19050</xdr:colOff>
      <xdr:row>7</xdr:row>
      <xdr:rowOff>76200</xdr:rowOff>
    </xdr:to>
    <xdr:cxnSp macro="">
      <xdr:nvCxnSpPr>
        <xdr:cNvPr id="3" name="Straight Connector 2">
          <a:extLst>
            <a:ext uri="{FF2B5EF4-FFF2-40B4-BE49-F238E27FC236}">
              <a16:creationId xmlns:a16="http://schemas.microsoft.com/office/drawing/2014/main" id="{00000000-0008-0000-3F00-000003000000}"/>
            </a:ext>
          </a:extLst>
        </xdr:cNvPr>
        <xdr:cNvCxnSpPr/>
      </xdr:nvCxnSpPr>
      <xdr:spPr>
        <a:xfrm>
          <a:off x="3152775" y="1552575"/>
          <a:ext cx="1600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4</xdr:row>
          <xdr:rowOff>28575</xdr:rowOff>
        </xdr:from>
        <xdr:to>
          <xdr:col>1</xdr:col>
          <xdr:colOff>466725</xdr:colOff>
          <xdr:row>4</xdr:row>
          <xdr:rowOff>276225</xdr:rowOff>
        </xdr:to>
        <xdr:sp macro="" textlink="">
          <xdr:nvSpPr>
            <xdr:cNvPr id="562178" name="CommandButton1" hidden="1">
              <a:extLst>
                <a:ext uri="{63B3BB69-23CF-44E3-9099-C40C66FF867C}">
                  <a14:compatExt spid="_x0000_s562178"/>
                </a:ext>
                <a:ext uri="{FF2B5EF4-FFF2-40B4-BE49-F238E27FC236}">
                  <a16:creationId xmlns:a16="http://schemas.microsoft.com/office/drawing/2014/main" id="{00000000-0008-0000-0E00-0000029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95250</xdr:colOff>
          <xdr:row>1</xdr:row>
          <xdr:rowOff>180975</xdr:rowOff>
        </xdr:from>
        <xdr:to>
          <xdr:col>3</xdr:col>
          <xdr:colOff>333375</xdr:colOff>
          <xdr:row>4</xdr:row>
          <xdr:rowOff>57150</xdr:rowOff>
        </xdr:to>
        <xdr:sp macro="" textlink="">
          <xdr:nvSpPr>
            <xdr:cNvPr id="739329" name="Spinner 1" hidden="1">
              <a:extLst>
                <a:ext uri="{63B3BB69-23CF-44E3-9099-C40C66FF867C}">
                  <a14:compatExt spid="_x0000_s739329"/>
                </a:ext>
                <a:ext uri="{FF2B5EF4-FFF2-40B4-BE49-F238E27FC236}">
                  <a16:creationId xmlns:a16="http://schemas.microsoft.com/office/drawing/2014/main" id="{00000000-0008-0000-4300-00000148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114300</xdr:rowOff>
        </xdr:from>
        <xdr:to>
          <xdr:col>3</xdr:col>
          <xdr:colOff>371475</xdr:colOff>
          <xdr:row>3</xdr:row>
          <xdr:rowOff>180975</xdr:rowOff>
        </xdr:to>
        <xdr:sp macro="" textlink="">
          <xdr:nvSpPr>
            <xdr:cNvPr id="738305" name="Spinner 1" hidden="1">
              <a:extLst>
                <a:ext uri="{63B3BB69-23CF-44E3-9099-C40C66FF867C}">
                  <a14:compatExt spid="_x0000_s738305"/>
                </a:ext>
                <a:ext uri="{FF2B5EF4-FFF2-40B4-BE49-F238E27FC236}">
                  <a16:creationId xmlns:a16="http://schemas.microsoft.com/office/drawing/2014/main" id="{00000000-0008-0000-4400-00000144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8</xdr:col>
      <xdr:colOff>466725</xdr:colOff>
      <xdr:row>6</xdr:row>
      <xdr:rowOff>38100</xdr:rowOff>
    </xdr:from>
    <xdr:to>
      <xdr:col>12</xdr:col>
      <xdr:colOff>76200</xdr:colOff>
      <xdr:row>6</xdr:row>
      <xdr:rowOff>38100</xdr:rowOff>
    </xdr:to>
    <xdr:cxnSp macro="">
      <xdr:nvCxnSpPr>
        <xdr:cNvPr id="3" name="Straight Connector 2">
          <a:extLst>
            <a:ext uri="{FF2B5EF4-FFF2-40B4-BE49-F238E27FC236}">
              <a16:creationId xmlns:a16="http://schemas.microsoft.com/office/drawing/2014/main" id="{00000000-0008-0000-4800-000003000000}"/>
            </a:ext>
          </a:extLst>
        </xdr:cNvPr>
        <xdr:cNvCxnSpPr/>
      </xdr:nvCxnSpPr>
      <xdr:spPr>
        <a:xfrm>
          <a:off x="5553075" y="990600"/>
          <a:ext cx="1828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0</xdr:row>
          <xdr:rowOff>0</xdr:rowOff>
        </xdr:from>
        <xdr:to>
          <xdr:col>2</xdr:col>
          <xdr:colOff>771525</xdr:colOff>
          <xdr:row>1</xdr:row>
          <xdr:rowOff>0</xdr:rowOff>
        </xdr:to>
        <xdr:sp macro="" textlink="">
          <xdr:nvSpPr>
            <xdr:cNvPr id="550913" name="Button 1" hidden="1">
              <a:extLst>
                <a:ext uri="{63B3BB69-23CF-44E3-9099-C40C66FF867C}">
                  <a14:compatExt spid="_x0000_s550913"/>
                </a:ext>
                <a:ext uri="{FF2B5EF4-FFF2-40B4-BE49-F238E27FC236}">
                  <a16:creationId xmlns:a16="http://schemas.microsoft.com/office/drawing/2014/main" id="{00000000-0008-0000-4900-0000016808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300" b="0" i="0" u="none" strike="noStrike" baseline="0">
                  <a:solidFill>
                    <a:srgbClr val="000000"/>
                  </a:solidFill>
                  <a:latin typeface="Times New Roman"/>
                  <a:cs typeface="Times New Roman"/>
                </a:rPr>
                <a:t>Edit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4</xdr:row>
          <xdr:rowOff>19050</xdr:rowOff>
        </xdr:from>
        <xdr:to>
          <xdr:col>1</xdr:col>
          <xdr:colOff>323850</xdr:colOff>
          <xdr:row>4</xdr:row>
          <xdr:rowOff>276225</xdr:rowOff>
        </xdr:to>
        <xdr:sp macro="" textlink="">
          <xdr:nvSpPr>
            <xdr:cNvPr id="563201" name="CommandButton1" hidden="1">
              <a:extLst>
                <a:ext uri="{63B3BB69-23CF-44E3-9099-C40C66FF867C}">
                  <a14:compatExt spid="_x0000_s563201"/>
                </a:ext>
                <a:ext uri="{FF2B5EF4-FFF2-40B4-BE49-F238E27FC236}">
                  <a16:creationId xmlns:a16="http://schemas.microsoft.com/office/drawing/2014/main" id="{00000000-0008-0000-0F00-00000198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4</xdr:row>
          <xdr:rowOff>19050</xdr:rowOff>
        </xdr:from>
        <xdr:to>
          <xdr:col>1</xdr:col>
          <xdr:colOff>466725</xdr:colOff>
          <xdr:row>4</xdr:row>
          <xdr:rowOff>276225</xdr:rowOff>
        </xdr:to>
        <xdr:sp macro="" textlink="">
          <xdr:nvSpPr>
            <xdr:cNvPr id="564225" name="CommandButton1" hidden="1">
              <a:extLst>
                <a:ext uri="{63B3BB69-23CF-44E3-9099-C40C66FF867C}">
                  <a14:compatExt spid="_x0000_s564225"/>
                </a:ext>
                <a:ext uri="{FF2B5EF4-FFF2-40B4-BE49-F238E27FC236}">
                  <a16:creationId xmlns:a16="http://schemas.microsoft.com/office/drawing/2014/main" id="{00000000-0008-0000-1000-0000019C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xdr:row>
          <xdr:rowOff>19050</xdr:rowOff>
        </xdr:from>
        <xdr:to>
          <xdr:col>1</xdr:col>
          <xdr:colOff>438150</xdr:colOff>
          <xdr:row>4</xdr:row>
          <xdr:rowOff>285750</xdr:rowOff>
        </xdr:to>
        <xdr:sp macro="" textlink="">
          <xdr:nvSpPr>
            <xdr:cNvPr id="566273" name="CommandButton1" hidden="1">
              <a:extLst>
                <a:ext uri="{63B3BB69-23CF-44E3-9099-C40C66FF867C}">
                  <a14:compatExt spid="_x0000_s566273"/>
                </a:ext>
                <a:ext uri="{FF2B5EF4-FFF2-40B4-BE49-F238E27FC236}">
                  <a16:creationId xmlns:a16="http://schemas.microsoft.com/office/drawing/2014/main" id="{00000000-0008-0000-1200-000001A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76200</xdr:colOff>
          <xdr:row>0</xdr:row>
          <xdr:rowOff>95250</xdr:rowOff>
        </xdr:from>
        <xdr:to>
          <xdr:col>10</xdr:col>
          <xdr:colOff>752475</xdr:colOff>
          <xdr:row>1</xdr:row>
          <xdr:rowOff>152400</xdr:rowOff>
        </xdr:to>
        <xdr:sp macro="" textlink="">
          <xdr:nvSpPr>
            <xdr:cNvPr id="790529" name="Button 1" hidden="1">
              <a:extLst>
                <a:ext uri="{63B3BB69-23CF-44E3-9099-C40C66FF867C}">
                  <a14:compatExt spid="_x0000_s790529"/>
                </a:ext>
                <a:ext uri="{FF2B5EF4-FFF2-40B4-BE49-F238E27FC236}">
                  <a16:creationId xmlns:a16="http://schemas.microsoft.com/office/drawing/2014/main" id="{00000000-0008-0000-2700-0000011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300" b="0" i="0" u="none" strike="noStrike" baseline="0">
                  <a:solidFill>
                    <a:srgbClr val="000000"/>
                  </a:solidFill>
                  <a:latin typeface="Times New Roman"/>
                  <a:cs typeface="Times New Roman"/>
                </a:rPr>
                <a:t>Chỉnh chieu cao</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209550</xdr:colOff>
          <xdr:row>0</xdr:row>
          <xdr:rowOff>85725</xdr:rowOff>
        </xdr:from>
        <xdr:to>
          <xdr:col>17</xdr:col>
          <xdr:colOff>200025</xdr:colOff>
          <xdr:row>2</xdr:row>
          <xdr:rowOff>133350</xdr:rowOff>
        </xdr:to>
        <xdr:sp macro="" textlink="">
          <xdr:nvSpPr>
            <xdr:cNvPr id="33793" name="Spinner 1" hidden="1">
              <a:extLst>
                <a:ext uri="{63B3BB69-23CF-44E3-9099-C40C66FF867C}">
                  <a14:compatExt spid="_x0000_s33793"/>
                </a:ext>
                <a:ext uri="{FF2B5EF4-FFF2-40B4-BE49-F238E27FC236}">
                  <a16:creationId xmlns:a16="http://schemas.microsoft.com/office/drawing/2014/main" id="{00000000-0008-0000-2800-0000018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7</xdr:col>
      <xdr:colOff>476250</xdr:colOff>
      <xdr:row>111</xdr:row>
      <xdr:rowOff>47625</xdr:rowOff>
    </xdr:from>
    <xdr:to>
      <xdr:col>7</xdr:col>
      <xdr:colOff>676275</xdr:colOff>
      <xdr:row>111</xdr:row>
      <xdr:rowOff>209550</xdr:rowOff>
    </xdr:to>
    <xdr:sp macro="" textlink="">
      <xdr:nvSpPr>
        <xdr:cNvPr id="7" name="Rectangle 19">
          <a:extLst>
            <a:ext uri="{FF2B5EF4-FFF2-40B4-BE49-F238E27FC236}">
              <a16:creationId xmlns:a16="http://schemas.microsoft.com/office/drawing/2014/main" id="{00000000-0008-0000-2800-000007000000}"/>
            </a:ext>
          </a:extLst>
        </xdr:cNvPr>
        <xdr:cNvSpPr>
          <a:spLocks noChangeArrowheads="1"/>
        </xdr:cNvSpPr>
      </xdr:nvSpPr>
      <xdr:spPr bwMode="auto">
        <a:xfrm>
          <a:off x="5638800" y="20602575"/>
          <a:ext cx="200025" cy="161925"/>
        </a:xfrm>
        <a:prstGeom prst="rect">
          <a:avLst/>
        </a:prstGeom>
        <a:solidFill>
          <a:srgbClr val="FFFFFF"/>
        </a:solidFill>
        <a:ln w="9525">
          <a:solidFill>
            <a:srgbClr val="000000"/>
          </a:solidFill>
          <a:miter lim="800000"/>
          <a:headEnd/>
          <a:tailEnd/>
        </a:ln>
      </xdr:spPr>
    </xdr:sp>
    <xdr:clientData/>
  </xdr:twoCellAnchor>
  <xdr:twoCellAnchor>
    <xdr:from>
      <xdr:col>7</xdr:col>
      <xdr:colOff>476250</xdr:colOff>
      <xdr:row>110</xdr:row>
      <xdr:rowOff>38100</xdr:rowOff>
    </xdr:from>
    <xdr:to>
      <xdr:col>7</xdr:col>
      <xdr:colOff>676275</xdr:colOff>
      <xdr:row>110</xdr:row>
      <xdr:rowOff>200025</xdr:rowOff>
    </xdr:to>
    <xdr:sp macro="" textlink="">
      <xdr:nvSpPr>
        <xdr:cNvPr id="8" name="Rectangle 19">
          <a:extLst>
            <a:ext uri="{FF2B5EF4-FFF2-40B4-BE49-F238E27FC236}">
              <a16:creationId xmlns:a16="http://schemas.microsoft.com/office/drawing/2014/main" id="{00000000-0008-0000-2800-000008000000}"/>
            </a:ext>
          </a:extLst>
        </xdr:cNvPr>
        <xdr:cNvSpPr>
          <a:spLocks noChangeArrowheads="1"/>
        </xdr:cNvSpPr>
      </xdr:nvSpPr>
      <xdr:spPr bwMode="auto">
        <a:xfrm>
          <a:off x="5638800" y="20354925"/>
          <a:ext cx="200025" cy="161925"/>
        </a:xfrm>
        <a:prstGeom prst="rect">
          <a:avLst/>
        </a:prstGeom>
        <a:solidFill>
          <a:srgbClr val="FFFFFF"/>
        </a:solidFill>
        <a:ln w="9525">
          <a:solidFill>
            <a:srgbClr val="000000"/>
          </a:solidFill>
          <a:miter lim="800000"/>
          <a:headEnd/>
          <a:tailEnd/>
        </a:ln>
      </xdr:spPr>
      <xdr:txBody>
        <a:bodyPr anchor="ctr"/>
        <a:lstStyle/>
        <a:p>
          <a:pPr algn="ctr"/>
          <a:r>
            <a:rPr lang="en-US">
              <a:sym typeface="Wingdings" panose="05000000000000000000" pitchFamily="2" charset="2"/>
            </a:rPr>
            <a:t></a:t>
          </a:r>
          <a:endParaRPr lang="en-US"/>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209550</xdr:colOff>
          <xdr:row>0</xdr:row>
          <xdr:rowOff>85725</xdr:rowOff>
        </xdr:from>
        <xdr:to>
          <xdr:col>17</xdr:col>
          <xdr:colOff>200025</xdr:colOff>
          <xdr:row>2</xdr:row>
          <xdr:rowOff>133350</xdr:rowOff>
        </xdr:to>
        <xdr:sp macro="" textlink="">
          <xdr:nvSpPr>
            <xdr:cNvPr id="102401" name="Spinner 1" hidden="1">
              <a:extLst>
                <a:ext uri="{63B3BB69-23CF-44E3-9099-C40C66FF867C}">
                  <a14:compatExt spid="_x0000_s102401"/>
                </a:ext>
                <a:ext uri="{FF2B5EF4-FFF2-40B4-BE49-F238E27FC236}">
                  <a16:creationId xmlns:a16="http://schemas.microsoft.com/office/drawing/2014/main" id="{00000000-0008-0000-2900-00000190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7</xdr:col>
      <xdr:colOff>476250</xdr:colOff>
      <xdr:row>110</xdr:row>
      <xdr:rowOff>47625</xdr:rowOff>
    </xdr:from>
    <xdr:to>
      <xdr:col>7</xdr:col>
      <xdr:colOff>676275</xdr:colOff>
      <xdr:row>110</xdr:row>
      <xdr:rowOff>209550</xdr:rowOff>
    </xdr:to>
    <xdr:sp macro="" textlink="">
      <xdr:nvSpPr>
        <xdr:cNvPr id="4" name="Rectangle 19">
          <a:extLst>
            <a:ext uri="{FF2B5EF4-FFF2-40B4-BE49-F238E27FC236}">
              <a16:creationId xmlns:a16="http://schemas.microsoft.com/office/drawing/2014/main" id="{00000000-0008-0000-2900-000004000000}"/>
            </a:ext>
          </a:extLst>
        </xdr:cNvPr>
        <xdr:cNvSpPr>
          <a:spLocks noChangeArrowheads="1"/>
        </xdr:cNvSpPr>
      </xdr:nvSpPr>
      <xdr:spPr bwMode="auto">
        <a:xfrm>
          <a:off x="5210175" y="20764500"/>
          <a:ext cx="200025" cy="161925"/>
        </a:xfrm>
        <a:prstGeom prst="rect">
          <a:avLst/>
        </a:prstGeom>
        <a:solidFill>
          <a:srgbClr val="FFFFFF"/>
        </a:solidFill>
        <a:ln w="9525">
          <a:solidFill>
            <a:srgbClr val="000000"/>
          </a:solidFill>
          <a:miter lim="800000"/>
          <a:headEnd/>
          <a:tailEnd/>
        </a:ln>
      </xdr:spPr>
    </xdr:sp>
    <xdr:clientData/>
  </xdr:twoCellAnchor>
  <xdr:twoCellAnchor>
    <xdr:from>
      <xdr:col>7</xdr:col>
      <xdr:colOff>476250</xdr:colOff>
      <xdr:row>109</xdr:row>
      <xdr:rowOff>38100</xdr:rowOff>
    </xdr:from>
    <xdr:to>
      <xdr:col>7</xdr:col>
      <xdr:colOff>676275</xdr:colOff>
      <xdr:row>109</xdr:row>
      <xdr:rowOff>200025</xdr:rowOff>
    </xdr:to>
    <xdr:sp macro="" textlink="">
      <xdr:nvSpPr>
        <xdr:cNvPr id="5" name="Rectangle 19">
          <a:extLst>
            <a:ext uri="{FF2B5EF4-FFF2-40B4-BE49-F238E27FC236}">
              <a16:creationId xmlns:a16="http://schemas.microsoft.com/office/drawing/2014/main" id="{00000000-0008-0000-2900-000005000000}"/>
            </a:ext>
          </a:extLst>
        </xdr:cNvPr>
        <xdr:cNvSpPr>
          <a:spLocks noChangeArrowheads="1"/>
        </xdr:cNvSpPr>
      </xdr:nvSpPr>
      <xdr:spPr bwMode="auto">
        <a:xfrm>
          <a:off x="5210175" y="20516850"/>
          <a:ext cx="200025" cy="161925"/>
        </a:xfrm>
        <a:prstGeom prst="rect">
          <a:avLst/>
        </a:prstGeom>
        <a:solidFill>
          <a:srgbClr val="FFFFFF"/>
        </a:solidFill>
        <a:ln w="9525">
          <a:solidFill>
            <a:srgbClr val="000000"/>
          </a:solidFill>
          <a:miter lim="800000"/>
          <a:headEnd/>
          <a:tailEnd/>
        </a:ln>
      </xdr:spPr>
      <xdr:txBody>
        <a:bodyPr anchor="ctr"/>
        <a:lstStyle/>
        <a:p>
          <a:pPr algn="ctr"/>
          <a:r>
            <a:rPr lang="en-US">
              <a:sym typeface="Wingdings 2" panose="05020102010507070707" pitchFamily="18" charset="2"/>
            </a:rPr>
            <a:t></a:t>
          </a: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15.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1.emf"/></Relationships>
</file>

<file path=xl/worksheets/_rels/sheet16.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17.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3.emf"/></Relationships>
</file>

<file path=xl/worksheets/_rels/sheet19.xml.rels><?xml version="1.0" encoding="UTF-8" standalone="yes"?>
<Relationships xmlns="http://schemas.openxmlformats.org/package/2006/relationships"><Relationship Id="rId3" Type="http://schemas.openxmlformats.org/officeDocument/2006/relationships/control" Target="../activeX/activeX4.xml"/><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4.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accuweather.com/vi/vn/nam-bon/354285/"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trlProp" Target="../ctrlProps/ctrlProp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trlProp" Target="../ctrlProps/ctrlProp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trlProp" Target="../ctrlProps/ctrlProp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trlProp" Target="../ctrlProps/ctrlProp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trlProp" Target="../ctrlProps/ctrlProp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trlProp" Target="../ctrlProps/ctrlProp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trlProp" Target="../ctrlProps/ctrlProp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trlProp" Target="../ctrlProps/ctrlProp1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trlProp" Target="../ctrlProps/ctrlProp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trlProp" Target="../ctrlProps/ctrlProp1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trlProp" Target="../ctrlProps/ctrlProp1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trlProp" Target="../ctrlProps/ctrlProp1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trlProp" Target="../ctrlProps/ctrlProp1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trlProp" Target="../ctrlProps/ctrlProp1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trlProp" Target="../ctrlProps/ctrlProp1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trlProp" Target="../ctrlProps/ctrlProp1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9.bin"/><Relationship Id="rId4" Type="http://schemas.openxmlformats.org/officeDocument/2006/relationships/ctrlProp" Target="../ctrlProps/ctrlProp2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trlProp" Target="../ctrlProps/ctrlProp2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74.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26.vml"/><Relationship Id="rId1" Type="http://schemas.openxmlformats.org/officeDocument/2006/relationships/drawing" Target="../drawings/drawing3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sheetPr>
  <dimension ref="A1:D368"/>
  <sheetViews>
    <sheetView workbookViewId="0">
      <pane xSplit="4" ySplit="2" topLeftCell="E48" activePane="bottomRight" state="frozen"/>
      <selection pane="topRight" activeCell="E1" sqref="E1"/>
      <selection pane="bottomLeft" activeCell="A3" sqref="A3"/>
      <selection pane="bottomRight" activeCell="C35" sqref="C35"/>
    </sheetView>
  </sheetViews>
  <sheetFormatPr defaultRowHeight="16.5"/>
  <cols>
    <col min="1" max="1" width="10.88671875" style="121" bestFit="1" customWidth="1"/>
    <col min="2" max="2" width="44.6640625" style="121" customWidth="1"/>
    <col min="3" max="3" width="45" style="121" customWidth="1"/>
    <col min="4" max="4" width="27.109375" style="121" customWidth="1"/>
    <col min="5" max="16384" width="8.88671875" style="123"/>
  </cols>
  <sheetData>
    <row r="1" spans="1:4" ht="25.5">
      <c r="A1" s="1313" t="s">
        <v>24</v>
      </c>
      <c r="B1" s="1314"/>
      <c r="C1" s="1314"/>
      <c r="D1" s="1315"/>
    </row>
    <row r="2" spans="1:4">
      <c r="A2" s="182" t="s">
        <v>22</v>
      </c>
      <c r="B2" s="182" t="s">
        <v>23</v>
      </c>
      <c r="C2" s="182" t="s">
        <v>146</v>
      </c>
      <c r="D2" s="182" t="s">
        <v>147</v>
      </c>
    </row>
    <row r="3" spans="1:4">
      <c r="A3" s="839" t="s">
        <v>3837</v>
      </c>
      <c r="B3" s="839" t="s">
        <v>170</v>
      </c>
      <c r="C3" s="839"/>
      <c r="D3" s="839"/>
    </row>
    <row r="4" spans="1:4">
      <c r="A4" s="840" t="s">
        <v>3838</v>
      </c>
      <c r="B4" s="840" t="s">
        <v>3839</v>
      </c>
      <c r="C4" s="840"/>
      <c r="D4" s="840"/>
    </row>
    <row r="5" spans="1:4">
      <c r="A5" s="840" t="s">
        <v>282</v>
      </c>
      <c r="B5" s="840" t="s">
        <v>3840</v>
      </c>
      <c r="C5" s="840"/>
      <c r="D5" s="840"/>
    </row>
    <row r="6" spans="1:4" ht="33">
      <c r="A6" s="840" t="s">
        <v>1107</v>
      </c>
      <c r="B6" s="840" t="s">
        <v>3478</v>
      </c>
      <c r="C6" s="840" t="s">
        <v>3851</v>
      </c>
      <c r="D6" s="840"/>
    </row>
    <row r="7" spans="1:4" ht="33">
      <c r="A7" s="840" t="s">
        <v>1117</v>
      </c>
      <c r="B7" s="840" t="s">
        <v>3479</v>
      </c>
      <c r="C7" s="840" t="s">
        <v>3851</v>
      </c>
      <c r="D7" s="840"/>
    </row>
    <row r="8" spans="1:4">
      <c r="A8" s="840" t="s">
        <v>1123</v>
      </c>
      <c r="B8" s="840" t="s">
        <v>3480</v>
      </c>
      <c r="C8" s="840" t="s">
        <v>3851</v>
      </c>
      <c r="D8" s="840"/>
    </row>
    <row r="9" spans="1:4">
      <c r="A9" s="840" t="s">
        <v>1130</v>
      </c>
      <c r="B9" s="840" t="s">
        <v>3481</v>
      </c>
      <c r="C9" s="840" t="s">
        <v>3851</v>
      </c>
      <c r="D9" s="840"/>
    </row>
    <row r="10" spans="1:4">
      <c r="A10" s="840" t="s">
        <v>1140</v>
      </c>
      <c r="B10" s="840" t="s">
        <v>3482</v>
      </c>
      <c r="C10" s="840" t="s">
        <v>3851</v>
      </c>
      <c r="D10" s="840"/>
    </row>
    <row r="11" spans="1:4" ht="33">
      <c r="A11" s="840" t="s">
        <v>1167</v>
      </c>
      <c r="B11" s="840" t="s">
        <v>3484</v>
      </c>
      <c r="C11" s="840" t="s">
        <v>3851</v>
      </c>
      <c r="D11" s="840"/>
    </row>
    <row r="12" spans="1:4">
      <c r="A12" s="840" t="s">
        <v>1170</v>
      </c>
      <c r="B12" s="840" t="s">
        <v>3485</v>
      </c>
      <c r="C12" s="840" t="s">
        <v>3851</v>
      </c>
      <c r="D12" s="840"/>
    </row>
    <row r="13" spans="1:4" ht="33">
      <c r="A13" s="840" t="s">
        <v>1175</v>
      </c>
      <c r="B13" s="840" t="s">
        <v>3487</v>
      </c>
      <c r="C13" s="840" t="s">
        <v>3851</v>
      </c>
      <c r="D13" s="840"/>
    </row>
    <row r="14" spans="1:4" ht="33">
      <c r="A14" s="840" t="s">
        <v>1187</v>
      </c>
      <c r="B14" s="840" t="s">
        <v>3488</v>
      </c>
      <c r="C14" s="840" t="s">
        <v>4431</v>
      </c>
      <c r="D14" s="840"/>
    </row>
    <row r="15" spans="1:4" ht="33">
      <c r="A15" s="840" t="s">
        <v>1205</v>
      </c>
      <c r="B15" s="840" t="s">
        <v>3489</v>
      </c>
      <c r="C15" s="840" t="s">
        <v>4431</v>
      </c>
      <c r="D15" s="840"/>
    </row>
    <row r="16" spans="1:4" ht="33">
      <c r="A16" s="840" t="s">
        <v>82</v>
      </c>
      <c r="B16" s="840" t="s">
        <v>3490</v>
      </c>
      <c r="C16" s="840" t="s">
        <v>4431</v>
      </c>
      <c r="D16" s="840"/>
    </row>
    <row r="17" spans="1:4" ht="33">
      <c r="A17" s="840" t="s">
        <v>1209</v>
      </c>
      <c r="B17" s="840" t="s">
        <v>3491</v>
      </c>
      <c r="C17" s="840" t="s">
        <v>4431</v>
      </c>
      <c r="D17" s="840"/>
    </row>
    <row r="18" spans="1:4" ht="33">
      <c r="A18" s="840" t="s">
        <v>1218</v>
      </c>
      <c r="B18" s="840" t="s">
        <v>3492</v>
      </c>
      <c r="C18" s="840" t="s">
        <v>4431</v>
      </c>
      <c r="D18" s="840"/>
    </row>
    <row r="19" spans="1:4" ht="33">
      <c r="A19" s="840" t="s">
        <v>1226</v>
      </c>
      <c r="B19" s="840" t="s">
        <v>3493</v>
      </c>
      <c r="C19" s="840" t="s">
        <v>4431</v>
      </c>
      <c r="D19" s="840"/>
    </row>
    <row r="20" spans="1:4" ht="49.5">
      <c r="A20" s="840" t="s">
        <v>1231</v>
      </c>
      <c r="B20" s="840" t="s">
        <v>3494</v>
      </c>
      <c r="C20" s="840" t="s">
        <v>4431</v>
      </c>
      <c r="D20" s="840"/>
    </row>
    <row r="21" spans="1:4" ht="33">
      <c r="A21" s="840" t="s">
        <v>1233</v>
      </c>
      <c r="B21" s="840" t="s">
        <v>3495</v>
      </c>
      <c r="C21" s="840" t="s">
        <v>4431</v>
      </c>
      <c r="D21" s="840"/>
    </row>
    <row r="22" spans="1:4" ht="33">
      <c r="A22" s="840" t="s">
        <v>1238</v>
      </c>
      <c r="B22" s="840" t="s">
        <v>3496</v>
      </c>
      <c r="C22" s="840" t="s">
        <v>4431</v>
      </c>
      <c r="D22" s="840"/>
    </row>
    <row r="23" spans="1:4" ht="33">
      <c r="A23" s="840" t="s">
        <v>1240</v>
      </c>
      <c r="B23" s="840" t="s">
        <v>3497</v>
      </c>
      <c r="C23" s="840" t="s">
        <v>4431</v>
      </c>
      <c r="D23" s="840"/>
    </row>
    <row r="24" spans="1:4" ht="33">
      <c r="A24" s="840" t="s">
        <v>1246</v>
      </c>
      <c r="B24" s="840" t="s">
        <v>3498</v>
      </c>
      <c r="C24" s="840" t="s">
        <v>5406</v>
      </c>
      <c r="D24" s="840"/>
    </row>
    <row r="25" spans="1:4" ht="33">
      <c r="A25" s="840" t="s">
        <v>1249</v>
      </c>
      <c r="B25" s="840" t="s">
        <v>3499</v>
      </c>
      <c r="C25" s="840" t="s">
        <v>4431</v>
      </c>
      <c r="D25" s="840"/>
    </row>
    <row r="26" spans="1:4" ht="33">
      <c r="A26" s="840" t="s">
        <v>1252</v>
      </c>
      <c r="B26" s="840" t="s">
        <v>3500</v>
      </c>
      <c r="C26" s="840" t="s">
        <v>4431</v>
      </c>
      <c r="D26" s="840"/>
    </row>
    <row r="27" spans="1:4" ht="33">
      <c r="A27" s="840" t="s">
        <v>1631</v>
      </c>
      <c r="B27" s="840" t="s">
        <v>3501</v>
      </c>
      <c r="C27" s="840" t="s">
        <v>3850</v>
      </c>
      <c r="D27" s="840" t="s">
        <v>402</v>
      </c>
    </row>
    <row r="28" spans="1:4" ht="33">
      <c r="A28" s="840" t="s">
        <v>1648</v>
      </c>
      <c r="B28" s="840" t="s">
        <v>3502</v>
      </c>
      <c r="C28" s="840" t="s">
        <v>3850</v>
      </c>
      <c r="D28" s="840" t="s">
        <v>402</v>
      </c>
    </row>
    <row r="29" spans="1:4" ht="49.5">
      <c r="A29" s="840" t="s">
        <v>1680</v>
      </c>
      <c r="B29" s="840" t="s">
        <v>3503</v>
      </c>
      <c r="C29" s="840" t="s">
        <v>3849</v>
      </c>
      <c r="D29" s="840" t="s">
        <v>401</v>
      </c>
    </row>
    <row r="30" spans="1:4" ht="33">
      <c r="A30" s="840" t="s">
        <v>1714</v>
      </c>
      <c r="B30" s="840" t="s">
        <v>3504</v>
      </c>
      <c r="C30" s="840" t="s">
        <v>3849</v>
      </c>
      <c r="D30" s="840" t="s">
        <v>401</v>
      </c>
    </row>
    <row r="31" spans="1:4" ht="49.5">
      <c r="A31" s="840" t="s">
        <v>1765</v>
      </c>
      <c r="B31" s="840" t="s">
        <v>3505</v>
      </c>
      <c r="C31" s="840" t="s">
        <v>3849</v>
      </c>
      <c r="D31" s="840"/>
    </row>
    <row r="32" spans="1:4" ht="49.5">
      <c r="A32" s="840" t="s">
        <v>1786</v>
      </c>
      <c r="B32" s="840" t="s">
        <v>3506</v>
      </c>
      <c r="C32" s="840" t="s">
        <v>3849</v>
      </c>
      <c r="D32" s="840"/>
    </row>
    <row r="33" spans="1:4" ht="49.5">
      <c r="A33" s="840" t="s">
        <v>1769</v>
      </c>
      <c r="B33" s="840" t="s">
        <v>3507</v>
      </c>
      <c r="C33" s="840" t="s">
        <v>3849</v>
      </c>
      <c r="D33" s="840"/>
    </row>
    <row r="34" spans="1:4" ht="33">
      <c r="A34" s="840" t="s">
        <v>1773</v>
      </c>
      <c r="B34" s="840" t="s">
        <v>3508</v>
      </c>
      <c r="C34" s="840" t="s">
        <v>3849</v>
      </c>
      <c r="D34" s="840"/>
    </row>
    <row r="35" spans="1:4" ht="33">
      <c r="A35" s="840" t="s">
        <v>2035</v>
      </c>
      <c r="B35" s="840" t="s">
        <v>3509</v>
      </c>
      <c r="C35" s="840" t="s">
        <v>5407</v>
      </c>
      <c r="D35" s="840"/>
    </row>
    <row r="36" spans="1:4" ht="33">
      <c r="A36" s="840" t="s">
        <v>2034</v>
      </c>
      <c r="B36" s="840" t="s">
        <v>3510</v>
      </c>
      <c r="C36" s="840" t="s">
        <v>5408</v>
      </c>
      <c r="D36" s="840"/>
    </row>
    <row r="37" spans="1:4" ht="33">
      <c r="A37" s="840" t="s">
        <v>2075</v>
      </c>
      <c r="B37" s="840" t="s">
        <v>3511</v>
      </c>
      <c r="C37" s="840" t="s">
        <v>5408</v>
      </c>
      <c r="D37" s="840"/>
    </row>
    <row r="38" spans="1:4" ht="33">
      <c r="A38" s="840" t="s">
        <v>2067</v>
      </c>
      <c r="B38" s="840" t="s">
        <v>3512</v>
      </c>
      <c r="C38" s="840" t="s">
        <v>5408</v>
      </c>
      <c r="D38" s="840"/>
    </row>
    <row r="39" spans="1:4" ht="33">
      <c r="A39" s="840" t="s">
        <v>2147</v>
      </c>
      <c r="B39" s="840" t="s">
        <v>3513</v>
      </c>
      <c r="C39" s="840" t="s">
        <v>5408</v>
      </c>
      <c r="D39" s="840"/>
    </row>
    <row r="40" spans="1:4" ht="33">
      <c r="A40" s="840" t="s">
        <v>2172</v>
      </c>
      <c r="B40" s="840" t="s">
        <v>3515</v>
      </c>
      <c r="C40" s="840" t="s">
        <v>5408</v>
      </c>
      <c r="D40" s="840"/>
    </row>
    <row r="41" spans="1:4">
      <c r="A41" s="840" t="s">
        <v>2173</v>
      </c>
      <c r="B41" s="840" t="s">
        <v>3516</v>
      </c>
      <c r="C41" s="840" t="s">
        <v>3851</v>
      </c>
      <c r="D41" s="840"/>
    </row>
    <row r="42" spans="1:4">
      <c r="A42" s="840" t="s">
        <v>2175</v>
      </c>
      <c r="B42" s="840" t="s">
        <v>3517</v>
      </c>
      <c r="C42" s="840" t="s">
        <v>3851</v>
      </c>
      <c r="D42" s="840"/>
    </row>
    <row r="43" spans="1:4" ht="33">
      <c r="A43" s="840" t="s">
        <v>1255</v>
      </c>
      <c r="B43" s="840" t="s">
        <v>3518</v>
      </c>
      <c r="C43" s="840" t="s">
        <v>4431</v>
      </c>
      <c r="D43" s="840"/>
    </row>
    <row r="44" spans="1:4" ht="33">
      <c r="A44" s="840" t="s">
        <v>1258</v>
      </c>
      <c r="B44" s="840" t="s">
        <v>3519</v>
      </c>
      <c r="C44" s="840" t="s">
        <v>4431</v>
      </c>
      <c r="D44" s="840"/>
    </row>
    <row r="45" spans="1:4" ht="33">
      <c r="A45" s="840" t="s">
        <v>1259</v>
      </c>
      <c r="B45" s="840" t="s">
        <v>3520</v>
      </c>
      <c r="C45" s="840" t="s">
        <v>4431</v>
      </c>
      <c r="D45" s="840"/>
    </row>
    <row r="46" spans="1:4" ht="33">
      <c r="A46" s="840" t="s">
        <v>1261</v>
      </c>
      <c r="B46" s="840" t="s">
        <v>3521</v>
      </c>
      <c r="C46" s="840" t="s">
        <v>4431</v>
      </c>
      <c r="D46" s="840"/>
    </row>
    <row r="47" spans="1:4" ht="33">
      <c r="A47" s="840" t="s">
        <v>1271</v>
      </c>
      <c r="B47" s="840" t="s">
        <v>3522</v>
      </c>
      <c r="C47" s="840" t="s">
        <v>4431</v>
      </c>
      <c r="D47" s="840"/>
    </row>
    <row r="48" spans="1:4" ht="33">
      <c r="A48" s="840" t="s">
        <v>1284</v>
      </c>
      <c r="B48" s="840" t="s">
        <v>3523</v>
      </c>
      <c r="C48" s="840" t="s">
        <v>4431</v>
      </c>
      <c r="D48" s="840"/>
    </row>
    <row r="49" spans="1:4" ht="33">
      <c r="A49" s="840" t="s">
        <v>1301</v>
      </c>
      <c r="B49" s="840" t="s">
        <v>3524</v>
      </c>
      <c r="C49" s="840" t="s">
        <v>4431</v>
      </c>
      <c r="D49" s="840"/>
    </row>
    <row r="50" spans="1:4" ht="33">
      <c r="A50" s="840" t="s">
        <v>1308</v>
      </c>
      <c r="B50" s="840" t="s">
        <v>3525</v>
      </c>
      <c r="C50" s="840" t="s">
        <v>4431</v>
      </c>
      <c r="D50" s="840"/>
    </row>
    <row r="51" spans="1:4" ht="33">
      <c r="A51" s="840" t="s">
        <v>1309</v>
      </c>
      <c r="B51" s="840" t="s">
        <v>3526</v>
      </c>
      <c r="C51" s="840" t="s">
        <v>4431</v>
      </c>
      <c r="D51" s="840"/>
    </row>
    <row r="52" spans="1:4" ht="33">
      <c r="A52" s="840" t="s">
        <v>1311</v>
      </c>
      <c r="B52" s="840" t="s">
        <v>3527</v>
      </c>
      <c r="C52" s="840" t="s">
        <v>4431</v>
      </c>
      <c r="D52" s="840"/>
    </row>
    <row r="53" spans="1:4" ht="33">
      <c r="A53" s="840" t="s">
        <v>1331</v>
      </c>
      <c r="B53" s="840" t="s">
        <v>3528</v>
      </c>
      <c r="C53" s="840" t="s">
        <v>4431</v>
      </c>
      <c r="D53" s="840"/>
    </row>
    <row r="54" spans="1:4" ht="33">
      <c r="A54" s="840" t="s">
        <v>1333</v>
      </c>
      <c r="B54" s="840" t="s">
        <v>3529</v>
      </c>
      <c r="C54" s="840" t="s">
        <v>4431</v>
      </c>
      <c r="D54" s="840"/>
    </row>
    <row r="55" spans="1:4" ht="33">
      <c r="A55" s="840" t="s">
        <v>1337</v>
      </c>
      <c r="B55" s="840" t="s">
        <v>3530</v>
      </c>
      <c r="C55" s="840" t="s">
        <v>4431</v>
      </c>
      <c r="D55" s="840"/>
    </row>
    <row r="56" spans="1:4" ht="33">
      <c r="A56" s="840" t="s">
        <v>1359</v>
      </c>
      <c r="B56" s="840" t="s">
        <v>3531</v>
      </c>
      <c r="C56" s="840" t="s">
        <v>4431</v>
      </c>
      <c r="D56" s="840"/>
    </row>
    <row r="57" spans="1:4" ht="33">
      <c r="A57" s="840" t="s">
        <v>1338</v>
      </c>
      <c r="B57" s="840" t="s">
        <v>3532</v>
      </c>
      <c r="C57" s="840" t="s">
        <v>4431</v>
      </c>
      <c r="D57" s="840"/>
    </row>
    <row r="58" spans="1:4" ht="33">
      <c r="A58" s="840" t="s">
        <v>1341</v>
      </c>
      <c r="B58" s="840" t="s">
        <v>3533</v>
      </c>
      <c r="C58" s="840" t="s">
        <v>4431</v>
      </c>
      <c r="D58" s="840"/>
    </row>
    <row r="59" spans="1:4" ht="33">
      <c r="A59" s="840" t="s">
        <v>1362</v>
      </c>
      <c r="B59" s="840" t="s">
        <v>3534</v>
      </c>
      <c r="C59" s="840" t="s">
        <v>4431</v>
      </c>
      <c r="D59" s="840"/>
    </row>
    <row r="60" spans="1:4" ht="49.5">
      <c r="A60" s="840" t="s">
        <v>1367</v>
      </c>
      <c r="B60" s="840" t="s">
        <v>3535</v>
      </c>
      <c r="C60" s="840" t="s">
        <v>4431</v>
      </c>
      <c r="D60" s="840"/>
    </row>
    <row r="61" spans="1:4" ht="33">
      <c r="A61" s="840" t="s">
        <v>1376</v>
      </c>
      <c r="B61" s="840" t="s">
        <v>3536</v>
      </c>
      <c r="C61" s="840" t="s">
        <v>4431</v>
      </c>
      <c r="D61" s="840"/>
    </row>
    <row r="62" spans="1:4" ht="49.5">
      <c r="A62" s="840" t="s">
        <v>1379</v>
      </c>
      <c r="B62" s="840" t="s">
        <v>3537</v>
      </c>
      <c r="C62" s="840" t="s">
        <v>4431</v>
      </c>
      <c r="D62" s="840"/>
    </row>
    <row r="63" spans="1:4" ht="49.5">
      <c r="A63" s="840" t="s">
        <v>1427</v>
      </c>
      <c r="B63" s="840" t="s">
        <v>3538</v>
      </c>
      <c r="C63" s="840" t="s">
        <v>4431</v>
      </c>
      <c r="D63" s="840"/>
    </row>
    <row r="64" spans="1:4" ht="33">
      <c r="A64" s="840" t="s">
        <v>1428</v>
      </c>
      <c r="B64" s="840" t="s">
        <v>3539</v>
      </c>
      <c r="C64" s="840" t="s">
        <v>4431</v>
      </c>
      <c r="D64" s="840"/>
    </row>
    <row r="65" spans="1:4" ht="49.5">
      <c r="A65" s="840" t="s">
        <v>1429</v>
      </c>
      <c r="B65" s="840" t="s">
        <v>3540</v>
      </c>
      <c r="C65" s="840" t="s">
        <v>4431</v>
      </c>
      <c r="D65" s="840"/>
    </row>
    <row r="66" spans="1:4" ht="33">
      <c r="A66" s="840" t="s">
        <v>1430</v>
      </c>
      <c r="B66" s="840" t="s">
        <v>3541</v>
      </c>
      <c r="C66" s="840" t="s">
        <v>3851</v>
      </c>
      <c r="D66" s="840"/>
    </row>
    <row r="67" spans="1:4" ht="33">
      <c r="A67" s="840" t="s">
        <v>1432</v>
      </c>
      <c r="B67" s="840" t="s">
        <v>3542</v>
      </c>
      <c r="C67" s="840" t="s">
        <v>3851</v>
      </c>
      <c r="D67" s="840"/>
    </row>
    <row r="68" spans="1:4" ht="49.5">
      <c r="A68" s="840" t="s">
        <v>1403</v>
      </c>
      <c r="B68" s="840" t="s">
        <v>3543</v>
      </c>
      <c r="C68" s="840" t="s">
        <v>5409</v>
      </c>
      <c r="D68" s="840"/>
    </row>
    <row r="69" spans="1:4" ht="49.5">
      <c r="A69" s="840" t="s">
        <v>1434</v>
      </c>
      <c r="B69" s="840" t="s">
        <v>3544</v>
      </c>
      <c r="C69" s="840" t="s">
        <v>5409</v>
      </c>
      <c r="D69" s="840"/>
    </row>
    <row r="70" spans="1:4" ht="49.5">
      <c r="A70" s="840" t="s">
        <v>1410</v>
      </c>
      <c r="B70" s="840" t="s">
        <v>3545</v>
      </c>
      <c r="C70" s="840" t="s">
        <v>5409</v>
      </c>
      <c r="D70" s="840"/>
    </row>
    <row r="71" spans="1:4" ht="49.5">
      <c r="A71" s="840" t="s">
        <v>1436</v>
      </c>
      <c r="B71" s="840" t="s">
        <v>3546</v>
      </c>
      <c r="C71" s="840" t="s">
        <v>5409</v>
      </c>
      <c r="D71" s="840"/>
    </row>
    <row r="72" spans="1:4" ht="49.5">
      <c r="A72" s="840" t="s">
        <v>1414</v>
      </c>
      <c r="B72" s="840" t="s">
        <v>3547</v>
      </c>
      <c r="C72" s="840" t="s">
        <v>5409</v>
      </c>
      <c r="D72" s="840"/>
    </row>
    <row r="73" spans="1:4" ht="49.5">
      <c r="A73" s="840" t="s">
        <v>1437</v>
      </c>
      <c r="B73" s="840" t="s">
        <v>3548</v>
      </c>
      <c r="C73" s="840" t="s">
        <v>5409</v>
      </c>
      <c r="D73" s="840"/>
    </row>
    <row r="74" spans="1:4" ht="49.5">
      <c r="A74" s="840" t="s">
        <v>1417</v>
      </c>
      <c r="B74" s="840" t="s">
        <v>3549</v>
      </c>
      <c r="C74" s="840" t="s">
        <v>5409</v>
      </c>
      <c r="D74" s="840"/>
    </row>
    <row r="75" spans="1:4" ht="33">
      <c r="A75" s="840" t="s">
        <v>1419</v>
      </c>
      <c r="B75" s="840" t="s">
        <v>3550</v>
      </c>
      <c r="C75" s="840" t="s">
        <v>5409</v>
      </c>
      <c r="D75" s="840"/>
    </row>
    <row r="76" spans="1:4" ht="33">
      <c r="A76" s="840" t="s">
        <v>1440</v>
      </c>
      <c r="B76" s="840" t="s">
        <v>3551</v>
      </c>
      <c r="C76" s="840" t="s">
        <v>5410</v>
      </c>
      <c r="D76" s="840"/>
    </row>
    <row r="77" spans="1:4" ht="33">
      <c r="A77" s="840" t="s">
        <v>1442</v>
      </c>
      <c r="B77" s="840" t="s">
        <v>3552</v>
      </c>
      <c r="C77" s="840" t="s">
        <v>5410</v>
      </c>
      <c r="D77" s="840"/>
    </row>
    <row r="78" spans="1:4" ht="33">
      <c r="A78" s="840" t="s">
        <v>1470</v>
      </c>
      <c r="B78" s="840" t="s">
        <v>3553</v>
      </c>
      <c r="C78" s="840" t="s">
        <v>5409</v>
      </c>
      <c r="D78" s="840"/>
    </row>
    <row r="79" spans="1:4" ht="33">
      <c r="A79" s="840" t="s">
        <v>1455</v>
      </c>
      <c r="B79" s="840" t="s">
        <v>3554</v>
      </c>
      <c r="C79" s="840" t="s">
        <v>5409</v>
      </c>
      <c r="D79" s="840"/>
    </row>
    <row r="80" spans="1:4">
      <c r="A80" s="840" t="s">
        <v>1471</v>
      </c>
      <c r="B80" s="840" t="s">
        <v>3555</v>
      </c>
      <c r="C80" s="840" t="s">
        <v>5409</v>
      </c>
      <c r="D80" s="840"/>
    </row>
    <row r="81" spans="1:4" ht="33">
      <c r="A81" s="840" t="s">
        <v>1474</v>
      </c>
      <c r="B81" s="840" t="s">
        <v>3556</v>
      </c>
      <c r="C81" s="840" t="s">
        <v>5409</v>
      </c>
      <c r="D81" s="840"/>
    </row>
    <row r="82" spans="1:4">
      <c r="A82" s="840" t="s">
        <v>1477</v>
      </c>
      <c r="B82" s="840" t="s">
        <v>3557</v>
      </c>
      <c r="C82" s="840" t="s">
        <v>5409</v>
      </c>
      <c r="D82" s="840"/>
    </row>
    <row r="83" spans="1:4" ht="49.5">
      <c r="A83" s="840" t="s">
        <v>1462</v>
      </c>
      <c r="B83" s="840" t="s">
        <v>3558</v>
      </c>
      <c r="C83" s="840" t="s">
        <v>3851</v>
      </c>
      <c r="D83" s="840"/>
    </row>
    <row r="84" spans="1:4" ht="66">
      <c r="A84" s="840" t="s">
        <v>1479</v>
      </c>
      <c r="B84" s="840" t="s">
        <v>3559</v>
      </c>
      <c r="C84" s="840" t="s">
        <v>5411</v>
      </c>
      <c r="D84" s="840" t="s">
        <v>5412</v>
      </c>
    </row>
    <row r="85" spans="1:4" ht="49.5">
      <c r="A85" s="840" t="s">
        <v>1497</v>
      </c>
      <c r="B85" s="840" t="s">
        <v>3560</v>
      </c>
      <c r="C85" s="840" t="s">
        <v>5411</v>
      </c>
      <c r="D85" s="840" t="s">
        <v>5412</v>
      </c>
    </row>
    <row r="86" spans="1:4">
      <c r="A86" s="840" t="s">
        <v>1532</v>
      </c>
      <c r="B86" s="840" t="s">
        <v>3561</v>
      </c>
      <c r="C86" s="840" t="s">
        <v>3851</v>
      </c>
      <c r="D86" s="840"/>
    </row>
    <row r="87" spans="1:4" ht="33">
      <c r="A87" s="840" t="s">
        <v>1505</v>
      </c>
      <c r="B87" s="840" t="s">
        <v>3562</v>
      </c>
      <c r="C87" s="840" t="s">
        <v>5413</v>
      </c>
      <c r="D87" s="840"/>
    </row>
    <row r="88" spans="1:4" ht="33">
      <c r="A88" s="840" t="s">
        <v>1535</v>
      </c>
      <c r="B88" s="840" t="s">
        <v>3563</v>
      </c>
      <c r="C88" s="840" t="s">
        <v>5416</v>
      </c>
      <c r="D88" s="840"/>
    </row>
    <row r="89" spans="1:4" ht="33">
      <c r="A89" s="840" t="s">
        <v>1536</v>
      </c>
      <c r="B89" s="840" t="s">
        <v>3564</v>
      </c>
      <c r="C89" s="840" t="s">
        <v>5413</v>
      </c>
      <c r="D89" s="840"/>
    </row>
    <row r="90" spans="1:4" ht="33">
      <c r="A90" s="840" t="s">
        <v>1538</v>
      </c>
      <c r="B90" s="840" t="s">
        <v>3565</v>
      </c>
      <c r="C90" s="840" t="s">
        <v>5413</v>
      </c>
      <c r="D90" s="840"/>
    </row>
    <row r="91" spans="1:4" ht="33">
      <c r="A91" s="840" t="s">
        <v>1523</v>
      </c>
      <c r="B91" s="840" t="s">
        <v>3566</v>
      </c>
      <c r="C91" s="840" t="s">
        <v>5413</v>
      </c>
      <c r="D91" s="840"/>
    </row>
    <row r="92" spans="1:4" ht="33">
      <c r="A92" s="840" t="s">
        <v>1527</v>
      </c>
      <c r="B92" s="840" t="s">
        <v>3567</v>
      </c>
      <c r="C92" s="840" t="s">
        <v>5417</v>
      </c>
      <c r="D92" s="840"/>
    </row>
    <row r="93" spans="1:4">
      <c r="A93" s="840" t="s">
        <v>1539</v>
      </c>
      <c r="B93" s="840" t="s">
        <v>3568</v>
      </c>
      <c r="C93" s="840" t="s">
        <v>3851</v>
      </c>
      <c r="D93" s="840"/>
    </row>
    <row r="94" spans="1:4">
      <c r="A94" s="840" t="s">
        <v>1540</v>
      </c>
      <c r="B94" s="840" t="s">
        <v>3569</v>
      </c>
      <c r="C94" s="840" t="s">
        <v>3851</v>
      </c>
      <c r="D94" s="840"/>
    </row>
    <row r="95" spans="1:4" ht="33">
      <c r="A95" s="840" t="s">
        <v>1574</v>
      </c>
      <c r="B95" s="840" t="s">
        <v>3570</v>
      </c>
      <c r="C95" s="840" t="s">
        <v>3851</v>
      </c>
      <c r="D95" s="840"/>
    </row>
    <row r="96" spans="1:4">
      <c r="A96" s="840" t="s">
        <v>1546</v>
      </c>
      <c r="B96" s="840" t="s">
        <v>3571</v>
      </c>
      <c r="C96" s="840" t="s">
        <v>3851</v>
      </c>
      <c r="D96" s="840"/>
    </row>
    <row r="97" spans="1:4" ht="33">
      <c r="A97" s="840" t="s">
        <v>1575</v>
      </c>
      <c r="B97" s="840" t="s">
        <v>3572</v>
      </c>
      <c r="C97" s="840" t="s">
        <v>3851</v>
      </c>
      <c r="D97" s="840"/>
    </row>
    <row r="98" spans="1:4">
      <c r="A98" s="840" t="s">
        <v>1579</v>
      </c>
      <c r="B98" s="840" t="s">
        <v>3573</v>
      </c>
      <c r="C98" s="840" t="s">
        <v>3851</v>
      </c>
      <c r="D98" s="840"/>
    </row>
    <row r="99" spans="1:4">
      <c r="A99" s="840" t="s">
        <v>134</v>
      </c>
      <c r="B99" s="840" t="s">
        <v>135</v>
      </c>
      <c r="C99" s="840" t="s">
        <v>3851</v>
      </c>
      <c r="D99" s="840"/>
    </row>
    <row r="100" spans="1:4" ht="33">
      <c r="A100" s="840" t="s">
        <v>1619</v>
      </c>
      <c r="B100" s="840" t="s">
        <v>3574</v>
      </c>
      <c r="C100" s="840" t="s">
        <v>3851</v>
      </c>
      <c r="D100" s="840"/>
    </row>
    <row r="101" spans="1:4">
      <c r="A101" s="840" t="s">
        <v>1620</v>
      </c>
      <c r="B101" s="840" t="s">
        <v>3575</v>
      </c>
      <c r="C101" s="840" t="s">
        <v>3851</v>
      </c>
      <c r="D101" s="840"/>
    </row>
    <row r="102" spans="1:4" ht="33">
      <c r="A102" s="840" t="s">
        <v>1622</v>
      </c>
      <c r="B102" s="840" t="s">
        <v>3576</v>
      </c>
      <c r="C102" s="840" t="s">
        <v>3850</v>
      </c>
      <c r="D102" s="840"/>
    </row>
    <row r="103" spans="1:4">
      <c r="A103" s="840" t="s">
        <v>1623</v>
      </c>
      <c r="B103" s="840" t="s">
        <v>3577</v>
      </c>
      <c r="C103" s="840" t="s">
        <v>3850</v>
      </c>
      <c r="D103" s="840"/>
    </row>
    <row r="104" spans="1:4" ht="33">
      <c r="A104" s="840" t="s">
        <v>1628</v>
      </c>
      <c r="B104" s="840" t="s">
        <v>3578</v>
      </c>
      <c r="C104" s="840" t="s">
        <v>3850</v>
      </c>
      <c r="D104" s="840"/>
    </row>
    <row r="105" spans="1:4" ht="33">
      <c r="A105" s="840" t="s">
        <v>1607</v>
      </c>
      <c r="B105" s="840" t="s">
        <v>3579</v>
      </c>
      <c r="C105" s="840" t="s">
        <v>3850</v>
      </c>
      <c r="D105" s="840"/>
    </row>
    <row r="106" spans="1:4" ht="33">
      <c r="A106" s="840" t="s">
        <v>1629</v>
      </c>
      <c r="B106" s="840" t="s">
        <v>3580</v>
      </c>
      <c r="C106" s="840" t="s">
        <v>3850</v>
      </c>
      <c r="D106" s="840"/>
    </row>
    <row r="107" spans="1:4" ht="49.5">
      <c r="A107" s="840" t="s">
        <v>1630</v>
      </c>
      <c r="B107" s="840" t="s">
        <v>3581</v>
      </c>
      <c r="C107" s="840" t="s">
        <v>3850</v>
      </c>
      <c r="D107" s="840"/>
    </row>
    <row r="108" spans="1:4" ht="33">
      <c r="A108" s="840" t="s">
        <v>1613</v>
      </c>
      <c r="B108" s="840" t="s">
        <v>3582</v>
      </c>
      <c r="C108" s="840" t="s">
        <v>3850</v>
      </c>
      <c r="D108" s="840"/>
    </row>
    <row r="109" spans="1:4" ht="33">
      <c r="A109" s="840" t="s">
        <v>1614</v>
      </c>
      <c r="B109" s="840" t="s">
        <v>3583</v>
      </c>
      <c r="C109" s="840" t="s">
        <v>3850</v>
      </c>
      <c r="D109" s="840"/>
    </row>
    <row r="110" spans="1:4" ht="33">
      <c r="A110" s="840" t="s">
        <v>1615</v>
      </c>
      <c r="B110" s="840" t="s">
        <v>3584</v>
      </c>
      <c r="C110" s="840" t="s">
        <v>3850</v>
      </c>
      <c r="D110" s="840"/>
    </row>
    <row r="111" spans="1:4" ht="33">
      <c r="A111" s="840" t="s">
        <v>1653</v>
      </c>
      <c r="B111" s="840" t="s">
        <v>3585</v>
      </c>
      <c r="C111" s="840" t="s">
        <v>3850</v>
      </c>
      <c r="D111" s="840"/>
    </row>
    <row r="112" spans="1:4" ht="66">
      <c r="A112" s="840" t="s">
        <v>1690</v>
      </c>
      <c r="B112" s="840" t="s">
        <v>3586</v>
      </c>
      <c r="C112" s="840" t="s">
        <v>3849</v>
      </c>
      <c r="D112" s="840"/>
    </row>
    <row r="113" spans="1:4" ht="66">
      <c r="A113" s="840" t="s">
        <v>1715</v>
      </c>
      <c r="B113" s="840" t="s">
        <v>3587</v>
      </c>
      <c r="C113" s="840" t="s">
        <v>3849</v>
      </c>
      <c r="D113" s="840"/>
    </row>
    <row r="114" spans="1:4" ht="33">
      <c r="A114" s="840" t="s">
        <v>1664</v>
      </c>
      <c r="B114" s="840" t="s">
        <v>3588</v>
      </c>
      <c r="C114" s="840" t="s">
        <v>3850</v>
      </c>
      <c r="D114" s="840"/>
    </row>
    <row r="115" spans="1:4">
      <c r="A115" s="840" t="s">
        <v>1666</v>
      </c>
      <c r="B115" s="840" t="s">
        <v>3589</v>
      </c>
      <c r="C115" s="840" t="s">
        <v>3850</v>
      </c>
      <c r="D115" s="840"/>
    </row>
    <row r="116" spans="1:4">
      <c r="A116" s="840" t="s">
        <v>1671</v>
      </c>
      <c r="B116" s="840" t="s">
        <v>3590</v>
      </c>
      <c r="C116" s="840" t="s">
        <v>3850</v>
      </c>
      <c r="D116" s="840"/>
    </row>
    <row r="117" spans="1:4" ht="49.5">
      <c r="A117" s="840" t="s">
        <v>1672</v>
      </c>
      <c r="B117" s="840" t="s">
        <v>3591</v>
      </c>
      <c r="C117" s="840" t="s">
        <v>3849</v>
      </c>
      <c r="D117" s="840"/>
    </row>
    <row r="118" spans="1:4" ht="49.5">
      <c r="A118" s="840" t="s">
        <v>1712</v>
      </c>
      <c r="B118" s="840" t="s">
        <v>3592</v>
      </c>
      <c r="C118" s="840" t="s">
        <v>3849</v>
      </c>
      <c r="D118" s="840"/>
    </row>
    <row r="119" spans="1:4" ht="49.5">
      <c r="A119" s="840" t="s">
        <v>1678</v>
      </c>
      <c r="B119" s="840" t="s">
        <v>3593</v>
      </c>
      <c r="C119" s="840" t="s">
        <v>3849</v>
      </c>
      <c r="D119" s="840"/>
    </row>
    <row r="120" spans="1:4" ht="49.5">
      <c r="A120" s="840" t="s">
        <v>1684</v>
      </c>
      <c r="B120" s="840" t="s">
        <v>3594</v>
      </c>
      <c r="C120" s="840" t="s">
        <v>3849</v>
      </c>
      <c r="D120" s="840"/>
    </row>
    <row r="121" spans="1:4" ht="66">
      <c r="A121" s="840" t="s">
        <v>1685</v>
      </c>
      <c r="B121" s="840" t="s">
        <v>3595</v>
      </c>
      <c r="C121" s="840" t="s">
        <v>3849</v>
      </c>
      <c r="D121" s="840"/>
    </row>
    <row r="122" spans="1:4" ht="66">
      <c r="A122" s="840" t="s">
        <v>1693</v>
      </c>
      <c r="B122" s="840" t="s">
        <v>3596</v>
      </c>
      <c r="C122" s="840" t="s">
        <v>3849</v>
      </c>
      <c r="D122" s="840"/>
    </row>
    <row r="123" spans="1:4" ht="66">
      <c r="A123" s="840" t="s">
        <v>1716</v>
      </c>
      <c r="B123" s="840" t="s">
        <v>3597</v>
      </c>
      <c r="C123" s="840" t="s">
        <v>3849</v>
      </c>
      <c r="D123" s="840"/>
    </row>
    <row r="124" spans="1:4" ht="66">
      <c r="A124" s="840" t="s">
        <v>1717</v>
      </c>
      <c r="B124" s="840" t="s">
        <v>3598</v>
      </c>
      <c r="C124" s="840" t="s">
        <v>3849</v>
      </c>
      <c r="D124" s="840"/>
    </row>
    <row r="125" spans="1:4" ht="66">
      <c r="A125" s="840" t="s">
        <v>1718</v>
      </c>
      <c r="B125" s="840" t="s">
        <v>3599</v>
      </c>
      <c r="C125" s="840" t="s">
        <v>3849</v>
      </c>
      <c r="D125" s="840"/>
    </row>
    <row r="126" spans="1:4" ht="66">
      <c r="A126" s="840" t="s">
        <v>1695</v>
      </c>
      <c r="B126" s="840" t="s">
        <v>3600</v>
      </c>
      <c r="C126" s="840" t="s">
        <v>3849</v>
      </c>
      <c r="D126" s="840"/>
    </row>
    <row r="127" spans="1:4">
      <c r="A127" s="840" t="s">
        <v>1698</v>
      </c>
      <c r="B127" s="840" t="s">
        <v>3601</v>
      </c>
      <c r="C127" s="840" t="s">
        <v>3851</v>
      </c>
      <c r="D127" s="840"/>
    </row>
    <row r="128" spans="1:4" ht="66">
      <c r="A128" s="840" t="s">
        <v>1700</v>
      </c>
      <c r="B128" s="840" t="s">
        <v>3602</v>
      </c>
      <c r="C128" s="840" t="s">
        <v>3849</v>
      </c>
      <c r="D128" s="840"/>
    </row>
    <row r="129" spans="1:4" ht="82.5">
      <c r="A129" s="840" t="s">
        <v>1702</v>
      </c>
      <c r="B129" s="840" t="s">
        <v>3603</v>
      </c>
      <c r="C129" s="840" t="s">
        <v>3849</v>
      </c>
      <c r="D129" s="840"/>
    </row>
    <row r="130" spans="1:4" ht="82.5">
      <c r="A130" s="840" t="s">
        <v>1719</v>
      </c>
      <c r="B130" s="840" t="s">
        <v>3604</v>
      </c>
      <c r="C130" s="840" t="s">
        <v>3849</v>
      </c>
      <c r="D130" s="840"/>
    </row>
    <row r="131" spans="1:4" ht="82.5">
      <c r="A131" s="840" t="s">
        <v>1704</v>
      </c>
      <c r="B131" s="840" t="s">
        <v>3605</v>
      </c>
      <c r="C131" s="840" t="s">
        <v>3849</v>
      </c>
      <c r="D131" s="840"/>
    </row>
    <row r="132" spans="1:4" ht="82.5">
      <c r="A132" s="840" t="s">
        <v>1705</v>
      </c>
      <c r="B132" s="840" t="s">
        <v>3606</v>
      </c>
      <c r="C132" s="840" t="s">
        <v>3849</v>
      </c>
      <c r="D132" s="840"/>
    </row>
    <row r="133" spans="1:4" ht="49.5">
      <c r="A133" s="840" t="s">
        <v>1720</v>
      </c>
      <c r="B133" s="840" t="s">
        <v>3607</v>
      </c>
      <c r="C133" s="840" t="s">
        <v>3849</v>
      </c>
      <c r="D133" s="840"/>
    </row>
    <row r="134" spans="1:4" ht="82.5">
      <c r="A134" s="840" t="s">
        <v>1709</v>
      </c>
      <c r="B134" s="840" t="s">
        <v>3608</v>
      </c>
      <c r="C134" s="840" t="s">
        <v>3849</v>
      </c>
      <c r="D134" s="840"/>
    </row>
    <row r="135" spans="1:4" ht="33">
      <c r="A135" s="840" t="s">
        <v>1721</v>
      </c>
      <c r="B135" s="840" t="s">
        <v>3609</v>
      </c>
      <c r="C135" s="840" t="s">
        <v>3849</v>
      </c>
      <c r="D135" s="840"/>
    </row>
    <row r="136" spans="1:4" ht="66">
      <c r="A136" s="840" t="s">
        <v>1789</v>
      </c>
      <c r="B136" s="840" t="s">
        <v>3610</v>
      </c>
      <c r="C136" s="840" t="s">
        <v>5418</v>
      </c>
      <c r="D136" s="840"/>
    </row>
    <row r="137" spans="1:4" ht="33">
      <c r="A137" s="840" t="s">
        <v>1783</v>
      </c>
      <c r="B137" s="840" t="s">
        <v>3611</v>
      </c>
      <c r="C137" s="840" t="s">
        <v>3849</v>
      </c>
      <c r="D137" s="840"/>
    </row>
    <row r="138" spans="1:4" ht="33">
      <c r="A138" s="840" t="s">
        <v>1732</v>
      </c>
      <c r="B138" s="840" t="s">
        <v>3612</v>
      </c>
      <c r="C138" s="840" t="s">
        <v>3849</v>
      </c>
      <c r="D138" s="840"/>
    </row>
    <row r="139" spans="1:4" ht="33">
      <c r="A139" s="840" t="s">
        <v>1737</v>
      </c>
      <c r="B139" s="840" t="s">
        <v>3613</v>
      </c>
      <c r="C139" s="840" t="s">
        <v>3849</v>
      </c>
      <c r="D139" s="840"/>
    </row>
    <row r="140" spans="1:4">
      <c r="A140" s="840" t="s">
        <v>1728</v>
      </c>
      <c r="B140" s="840" t="s">
        <v>3614</v>
      </c>
      <c r="C140" s="840" t="s">
        <v>3849</v>
      </c>
      <c r="D140" s="840"/>
    </row>
    <row r="141" spans="1:4" ht="33">
      <c r="A141" s="840" t="s">
        <v>1742</v>
      </c>
      <c r="B141" s="840" t="s">
        <v>3615</v>
      </c>
      <c r="C141" s="840" t="s">
        <v>3849</v>
      </c>
      <c r="D141" s="840"/>
    </row>
    <row r="142" spans="1:4" ht="33">
      <c r="A142" s="840" t="s">
        <v>1757</v>
      </c>
      <c r="B142" s="840" t="s">
        <v>3616</v>
      </c>
      <c r="C142" s="840" t="s">
        <v>3849</v>
      </c>
      <c r="D142" s="840"/>
    </row>
    <row r="143" spans="1:4" ht="33">
      <c r="A143" s="840" t="s">
        <v>1758</v>
      </c>
      <c r="B143" s="840" t="s">
        <v>3617</v>
      </c>
      <c r="C143" s="840" t="s">
        <v>3849</v>
      </c>
      <c r="D143" s="840"/>
    </row>
    <row r="144" spans="1:4" ht="33">
      <c r="A144" s="840" t="s">
        <v>1745</v>
      </c>
      <c r="B144" s="840" t="s">
        <v>3618</v>
      </c>
      <c r="C144" s="840" t="s">
        <v>3849</v>
      </c>
      <c r="D144" s="840"/>
    </row>
    <row r="145" spans="1:4" ht="33">
      <c r="A145" s="840" t="s">
        <v>1747</v>
      </c>
      <c r="B145" s="840" t="s">
        <v>3619</v>
      </c>
      <c r="C145" s="840" t="s">
        <v>3849</v>
      </c>
      <c r="D145" s="840"/>
    </row>
    <row r="146" spans="1:4" ht="33">
      <c r="A146" s="840" t="s">
        <v>1759</v>
      </c>
      <c r="B146" s="840" t="s">
        <v>3620</v>
      </c>
      <c r="C146" s="840" t="s">
        <v>3849</v>
      </c>
      <c r="D146" s="840"/>
    </row>
    <row r="147" spans="1:4">
      <c r="A147" s="840" t="s">
        <v>1760</v>
      </c>
      <c r="B147" s="840" t="s">
        <v>3621</v>
      </c>
      <c r="C147" s="840" t="s">
        <v>3849</v>
      </c>
      <c r="D147" s="840"/>
    </row>
    <row r="148" spans="1:4" ht="33">
      <c r="A148" s="840" t="s">
        <v>1754</v>
      </c>
      <c r="B148" s="840" t="s">
        <v>3622</v>
      </c>
      <c r="C148" s="840" t="s">
        <v>3849</v>
      </c>
      <c r="D148" s="840"/>
    </row>
    <row r="149" spans="1:4" ht="33">
      <c r="A149" s="840" t="s">
        <v>1761</v>
      </c>
      <c r="B149" s="840" t="s">
        <v>3623</v>
      </c>
      <c r="C149" s="840" t="s">
        <v>3849</v>
      </c>
      <c r="D149" s="840"/>
    </row>
    <row r="150" spans="1:4" ht="33">
      <c r="A150" s="840" t="s">
        <v>1777</v>
      </c>
      <c r="B150" s="840" t="s">
        <v>3624</v>
      </c>
      <c r="C150" s="840" t="s">
        <v>3849</v>
      </c>
      <c r="D150" s="840"/>
    </row>
    <row r="151" spans="1:4" ht="33">
      <c r="A151" s="840" t="s">
        <v>1781</v>
      </c>
      <c r="B151" s="840" t="s">
        <v>3625</v>
      </c>
      <c r="C151" s="840" t="s">
        <v>3849</v>
      </c>
      <c r="D151" s="840"/>
    </row>
    <row r="152" spans="1:4">
      <c r="A152" s="840" t="s">
        <v>1791</v>
      </c>
      <c r="B152" s="840" t="s">
        <v>3626</v>
      </c>
      <c r="C152" s="840" t="s">
        <v>3851</v>
      </c>
      <c r="D152" s="840"/>
    </row>
    <row r="153" spans="1:4">
      <c r="A153" s="840" t="s">
        <v>1792</v>
      </c>
      <c r="B153" s="840" t="s">
        <v>3627</v>
      </c>
      <c r="C153" s="840" t="s">
        <v>3849</v>
      </c>
      <c r="D153" s="840"/>
    </row>
    <row r="154" spans="1:4" ht="33">
      <c r="A154" s="840" t="s">
        <v>1794</v>
      </c>
      <c r="B154" s="840" t="s">
        <v>3628</v>
      </c>
      <c r="C154" s="840" t="s">
        <v>3849</v>
      </c>
      <c r="D154" s="840"/>
    </row>
    <row r="155" spans="1:4" ht="33">
      <c r="A155" s="840" t="s">
        <v>1795</v>
      </c>
      <c r="B155" s="840" t="s">
        <v>3629</v>
      </c>
      <c r="C155" s="840" t="s">
        <v>5407</v>
      </c>
      <c r="D155" s="840"/>
    </row>
    <row r="156" spans="1:4" ht="33">
      <c r="A156" s="840" t="s">
        <v>1818</v>
      </c>
      <c r="B156" s="840" t="s">
        <v>3630</v>
      </c>
      <c r="C156" s="840" t="s">
        <v>5407</v>
      </c>
      <c r="D156" s="840"/>
    </row>
    <row r="157" spans="1:4">
      <c r="A157" s="840" t="s">
        <v>1798</v>
      </c>
      <c r="B157" s="840" t="s">
        <v>3631</v>
      </c>
      <c r="C157" s="840" t="s">
        <v>3851</v>
      </c>
      <c r="D157" s="840"/>
    </row>
    <row r="158" spans="1:4" ht="33">
      <c r="A158" s="840" t="s">
        <v>1801</v>
      </c>
      <c r="B158" s="840" t="s">
        <v>3632</v>
      </c>
      <c r="C158" s="840" t="s">
        <v>3851</v>
      </c>
      <c r="D158" s="840"/>
    </row>
    <row r="159" spans="1:4">
      <c r="A159" s="840" t="s">
        <v>1819</v>
      </c>
      <c r="B159" s="840" t="s">
        <v>3633</v>
      </c>
      <c r="C159" s="840" t="s">
        <v>3851</v>
      </c>
      <c r="D159" s="840"/>
    </row>
    <row r="160" spans="1:4">
      <c r="A160" s="840" t="s">
        <v>1821</v>
      </c>
      <c r="B160" s="840" t="s">
        <v>3634</v>
      </c>
      <c r="C160" s="840" t="s">
        <v>3851</v>
      </c>
      <c r="D160" s="840"/>
    </row>
    <row r="161" spans="1:4" ht="33">
      <c r="A161" s="840" t="s">
        <v>1822</v>
      </c>
      <c r="B161" s="840" t="s">
        <v>3635</v>
      </c>
      <c r="C161" s="840" t="s">
        <v>3851</v>
      </c>
      <c r="D161" s="840"/>
    </row>
    <row r="162" spans="1:4">
      <c r="A162" s="840" t="s">
        <v>1823</v>
      </c>
      <c r="B162" s="840" t="s">
        <v>3636</v>
      </c>
      <c r="C162" s="840" t="s">
        <v>3851</v>
      </c>
      <c r="D162" s="840"/>
    </row>
    <row r="163" spans="1:4">
      <c r="A163" s="840" t="s">
        <v>1824</v>
      </c>
      <c r="B163" s="840" t="s">
        <v>3637</v>
      </c>
      <c r="C163" s="840" t="s">
        <v>3851</v>
      </c>
      <c r="D163" s="840"/>
    </row>
    <row r="164" spans="1:4">
      <c r="A164" s="840" t="s">
        <v>1806</v>
      </c>
      <c r="B164" s="840" t="s">
        <v>3638</v>
      </c>
      <c r="C164" s="840" t="s">
        <v>3851</v>
      </c>
      <c r="D164" s="840"/>
    </row>
    <row r="165" spans="1:4">
      <c r="A165" s="840" t="s">
        <v>1807</v>
      </c>
      <c r="B165" s="840" t="s">
        <v>3639</v>
      </c>
      <c r="C165" s="840" t="s">
        <v>3851</v>
      </c>
      <c r="D165" s="840"/>
    </row>
    <row r="166" spans="1:4">
      <c r="A166" s="840" t="s">
        <v>1808</v>
      </c>
      <c r="B166" s="840" t="s">
        <v>3640</v>
      </c>
      <c r="C166" s="840" t="s">
        <v>3851</v>
      </c>
      <c r="D166" s="840"/>
    </row>
    <row r="167" spans="1:4" ht="33">
      <c r="A167" s="840" t="s">
        <v>1825</v>
      </c>
      <c r="B167" s="840" t="s">
        <v>3641</v>
      </c>
      <c r="C167" s="840" t="s">
        <v>3851</v>
      </c>
      <c r="D167" s="840"/>
    </row>
    <row r="168" spans="1:4" ht="33">
      <c r="A168" s="840" t="s">
        <v>1813</v>
      </c>
      <c r="B168" s="840" t="s">
        <v>3642</v>
      </c>
      <c r="C168" s="840" t="s">
        <v>3851</v>
      </c>
      <c r="D168" s="840"/>
    </row>
    <row r="169" spans="1:4">
      <c r="A169" s="840" t="s">
        <v>1816</v>
      </c>
      <c r="B169" s="840" t="s">
        <v>3643</v>
      </c>
      <c r="C169" s="840" t="s">
        <v>3851</v>
      </c>
      <c r="D169" s="840"/>
    </row>
    <row r="170" spans="1:4">
      <c r="A170" s="840" t="s">
        <v>1828</v>
      </c>
      <c r="B170" s="840" t="s">
        <v>3644</v>
      </c>
      <c r="C170" s="840" t="s">
        <v>3851</v>
      </c>
      <c r="D170" s="840"/>
    </row>
    <row r="171" spans="1:4" ht="33">
      <c r="A171" s="840" t="s">
        <v>1833</v>
      </c>
      <c r="B171" s="840" t="s">
        <v>3645</v>
      </c>
      <c r="C171" s="840" t="s">
        <v>3851</v>
      </c>
      <c r="D171" s="840"/>
    </row>
    <row r="172" spans="1:4">
      <c r="A172" s="840" t="s">
        <v>1858</v>
      </c>
      <c r="B172" s="840" t="s">
        <v>3646</v>
      </c>
      <c r="C172" s="840" t="s">
        <v>3851</v>
      </c>
      <c r="D172" s="840"/>
    </row>
    <row r="173" spans="1:4">
      <c r="A173" s="840" t="s">
        <v>1859</v>
      </c>
      <c r="B173" s="840" t="s">
        <v>3647</v>
      </c>
      <c r="C173" s="840" t="s">
        <v>3851</v>
      </c>
      <c r="D173" s="840"/>
    </row>
    <row r="174" spans="1:4">
      <c r="A174" s="840" t="s">
        <v>1837</v>
      </c>
      <c r="B174" s="840" t="s">
        <v>3648</v>
      </c>
      <c r="C174" s="840" t="s">
        <v>3851</v>
      </c>
      <c r="D174" s="840"/>
    </row>
    <row r="175" spans="1:4">
      <c r="A175" s="840" t="s">
        <v>1838</v>
      </c>
      <c r="B175" s="840" t="s">
        <v>3649</v>
      </c>
      <c r="C175" s="840" t="s">
        <v>3851</v>
      </c>
      <c r="D175" s="840"/>
    </row>
    <row r="176" spans="1:4" ht="33">
      <c r="A176" s="840" t="s">
        <v>137</v>
      </c>
      <c r="B176" s="840" t="s">
        <v>138</v>
      </c>
      <c r="C176" s="840" t="s">
        <v>3851</v>
      </c>
      <c r="D176" s="840"/>
    </row>
    <row r="177" spans="1:4" ht="33">
      <c r="A177" s="840" t="s">
        <v>1839</v>
      </c>
      <c r="B177" s="840" t="s">
        <v>3650</v>
      </c>
      <c r="C177" s="840" t="s">
        <v>3851</v>
      </c>
      <c r="D177" s="840"/>
    </row>
    <row r="178" spans="1:4">
      <c r="A178" s="840" t="s">
        <v>1842</v>
      </c>
      <c r="B178" s="840" t="s">
        <v>3651</v>
      </c>
      <c r="C178" s="840" t="s">
        <v>3851</v>
      </c>
      <c r="D178" s="840"/>
    </row>
    <row r="179" spans="1:4">
      <c r="A179" s="840" t="s">
        <v>1862</v>
      </c>
      <c r="B179" s="840" t="s">
        <v>3652</v>
      </c>
      <c r="C179" s="840" t="s">
        <v>3851</v>
      </c>
      <c r="D179" s="840"/>
    </row>
    <row r="180" spans="1:4">
      <c r="A180" s="840" t="s">
        <v>1844</v>
      </c>
      <c r="B180" s="840" t="s">
        <v>3653</v>
      </c>
      <c r="C180" s="840" t="s">
        <v>3851</v>
      </c>
      <c r="D180" s="840"/>
    </row>
    <row r="181" spans="1:4">
      <c r="A181" s="840" t="s">
        <v>1847</v>
      </c>
      <c r="B181" s="840" t="s">
        <v>3654</v>
      </c>
      <c r="C181" s="840" t="s">
        <v>3851</v>
      </c>
      <c r="D181" s="840"/>
    </row>
    <row r="182" spans="1:4">
      <c r="A182" s="840" t="s">
        <v>1849</v>
      </c>
      <c r="B182" s="840" t="s">
        <v>3655</v>
      </c>
      <c r="C182" s="840" t="s">
        <v>3851</v>
      </c>
      <c r="D182" s="840"/>
    </row>
    <row r="183" spans="1:4" ht="33">
      <c r="A183" s="840" t="s">
        <v>1863</v>
      </c>
      <c r="B183" s="840" t="s">
        <v>3656</v>
      </c>
      <c r="C183" s="840" t="s">
        <v>3851</v>
      </c>
      <c r="D183" s="840"/>
    </row>
    <row r="184" spans="1:4">
      <c r="A184" s="840" t="s">
        <v>1864</v>
      </c>
      <c r="B184" s="840" t="s">
        <v>3657</v>
      </c>
      <c r="C184" s="840" t="s">
        <v>3851</v>
      </c>
      <c r="D184" s="840"/>
    </row>
    <row r="185" spans="1:4">
      <c r="A185" s="840" t="s">
        <v>1865</v>
      </c>
      <c r="B185" s="840" t="s">
        <v>141</v>
      </c>
      <c r="C185" s="840" t="s">
        <v>3851</v>
      </c>
      <c r="D185" s="840"/>
    </row>
    <row r="186" spans="1:4">
      <c r="A186" s="840" t="s">
        <v>1866</v>
      </c>
      <c r="B186" s="840" t="s">
        <v>3658</v>
      </c>
      <c r="C186" s="840" t="s">
        <v>3851</v>
      </c>
      <c r="D186" s="840"/>
    </row>
    <row r="187" spans="1:4">
      <c r="A187" s="840" t="s">
        <v>1867</v>
      </c>
      <c r="B187" s="840" t="s">
        <v>3659</v>
      </c>
      <c r="C187" s="840" t="s">
        <v>3851</v>
      </c>
      <c r="D187" s="840"/>
    </row>
    <row r="188" spans="1:4">
      <c r="A188" s="840" t="s">
        <v>1852</v>
      </c>
      <c r="B188" s="840" t="s">
        <v>3660</v>
      </c>
      <c r="C188" s="840" t="s">
        <v>3851</v>
      </c>
      <c r="D188" s="840"/>
    </row>
    <row r="189" spans="1:4">
      <c r="A189" s="840" t="s">
        <v>1853</v>
      </c>
      <c r="B189" s="840" t="s">
        <v>3661</v>
      </c>
      <c r="C189" s="840" t="s">
        <v>3851</v>
      </c>
      <c r="D189" s="840"/>
    </row>
    <row r="190" spans="1:4">
      <c r="A190" s="840" t="s">
        <v>1855</v>
      </c>
      <c r="B190" s="840" t="s">
        <v>3662</v>
      </c>
      <c r="C190" s="840" t="s">
        <v>3851</v>
      </c>
      <c r="D190" s="840"/>
    </row>
    <row r="191" spans="1:4" ht="33">
      <c r="A191" s="840" t="s">
        <v>1868</v>
      </c>
      <c r="B191" s="840" t="s">
        <v>3664</v>
      </c>
      <c r="C191" s="840" t="s">
        <v>3851</v>
      </c>
      <c r="D191" s="840"/>
    </row>
    <row r="192" spans="1:4">
      <c r="A192" s="840" t="s">
        <v>1869</v>
      </c>
      <c r="B192" s="840" t="s">
        <v>3665</v>
      </c>
      <c r="C192" s="840" t="s">
        <v>3851</v>
      </c>
      <c r="D192" s="840"/>
    </row>
    <row r="193" spans="1:4">
      <c r="A193" s="840" t="s">
        <v>1870</v>
      </c>
      <c r="B193" s="840" t="s">
        <v>3666</v>
      </c>
      <c r="C193" s="840" t="s">
        <v>3851</v>
      </c>
      <c r="D193" s="840"/>
    </row>
    <row r="194" spans="1:4">
      <c r="A194" s="840" t="s">
        <v>1873</v>
      </c>
      <c r="B194" s="840" t="s">
        <v>3667</v>
      </c>
      <c r="C194" s="840" t="s">
        <v>3851</v>
      </c>
      <c r="D194" s="840"/>
    </row>
    <row r="195" spans="1:4">
      <c r="A195" s="840" t="s">
        <v>1875</v>
      </c>
      <c r="B195" s="840" t="s">
        <v>3668</v>
      </c>
      <c r="C195" s="840" t="s">
        <v>3851</v>
      </c>
      <c r="D195" s="840"/>
    </row>
    <row r="196" spans="1:4">
      <c r="A196" s="840" t="s">
        <v>1878</v>
      </c>
      <c r="B196" s="840" t="s">
        <v>3669</v>
      </c>
      <c r="C196" s="840" t="s">
        <v>3851</v>
      </c>
      <c r="D196" s="840"/>
    </row>
    <row r="197" spans="1:4">
      <c r="A197" s="840" t="s">
        <v>1882</v>
      </c>
      <c r="B197" s="840" t="s">
        <v>3670</v>
      </c>
      <c r="C197" s="840" t="s">
        <v>3851</v>
      </c>
      <c r="D197" s="840"/>
    </row>
    <row r="198" spans="1:4">
      <c r="A198" s="840" t="s">
        <v>1883</v>
      </c>
      <c r="B198" s="840" t="s">
        <v>3671</v>
      </c>
      <c r="C198" s="840" t="s">
        <v>3851</v>
      </c>
      <c r="D198" s="840"/>
    </row>
    <row r="199" spans="1:4">
      <c r="A199" s="840" t="s">
        <v>1885</v>
      </c>
      <c r="B199" s="840" t="s">
        <v>3672</v>
      </c>
      <c r="C199" s="840" t="s">
        <v>3851</v>
      </c>
      <c r="D199" s="840"/>
    </row>
    <row r="200" spans="1:4" ht="33">
      <c r="A200" s="840" t="s">
        <v>1917</v>
      </c>
      <c r="B200" s="840" t="s">
        <v>3673</v>
      </c>
      <c r="C200" s="840" t="s">
        <v>3851</v>
      </c>
      <c r="D200" s="840"/>
    </row>
    <row r="201" spans="1:4">
      <c r="A201" s="840" t="s">
        <v>1919</v>
      </c>
      <c r="B201" s="840" t="s">
        <v>3674</v>
      </c>
      <c r="C201" s="840" t="s">
        <v>3851</v>
      </c>
      <c r="D201" s="840"/>
    </row>
    <row r="202" spans="1:4" ht="33">
      <c r="A202" s="840" t="s">
        <v>1921</v>
      </c>
      <c r="B202" s="840" t="s">
        <v>3675</v>
      </c>
      <c r="C202" s="840" t="s">
        <v>3851</v>
      </c>
      <c r="D202" s="840"/>
    </row>
    <row r="203" spans="1:4" ht="33">
      <c r="A203" s="840" t="s">
        <v>1886</v>
      </c>
      <c r="B203" s="840" t="s">
        <v>3676</v>
      </c>
      <c r="C203" s="840" t="s">
        <v>3851</v>
      </c>
      <c r="D203" s="840"/>
    </row>
    <row r="204" spans="1:4">
      <c r="A204" s="840" t="s">
        <v>1889</v>
      </c>
      <c r="B204" s="840" t="s">
        <v>3677</v>
      </c>
      <c r="C204" s="840" t="s">
        <v>3851</v>
      </c>
      <c r="D204" s="840"/>
    </row>
    <row r="205" spans="1:4">
      <c r="A205" s="840" t="s">
        <v>1890</v>
      </c>
      <c r="B205" s="840" t="s">
        <v>3678</v>
      </c>
      <c r="C205" s="840" t="s">
        <v>3851</v>
      </c>
      <c r="D205" s="840"/>
    </row>
    <row r="206" spans="1:4" ht="33">
      <c r="A206" s="840" t="s">
        <v>1892</v>
      </c>
      <c r="B206" s="840" t="s">
        <v>3679</v>
      </c>
      <c r="C206" s="840" t="s">
        <v>3851</v>
      </c>
      <c r="D206" s="840"/>
    </row>
    <row r="207" spans="1:4">
      <c r="A207" s="840" t="s">
        <v>1894</v>
      </c>
      <c r="B207" s="840" t="s">
        <v>3680</v>
      </c>
      <c r="C207" s="840" t="s">
        <v>3851</v>
      </c>
      <c r="D207" s="840"/>
    </row>
    <row r="208" spans="1:4" ht="33">
      <c r="A208" s="840" t="s">
        <v>1922</v>
      </c>
      <c r="B208" s="840" t="s">
        <v>3681</v>
      </c>
      <c r="C208" s="840" t="s">
        <v>3851</v>
      </c>
      <c r="D208" s="840"/>
    </row>
    <row r="209" spans="1:4">
      <c r="A209" s="840" t="s">
        <v>1897</v>
      </c>
      <c r="B209" s="840" t="s">
        <v>3682</v>
      </c>
      <c r="C209" s="840" t="s">
        <v>3851</v>
      </c>
      <c r="D209" s="840"/>
    </row>
    <row r="210" spans="1:4">
      <c r="A210" s="840" t="s">
        <v>1898</v>
      </c>
      <c r="B210" s="840" t="s">
        <v>3683</v>
      </c>
      <c r="C210" s="840" t="s">
        <v>3851</v>
      </c>
      <c r="D210" s="840"/>
    </row>
    <row r="211" spans="1:4">
      <c r="A211" s="840" t="s">
        <v>1899</v>
      </c>
      <c r="B211" s="840" t="s">
        <v>3684</v>
      </c>
      <c r="C211" s="840" t="s">
        <v>3851</v>
      </c>
      <c r="D211" s="840"/>
    </row>
    <row r="212" spans="1:4">
      <c r="A212" s="840" t="s">
        <v>1900</v>
      </c>
      <c r="B212" s="840" t="s">
        <v>3685</v>
      </c>
      <c r="C212" s="840" t="s">
        <v>3851</v>
      </c>
      <c r="D212" s="840"/>
    </row>
    <row r="213" spans="1:4">
      <c r="A213" s="840" t="s">
        <v>1901</v>
      </c>
      <c r="B213" s="840" t="s">
        <v>3686</v>
      </c>
      <c r="C213" s="840" t="s">
        <v>3851</v>
      </c>
      <c r="D213" s="840"/>
    </row>
    <row r="214" spans="1:4">
      <c r="A214" s="840" t="s">
        <v>1923</v>
      </c>
      <c r="B214" s="840" t="s">
        <v>136</v>
      </c>
      <c r="C214" s="840" t="s">
        <v>3851</v>
      </c>
      <c r="D214" s="840"/>
    </row>
    <row r="215" spans="1:4">
      <c r="A215" s="840" t="s">
        <v>1906</v>
      </c>
      <c r="B215" s="840" t="s">
        <v>3687</v>
      </c>
      <c r="C215" s="840" t="s">
        <v>3851</v>
      </c>
      <c r="D215" s="840"/>
    </row>
    <row r="216" spans="1:4">
      <c r="A216" s="840" t="s">
        <v>1907</v>
      </c>
      <c r="B216" s="840" t="s">
        <v>3688</v>
      </c>
      <c r="C216" s="840" t="s">
        <v>3851</v>
      </c>
      <c r="D216" s="840"/>
    </row>
    <row r="217" spans="1:4" ht="33">
      <c r="A217" s="840" t="s">
        <v>139</v>
      </c>
      <c r="B217" s="840" t="s">
        <v>140</v>
      </c>
      <c r="C217" s="840" t="s">
        <v>3851</v>
      </c>
      <c r="D217" s="840"/>
    </row>
    <row r="218" spans="1:4" ht="33">
      <c r="A218" s="840" t="s">
        <v>1911</v>
      </c>
      <c r="B218" s="840" t="s">
        <v>3689</v>
      </c>
      <c r="C218" s="840" t="s">
        <v>3851</v>
      </c>
      <c r="D218" s="840"/>
    </row>
    <row r="219" spans="1:4" ht="33">
      <c r="A219" s="840" t="s">
        <v>1913</v>
      </c>
      <c r="B219" s="840" t="s">
        <v>3690</v>
      </c>
      <c r="C219" s="840" t="s">
        <v>3851</v>
      </c>
      <c r="D219" s="840"/>
    </row>
    <row r="220" spans="1:4">
      <c r="A220" s="840" t="s">
        <v>1925</v>
      </c>
      <c r="B220" s="840" t="s">
        <v>3691</v>
      </c>
      <c r="C220" s="840" t="s">
        <v>3851</v>
      </c>
      <c r="D220" s="840"/>
    </row>
    <row r="221" spans="1:4">
      <c r="A221" s="840" t="s">
        <v>1927</v>
      </c>
      <c r="B221" s="840" t="s">
        <v>3692</v>
      </c>
      <c r="C221" s="840" t="s">
        <v>3851</v>
      </c>
      <c r="D221" s="840"/>
    </row>
    <row r="222" spans="1:4">
      <c r="A222" s="840" t="s">
        <v>1929</v>
      </c>
      <c r="B222" s="840" t="s">
        <v>3693</v>
      </c>
      <c r="C222" s="840" t="s">
        <v>3851</v>
      </c>
      <c r="D222" s="840"/>
    </row>
    <row r="223" spans="1:4" ht="33">
      <c r="A223" s="840" t="s">
        <v>1931</v>
      </c>
      <c r="B223" s="840" t="s">
        <v>3694</v>
      </c>
      <c r="C223" s="840" t="s">
        <v>3851</v>
      </c>
      <c r="D223" s="840"/>
    </row>
    <row r="224" spans="1:4">
      <c r="A224" s="840" t="s">
        <v>1932</v>
      </c>
      <c r="B224" s="840" t="s">
        <v>3695</v>
      </c>
      <c r="C224" s="840" t="s">
        <v>3851</v>
      </c>
      <c r="D224" s="840"/>
    </row>
    <row r="225" spans="1:4">
      <c r="A225" s="840" t="s">
        <v>1933</v>
      </c>
      <c r="B225" s="840" t="s">
        <v>3696</v>
      </c>
      <c r="C225" s="840" t="s">
        <v>3851</v>
      </c>
      <c r="D225" s="840"/>
    </row>
    <row r="226" spans="1:4">
      <c r="A226" s="840" t="s">
        <v>1934</v>
      </c>
      <c r="B226" s="840" t="s">
        <v>3697</v>
      </c>
      <c r="C226" s="840" t="s">
        <v>3851</v>
      </c>
      <c r="D226" s="840"/>
    </row>
    <row r="227" spans="1:4">
      <c r="A227" s="840" t="s">
        <v>1936</v>
      </c>
      <c r="B227" s="840" t="s">
        <v>3698</v>
      </c>
      <c r="C227" s="840" t="s">
        <v>3851</v>
      </c>
      <c r="D227" s="840"/>
    </row>
    <row r="228" spans="1:4" ht="33">
      <c r="A228" s="840" t="s">
        <v>1939</v>
      </c>
      <c r="B228" s="840" t="s">
        <v>3699</v>
      </c>
      <c r="C228" s="840" t="s">
        <v>3851</v>
      </c>
      <c r="D228" s="840"/>
    </row>
    <row r="229" spans="1:4" ht="33">
      <c r="A229" s="840" t="s">
        <v>1977</v>
      </c>
      <c r="B229" s="840" t="s">
        <v>3700</v>
      </c>
      <c r="C229" s="840" t="s">
        <v>3851</v>
      </c>
      <c r="D229" s="840"/>
    </row>
    <row r="230" spans="1:4">
      <c r="A230" s="840" t="s">
        <v>1979</v>
      </c>
      <c r="B230" s="840" t="s">
        <v>3701</v>
      </c>
      <c r="C230" s="840" t="s">
        <v>3851</v>
      </c>
      <c r="D230" s="840"/>
    </row>
    <row r="231" spans="1:4">
      <c r="A231" s="840" t="s">
        <v>1943</v>
      </c>
      <c r="B231" s="840" t="s">
        <v>3702</v>
      </c>
      <c r="C231" s="840" t="s">
        <v>3851</v>
      </c>
      <c r="D231" s="840"/>
    </row>
    <row r="232" spans="1:4">
      <c r="A232" s="840" t="s">
        <v>1945</v>
      </c>
      <c r="B232" s="840" t="s">
        <v>3703</v>
      </c>
      <c r="C232" s="840" t="s">
        <v>3851</v>
      </c>
      <c r="D232" s="840"/>
    </row>
    <row r="233" spans="1:4">
      <c r="A233" s="840" t="s">
        <v>1948</v>
      </c>
      <c r="B233" s="840" t="s">
        <v>3704</v>
      </c>
      <c r="C233" s="840" t="s">
        <v>3851</v>
      </c>
      <c r="D233" s="840"/>
    </row>
    <row r="234" spans="1:4">
      <c r="A234" s="840" t="s">
        <v>1949</v>
      </c>
      <c r="B234" s="840" t="s">
        <v>3705</v>
      </c>
      <c r="C234" s="840" t="s">
        <v>3851</v>
      </c>
      <c r="D234" s="840"/>
    </row>
    <row r="235" spans="1:4">
      <c r="A235" s="840" t="s">
        <v>3706</v>
      </c>
      <c r="B235" s="840" t="s">
        <v>3707</v>
      </c>
      <c r="C235" s="840" t="s">
        <v>3851</v>
      </c>
      <c r="D235" s="840"/>
    </row>
    <row r="236" spans="1:4">
      <c r="A236" s="840" t="s">
        <v>1951</v>
      </c>
      <c r="B236" s="840" t="s">
        <v>3708</v>
      </c>
      <c r="C236" s="840" t="s">
        <v>3851</v>
      </c>
      <c r="D236" s="840"/>
    </row>
    <row r="237" spans="1:4">
      <c r="A237" s="840" t="s">
        <v>1980</v>
      </c>
      <c r="B237" s="840" t="s">
        <v>3709</v>
      </c>
      <c r="C237" s="840" t="s">
        <v>3851</v>
      </c>
      <c r="D237" s="840"/>
    </row>
    <row r="238" spans="1:4">
      <c r="A238" s="840" t="s">
        <v>1983</v>
      </c>
      <c r="B238" s="840" t="s">
        <v>3710</v>
      </c>
      <c r="C238" s="840" t="s">
        <v>3851</v>
      </c>
      <c r="D238" s="840"/>
    </row>
    <row r="239" spans="1:4">
      <c r="A239" s="840" t="s">
        <v>1987</v>
      </c>
      <c r="B239" s="840" t="s">
        <v>3711</v>
      </c>
      <c r="C239" s="840" t="s">
        <v>3851</v>
      </c>
      <c r="D239" s="840"/>
    </row>
    <row r="240" spans="1:4">
      <c r="A240" s="840" t="s">
        <v>1957</v>
      </c>
      <c r="B240" s="840" t="s">
        <v>3712</v>
      </c>
      <c r="C240" s="840" t="s">
        <v>3851</v>
      </c>
      <c r="D240" s="840"/>
    </row>
    <row r="241" spans="1:4" ht="33">
      <c r="A241" s="840" t="s">
        <v>1959</v>
      </c>
      <c r="B241" s="840" t="s">
        <v>3713</v>
      </c>
      <c r="C241" s="840" t="s">
        <v>3851</v>
      </c>
      <c r="D241" s="840"/>
    </row>
    <row r="242" spans="1:4">
      <c r="A242" s="840" t="s">
        <v>1988</v>
      </c>
      <c r="B242" s="840" t="s">
        <v>3714</v>
      </c>
      <c r="C242" s="840" t="s">
        <v>3851</v>
      </c>
      <c r="D242" s="840"/>
    </row>
    <row r="243" spans="1:4" ht="49.5">
      <c r="A243" s="840" t="s">
        <v>1962</v>
      </c>
      <c r="B243" s="840" t="s">
        <v>3715</v>
      </c>
      <c r="C243" s="840" t="s">
        <v>3851</v>
      </c>
      <c r="D243" s="840"/>
    </row>
    <row r="244" spans="1:4" ht="33">
      <c r="A244" s="840" t="s">
        <v>1969</v>
      </c>
      <c r="B244" s="840" t="s">
        <v>3716</v>
      </c>
      <c r="C244" s="840" t="s">
        <v>3851</v>
      </c>
      <c r="D244" s="840"/>
    </row>
    <row r="245" spans="1:4" ht="33">
      <c r="A245" s="840" t="s">
        <v>1970</v>
      </c>
      <c r="B245" s="840" t="s">
        <v>3717</v>
      </c>
      <c r="C245" s="840" t="s">
        <v>3851</v>
      </c>
      <c r="D245" s="840"/>
    </row>
    <row r="246" spans="1:4">
      <c r="A246" s="840" t="s">
        <v>1973</v>
      </c>
      <c r="B246" s="840" t="s">
        <v>3718</v>
      </c>
      <c r="C246" s="840" t="s">
        <v>3851</v>
      </c>
      <c r="D246" s="840"/>
    </row>
    <row r="247" spans="1:4">
      <c r="A247" s="840" t="s">
        <v>1974</v>
      </c>
      <c r="B247" s="840" t="s">
        <v>3719</v>
      </c>
      <c r="C247" s="840" t="s">
        <v>3851</v>
      </c>
      <c r="D247" s="840"/>
    </row>
    <row r="248" spans="1:4">
      <c r="A248" s="840" t="s">
        <v>1975</v>
      </c>
      <c r="B248" s="840" t="s">
        <v>3720</v>
      </c>
      <c r="C248" s="840" t="s">
        <v>3851</v>
      </c>
      <c r="D248" s="840"/>
    </row>
    <row r="249" spans="1:4">
      <c r="A249" s="840" t="s">
        <v>1991</v>
      </c>
      <c r="B249" s="840" t="s">
        <v>3721</v>
      </c>
      <c r="C249" s="840" t="s">
        <v>3851</v>
      </c>
      <c r="D249" s="840"/>
    </row>
    <row r="250" spans="1:4" ht="33">
      <c r="A250" s="840" t="s">
        <v>1992</v>
      </c>
      <c r="B250" s="840" t="s">
        <v>3722</v>
      </c>
      <c r="C250" s="840" t="s">
        <v>3851</v>
      </c>
      <c r="D250" s="840"/>
    </row>
    <row r="251" spans="1:4">
      <c r="A251" s="840" t="s">
        <v>1993</v>
      </c>
      <c r="B251" s="840" t="s">
        <v>3723</v>
      </c>
      <c r="C251" s="840" t="s">
        <v>3851</v>
      </c>
      <c r="D251" s="840"/>
    </row>
    <row r="252" spans="1:4">
      <c r="A252" s="840" t="s">
        <v>1994</v>
      </c>
      <c r="B252" s="840" t="s">
        <v>3724</v>
      </c>
      <c r="C252" s="840" t="s">
        <v>3851</v>
      </c>
      <c r="D252" s="840"/>
    </row>
    <row r="253" spans="1:4">
      <c r="A253" s="840" t="s">
        <v>2023</v>
      </c>
      <c r="B253" s="840" t="s">
        <v>3725</v>
      </c>
      <c r="C253" s="840" t="s">
        <v>3851</v>
      </c>
      <c r="D253" s="840"/>
    </row>
    <row r="254" spans="1:4">
      <c r="A254" s="840" t="s">
        <v>2025</v>
      </c>
      <c r="B254" s="840" t="s">
        <v>3726</v>
      </c>
      <c r="C254" s="840" t="s">
        <v>3851</v>
      </c>
      <c r="D254" s="840"/>
    </row>
    <row r="255" spans="1:4">
      <c r="A255" s="840" t="s">
        <v>2002</v>
      </c>
      <c r="B255" s="840" t="s">
        <v>3727</v>
      </c>
      <c r="C255" s="840" t="s">
        <v>3851</v>
      </c>
      <c r="D255" s="840"/>
    </row>
    <row r="256" spans="1:4" ht="33">
      <c r="A256" s="840" t="s">
        <v>2026</v>
      </c>
      <c r="B256" s="840" t="s">
        <v>3728</v>
      </c>
      <c r="C256" s="840" t="s">
        <v>3851</v>
      </c>
      <c r="D256" s="840"/>
    </row>
    <row r="257" spans="1:4" ht="33">
      <c r="A257" s="840" t="s">
        <v>2005</v>
      </c>
      <c r="B257" s="840" t="s">
        <v>3729</v>
      </c>
      <c r="C257" s="840" t="s">
        <v>3851</v>
      </c>
      <c r="D257" s="840"/>
    </row>
    <row r="258" spans="1:4">
      <c r="A258" s="840" t="s">
        <v>2007</v>
      </c>
      <c r="B258" s="840" t="s">
        <v>3730</v>
      </c>
      <c r="C258" s="840" t="s">
        <v>3851</v>
      </c>
      <c r="D258" s="840"/>
    </row>
    <row r="259" spans="1:4">
      <c r="A259" s="840" t="s">
        <v>2009</v>
      </c>
      <c r="B259" s="840" t="s">
        <v>3731</v>
      </c>
      <c r="C259" s="840" t="s">
        <v>3851</v>
      </c>
      <c r="D259" s="840"/>
    </row>
    <row r="260" spans="1:4" ht="33">
      <c r="A260" s="840" t="s">
        <v>2011</v>
      </c>
      <c r="B260" s="840" t="s">
        <v>3732</v>
      </c>
      <c r="C260" s="840" t="s">
        <v>3851</v>
      </c>
      <c r="D260" s="840"/>
    </row>
    <row r="261" spans="1:4" ht="33">
      <c r="A261" s="840" t="s">
        <v>2027</v>
      </c>
      <c r="B261" s="840" t="s">
        <v>3733</v>
      </c>
      <c r="C261" s="840" t="s">
        <v>3851</v>
      </c>
      <c r="D261" s="840"/>
    </row>
    <row r="262" spans="1:4">
      <c r="A262" s="840" t="s">
        <v>2015</v>
      </c>
      <c r="B262" s="840" t="s">
        <v>3734</v>
      </c>
      <c r="C262" s="840" t="s">
        <v>3851</v>
      </c>
      <c r="D262" s="840"/>
    </row>
    <row r="263" spans="1:4" ht="33">
      <c r="A263" s="840" t="s">
        <v>2043</v>
      </c>
      <c r="B263" s="840" t="s">
        <v>3735</v>
      </c>
      <c r="C263" s="840" t="s">
        <v>3851</v>
      </c>
      <c r="D263" s="840"/>
    </row>
    <row r="264" spans="1:4" ht="33">
      <c r="A264" s="840" t="s">
        <v>2053</v>
      </c>
      <c r="B264" s="840" t="s">
        <v>3736</v>
      </c>
      <c r="C264" s="840" t="s">
        <v>3851</v>
      </c>
      <c r="D264" s="840"/>
    </row>
    <row r="265" spans="1:4" ht="33">
      <c r="A265" s="840" t="s">
        <v>2050</v>
      </c>
      <c r="B265" s="840" t="s">
        <v>3737</v>
      </c>
      <c r="C265" s="840" t="s">
        <v>3851</v>
      </c>
      <c r="D265" s="840"/>
    </row>
    <row r="266" spans="1:4" ht="33">
      <c r="A266" s="840" t="s">
        <v>2054</v>
      </c>
      <c r="B266" s="840" t="s">
        <v>3738</v>
      </c>
      <c r="C266" s="840" t="s">
        <v>3851</v>
      </c>
      <c r="D266" s="840"/>
    </row>
    <row r="267" spans="1:4" ht="33">
      <c r="A267" s="840" t="s">
        <v>2057</v>
      </c>
      <c r="B267" s="840" t="s">
        <v>3739</v>
      </c>
      <c r="C267" s="840" t="s">
        <v>3851</v>
      </c>
      <c r="D267" s="840"/>
    </row>
    <row r="268" spans="1:4" ht="33">
      <c r="A268" s="840" t="s">
        <v>2063</v>
      </c>
      <c r="B268" s="840" t="s">
        <v>3740</v>
      </c>
      <c r="C268" s="840" t="s">
        <v>3851</v>
      </c>
      <c r="D268" s="840"/>
    </row>
    <row r="269" spans="1:4" ht="33">
      <c r="A269" s="840" t="s">
        <v>2066</v>
      </c>
      <c r="B269" s="840" t="s">
        <v>3741</v>
      </c>
      <c r="C269" s="840" t="s">
        <v>3851</v>
      </c>
      <c r="D269" s="840"/>
    </row>
    <row r="270" spans="1:4" ht="33">
      <c r="A270" s="840" t="s">
        <v>2071</v>
      </c>
      <c r="B270" s="840" t="s">
        <v>3742</v>
      </c>
      <c r="C270" s="840" t="s">
        <v>3851</v>
      </c>
      <c r="D270" s="840"/>
    </row>
    <row r="271" spans="1:4" ht="33">
      <c r="A271" s="840" t="s">
        <v>2073</v>
      </c>
      <c r="B271" s="840" t="s">
        <v>3743</v>
      </c>
      <c r="C271" s="840" t="s">
        <v>3851</v>
      </c>
      <c r="D271" s="840"/>
    </row>
    <row r="272" spans="1:4" ht="33">
      <c r="A272" s="840" t="s">
        <v>2076</v>
      </c>
      <c r="B272" s="840" t="s">
        <v>3744</v>
      </c>
      <c r="C272" s="840" t="s">
        <v>3851</v>
      </c>
      <c r="D272" s="840"/>
    </row>
    <row r="273" spans="1:4" ht="33">
      <c r="A273" s="840" t="s">
        <v>2081</v>
      </c>
      <c r="B273" s="840" t="s">
        <v>3745</v>
      </c>
      <c r="C273" s="840" t="s">
        <v>3851</v>
      </c>
      <c r="D273" s="840"/>
    </row>
    <row r="274" spans="1:4" ht="49.5">
      <c r="A274" s="840" t="s">
        <v>2124</v>
      </c>
      <c r="B274" s="840" t="s">
        <v>3746</v>
      </c>
      <c r="C274" s="840" t="s">
        <v>3851</v>
      </c>
      <c r="D274" s="840"/>
    </row>
    <row r="275" spans="1:4" ht="49.5">
      <c r="A275" s="840" t="s">
        <v>2140</v>
      </c>
      <c r="B275" s="840" t="s">
        <v>3747</v>
      </c>
      <c r="C275" s="840" t="s">
        <v>3851</v>
      </c>
      <c r="D275" s="840"/>
    </row>
    <row r="276" spans="1:4" ht="49.5">
      <c r="A276" s="840" t="s">
        <v>2141</v>
      </c>
      <c r="B276" s="840" t="s">
        <v>3748</v>
      </c>
      <c r="C276" s="840" t="s">
        <v>3851</v>
      </c>
      <c r="D276" s="840"/>
    </row>
    <row r="277" spans="1:4" ht="49.5">
      <c r="A277" s="840" t="s">
        <v>2136</v>
      </c>
      <c r="B277" s="840" t="s">
        <v>3749</v>
      </c>
      <c r="C277" s="840" t="s">
        <v>3851</v>
      </c>
      <c r="D277" s="840"/>
    </row>
    <row r="278" spans="1:4" ht="49.5">
      <c r="A278" s="840" t="s">
        <v>2137</v>
      </c>
      <c r="B278" s="840" t="s">
        <v>3750</v>
      </c>
      <c r="C278" s="840" t="s">
        <v>3851</v>
      </c>
      <c r="D278" s="840"/>
    </row>
    <row r="279" spans="1:4" ht="33">
      <c r="A279" s="840" t="s">
        <v>2086</v>
      </c>
      <c r="B279" s="840" t="s">
        <v>3751</v>
      </c>
      <c r="C279" s="840" t="s">
        <v>3851</v>
      </c>
      <c r="D279" s="840"/>
    </row>
    <row r="280" spans="1:4">
      <c r="A280" s="840" t="s">
        <v>2087</v>
      </c>
      <c r="B280" s="840" t="s">
        <v>3752</v>
      </c>
      <c r="C280" s="840" t="s">
        <v>3851</v>
      </c>
      <c r="D280" s="840"/>
    </row>
    <row r="281" spans="1:4">
      <c r="A281" s="840" t="s">
        <v>2089</v>
      </c>
      <c r="B281" s="840" t="s">
        <v>3753</v>
      </c>
      <c r="C281" s="840" t="s">
        <v>3851</v>
      </c>
      <c r="D281" s="840"/>
    </row>
    <row r="282" spans="1:4">
      <c r="A282" s="840" t="s">
        <v>2096</v>
      </c>
      <c r="B282" s="840" t="s">
        <v>3754</v>
      </c>
      <c r="C282" s="840" t="s">
        <v>3851</v>
      </c>
      <c r="D282" s="840"/>
    </row>
    <row r="283" spans="1:4">
      <c r="A283" s="840" t="s">
        <v>2098</v>
      </c>
      <c r="B283" s="840" t="s">
        <v>3755</v>
      </c>
      <c r="C283" s="840" t="s">
        <v>3851</v>
      </c>
      <c r="D283" s="840"/>
    </row>
    <row r="284" spans="1:4">
      <c r="A284" s="840" t="s">
        <v>2099</v>
      </c>
      <c r="B284" s="840" t="s">
        <v>3756</v>
      </c>
      <c r="C284" s="840" t="s">
        <v>3851</v>
      </c>
      <c r="D284" s="840"/>
    </row>
    <row r="285" spans="1:4">
      <c r="A285" s="840" t="s">
        <v>2094</v>
      </c>
      <c r="B285" s="840" t="s">
        <v>3757</v>
      </c>
      <c r="C285" s="840" t="s">
        <v>3851</v>
      </c>
      <c r="D285" s="840"/>
    </row>
    <row r="286" spans="1:4">
      <c r="A286" s="840" t="s">
        <v>2100</v>
      </c>
      <c r="B286" s="840" t="s">
        <v>3758</v>
      </c>
      <c r="C286" s="840" t="s">
        <v>3851</v>
      </c>
      <c r="D286" s="840"/>
    </row>
    <row r="287" spans="1:4" ht="33">
      <c r="A287" s="840" t="s">
        <v>2103</v>
      </c>
      <c r="B287" s="840" t="s">
        <v>3759</v>
      </c>
      <c r="C287" s="840" t="s">
        <v>3851</v>
      </c>
      <c r="D287" s="840"/>
    </row>
    <row r="288" spans="1:4">
      <c r="A288" s="840" t="s">
        <v>2107</v>
      </c>
      <c r="B288" s="840" t="s">
        <v>3760</v>
      </c>
      <c r="C288" s="840" t="s">
        <v>3851</v>
      </c>
      <c r="D288" s="840"/>
    </row>
    <row r="289" spans="1:4">
      <c r="A289" s="840" t="s">
        <v>2109</v>
      </c>
      <c r="B289" s="840" t="s">
        <v>3761</v>
      </c>
      <c r="C289" s="840" t="s">
        <v>3851</v>
      </c>
      <c r="D289" s="840"/>
    </row>
    <row r="290" spans="1:4">
      <c r="A290" s="840" t="s">
        <v>2112</v>
      </c>
      <c r="B290" s="840" t="s">
        <v>3762</v>
      </c>
      <c r="C290" s="840" t="s">
        <v>3851</v>
      </c>
      <c r="D290" s="840"/>
    </row>
    <row r="291" spans="1:4">
      <c r="A291" s="840" t="s">
        <v>2125</v>
      </c>
      <c r="B291" s="840" t="s">
        <v>3763</v>
      </c>
      <c r="C291" s="840" t="s">
        <v>3851</v>
      </c>
      <c r="D291" s="840"/>
    </row>
    <row r="292" spans="1:4" ht="33">
      <c r="A292" s="840" t="s">
        <v>2127</v>
      </c>
      <c r="B292" s="840" t="s">
        <v>3764</v>
      </c>
      <c r="C292" s="840" t="s">
        <v>3851</v>
      </c>
      <c r="D292" s="840"/>
    </row>
    <row r="293" spans="1:4" ht="33">
      <c r="A293" s="840" t="s">
        <v>2129</v>
      </c>
      <c r="B293" s="840" t="s">
        <v>3765</v>
      </c>
      <c r="C293" s="840" t="s">
        <v>3851</v>
      </c>
      <c r="D293" s="840"/>
    </row>
    <row r="294" spans="1:4" ht="33">
      <c r="A294" s="840" t="s">
        <v>2130</v>
      </c>
      <c r="B294" s="840" t="s">
        <v>3766</v>
      </c>
      <c r="C294" s="840" t="s">
        <v>3851</v>
      </c>
      <c r="D294" s="840"/>
    </row>
    <row r="295" spans="1:4" ht="33">
      <c r="A295" s="840" t="s">
        <v>2118</v>
      </c>
      <c r="B295" s="840" t="s">
        <v>3767</v>
      </c>
      <c r="C295" s="840" t="s">
        <v>3851</v>
      </c>
      <c r="D295" s="840"/>
    </row>
    <row r="296" spans="1:4" ht="49.5">
      <c r="A296" s="840" t="s">
        <v>2142</v>
      </c>
      <c r="B296" s="840" t="s">
        <v>3768</v>
      </c>
      <c r="C296" s="840" t="s">
        <v>3851</v>
      </c>
      <c r="D296" s="840"/>
    </row>
    <row r="297" spans="1:4" ht="49.5">
      <c r="A297" s="840" t="s">
        <v>2139</v>
      </c>
      <c r="B297" s="840" t="s">
        <v>3769</v>
      </c>
      <c r="C297" s="840" t="s">
        <v>3851</v>
      </c>
      <c r="D297" s="840"/>
    </row>
    <row r="298" spans="1:4" ht="33">
      <c r="A298" s="840" t="s">
        <v>2239</v>
      </c>
      <c r="B298" s="840" t="s">
        <v>3770</v>
      </c>
      <c r="C298" s="840" t="s">
        <v>3851</v>
      </c>
      <c r="D298" s="840"/>
    </row>
    <row r="299" spans="1:4" ht="33">
      <c r="A299" s="840" t="s">
        <v>2240</v>
      </c>
      <c r="B299" s="840" t="s">
        <v>3771</v>
      </c>
      <c r="C299" s="840" t="s">
        <v>3851</v>
      </c>
      <c r="D299" s="840"/>
    </row>
    <row r="300" spans="1:4" ht="33">
      <c r="A300" s="840" t="s">
        <v>2241</v>
      </c>
      <c r="B300" s="840" t="s">
        <v>3772</v>
      </c>
      <c r="C300" s="840" t="s">
        <v>3851</v>
      </c>
      <c r="D300" s="840"/>
    </row>
    <row r="301" spans="1:4" ht="49.5">
      <c r="A301" s="840" t="s">
        <v>2143</v>
      </c>
      <c r="B301" s="840" t="s">
        <v>3773</v>
      </c>
      <c r="C301" s="840" t="s">
        <v>3851</v>
      </c>
      <c r="D301" s="840"/>
    </row>
    <row r="302" spans="1:4" ht="49.5">
      <c r="A302" s="840" t="s">
        <v>2144</v>
      </c>
      <c r="B302" s="840" t="s">
        <v>3774</v>
      </c>
      <c r="C302" s="840" t="s">
        <v>3851</v>
      </c>
      <c r="D302" s="840"/>
    </row>
    <row r="303" spans="1:4" ht="49.5">
      <c r="A303" s="840" t="s">
        <v>2145</v>
      </c>
      <c r="B303" s="840" t="s">
        <v>3775</v>
      </c>
      <c r="C303" s="840" t="s">
        <v>3851</v>
      </c>
      <c r="D303" s="840"/>
    </row>
    <row r="304" spans="1:4">
      <c r="A304" s="840" t="s">
        <v>2177</v>
      </c>
      <c r="B304" s="840" t="s">
        <v>3776</v>
      </c>
      <c r="C304" s="840" t="s">
        <v>3851</v>
      </c>
      <c r="D304" s="840"/>
    </row>
    <row r="305" spans="1:4" ht="33">
      <c r="A305" s="840" t="s">
        <v>2179</v>
      </c>
      <c r="B305" s="840" t="s">
        <v>3777</v>
      </c>
      <c r="C305" s="840" t="s">
        <v>3851</v>
      </c>
      <c r="D305" s="840"/>
    </row>
    <row r="306" spans="1:4" ht="33">
      <c r="A306" s="840" t="s">
        <v>2149</v>
      </c>
      <c r="B306" s="840" t="s">
        <v>3778</v>
      </c>
      <c r="C306" s="840" t="s">
        <v>3851</v>
      </c>
      <c r="D306" s="840"/>
    </row>
    <row r="307" spans="1:4">
      <c r="A307" s="840" t="s">
        <v>2166</v>
      </c>
      <c r="B307" s="840" t="s">
        <v>3779</v>
      </c>
      <c r="C307" s="840" t="s">
        <v>3851</v>
      </c>
      <c r="D307" s="840"/>
    </row>
    <row r="308" spans="1:4" ht="33">
      <c r="A308" s="840" t="s">
        <v>2169</v>
      </c>
      <c r="B308" s="840" t="s">
        <v>3780</v>
      </c>
      <c r="C308" s="840" t="s">
        <v>3851</v>
      </c>
      <c r="D308" s="840"/>
    </row>
    <row r="309" spans="1:4" ht="66">
      <c r="A309" s="840" t="s">
        <v>2180</v>
      </c>
      <c r="B309" s="840" t="s">
        <v>3781</v>
      </c>
      <c r="C309" s="840" t="s">
        <v>3851</v>
      </c>
      <c r="D309" s="840"/>
    </row>
    <row r="310" spans="1:4" ht="33">
      <c r="A310" s="840" t="s">
        <v>2182</v>
      </c>
      <c r="B310" s="840" t="s">
        <v>3782</v>
      </c>
      <c r="C310" s="840" t="s">
        <v>3851</v>
      </c>
      <c r="D310" s="840"/>
    </row>
    <row r="311" spans="1:4" ht="49.5">
      <c r="A311" s="840" t="s">
        <v>2191</v>
      </c>
      <c r="B311" s="840" t="s">
        <v>3783</v>
      </c>
      <c r="C311" s="840" t="s">
        <v>3851</v>
      </c>
      <c r="D311" s="840"/>
    </row>
    <row r="312" spans="1:4" ht="49.5">
      <c r="A312" s="840" t="s">
        <v>2194</v>
      </c>
      <c r="B312" s="840" t="s">
        <v>3784</v>
      </c>
      <c r="C312" s="840" t="s">
        <v>3851</v>
      </c>
      <c r="D312" s="840"/>
    </row>
    <row r="313" spans="1:4">
      <c r="A313" s="840" t="s">
        <v>2195</v>
      </c>
      <c r="B313" s="840" t="s">
        <v>3785</v>
      </c>
      <c r="C313" s="840" t="s">
        <v>3851</v>
      </c>
      <c r="D313" s="840"/>
    </row>
    <row r="314" spans="1:4" ht="33">
      <c r="A314" s="840" t="s">
        <v>2197</v>
      </c>
      <c r="B314" s="840" t="s">
        <v>3786</v>
      </c>
      <c r="C314" s="840" t="s">
        <v>3851</v>
      </c>
      <c r="D314" s="840"/>
    </row>
    <row r="315" spans="1:4" ht="33">
      <c r="A315" s="840" t="s">
        <v>2203</v>
      </c>
      <c r="B315" s="840" t="s">
        <v>3787</v>
      </c>
      <c r="C315" s="840" t="s">
        <v>3851</v>
      </c>
      <c r="D315" s="840"/>
    </row>
    <row r="316" spans="1:4" ht="33">
      <c r="A316" s="840" t="s">
        <v>2221</v>
      </c>
      <c r="B316" s="840" t="s">
        <v>3788</v>
      </c>
      <c r="C316" s="840" t="s">
        <v>3851</v>
      </c>
      <c r="D316" s="840"/>
    </row>
    <row r="317" spans="1:4" ht="33">
      <c r="A317" s="840" t="s">
        <v>2206</v>
      </c>
      <c r="B317" s="840" t="s">
        <v>3789</v>
      </c>
      <c r="C317" s="840" t="s">
        <v>3851</v>
      </c>
      <c r="D317" s="840"/>
    </row>
    <row r="318" spans="1:4">
      <c r="A318" s="840" t="s">
        <v>2222</v>
      </c>
      <c r="B318" s="840" t="s">
        <v>3790</v>
      </c>
      <c r="C318" s="840" t="s">
        <v>3851</v>
      </c>
      <c r="D318" s="840"/>
    </row>
    <row r="319" spans="1:4">
      <c r="A319" s="840" t="s">
        <v>2210</v>
      </c>
      <c r="B319" s="840" t="s">
        <v>3791</v>
      </c>
      <c r="C319" s="840" t="s">
        <v>3851</v>
      </c>
      <c r="D319" s="840"/>
    </row>
    <row r="320" spans="1:4">
      <c r="A320" s="840" t="s">
        <v>2211</v>
      </c>
      <c r="B320" s="840" t="s">
        <v>3792</v>
      </c>
      <c r="C320" s="840" t="s">
        <v>3851</v>
      </c>
      <c r="D320" s="840"/>
    </row>
    <row r="321" spans="1:4" ht="33">
      <c r="A321" s="840" t="s">
        <v>2223</v>
      </c>
      <c r="B321" s="840" t="s">
        <v>3793</v>
      </c>
      <c r="C321" s="840" t="s">
        <v>3851</v>
      </c>
      <c r="D321" s="840"/>
    </row>
    <row r="322" spans="1:4" ht="33">
      <c r="A322" s="840" t="s">
        <v>2217</v>
      </c>
      <c r="B322" s="840" t="s">
        <v>3794</v>
      </c>
      <c r="C322" s="840" t="s">
        <v>3851</v>
      </c>
      <c r="D322" s="840"/>
    </row>
    <row r="323" spans="1:4" ht="33">
      <c r="A323" s="840" t="s">
        <v>2218</v>
      </c>
      <c r="B323" s="840" t="s">
        <v>3795</v>
      </c>
      <c r="C323" s="840" t="s">
        <v>3851</v>
      </c>
      <c r="D323" s="840"/>
    </row>
    <row r="324" spans="1:4" ht="33">
      <c r="A324" s="840" t="s">
        <v>2219</v>
      </c>
      <c r="B324" s="840" t="s">
        <v>3796</v>
      </c>
      <c r="C324" s="840" t="s">
        <v>3851</v>
      </c>
      <c r="D324" s="840"/>
    </row>
    <row r="325" spans="1:4" ht="33">
      <c r="A325" s="840" t="s">
        <v>2224</v>
      </c>
      <c r="B325" s="840" t="s">
        <v>3797</v>
      </c>
      <c r="C325" s="840" t="s">
        <v>3851</v>
      </c>
      <c r="D325" s="840"/>
    </row>
    <row r="326" spans="1:4" ht="33">
      <c r="A326" s="840" t="s">
        <v>2225</v>
      </c>
      <c r="B326" s="840" t="s">
        <v>3798</v>
      </c>
      <c r="C326" s="840" t="s">
        <v>3851</v>
      </c>
      <c r="D326" s="840"/>
    </row>
    <row r="327" spans="1:4" ht="33">
      <c r="A327" s="840" t="s">
        <v>2238</v>
      </c>
      <c r="B327" s="840" t="s">
        <v>3799</v>
      </c>
      <c r="C327" s="840" t="s">
        <v>3851</v>
      </c>
      <c r="D327" s="840"/>
    </row>
    <row r="328" spans="1:4" ht="33">
      <c r="A328" s="840" t="s">
        <v>143</v>
      </c>
      <c r="B328" s="840" t="s">
        <v>144</v>
      </c>
      <c r="C328" s="840" t="s">
        <v>3851</v>
      </c>
      <c r="D328" s="840"/>
    </row>
    <row r="329" spans="1:4" ht="33">
      <c r="A329" s="840" t="s">
        <v>2230</v>
      </c>
      <c r="B329" s="840" t="s">
        <v>3800</v>
      </c>
      <c r="C329" s="840" t="s">
        <v>3851</v>
      </c>
      <c r="D329" s="840"/>
    </row>
    <row r="330" spans="1:4" ht="33">
      <c r="A330" s="840" t="s">
        <v>2231</v>
      </c>
      <c r="B330" s="840" t="s">
        <v>3801</v>
      </c>
      <c r="C330" s="840" t="s">
        <v>3851</v>
      </c>
      <c r="D330" s="840"/>
    </row>
    <row r="331" spans="1:4">
      <c r="A331" s="840" t="s">
        <v>2236</v>
      </c>
      <c r="B331" s="840" t="s">
        <v>3802</v>
      </c>
      <c r="C331" s="840" t="s">
        <v>3851</v>
      </c>
      <c r="D331" s="840"/>
    </row>
    <row r="332" spans="1:4" ht="33">
      <c r="A332" s="840" t="s">
        <v>2242</v>
      </c>
      <c r="B332" s="840" t="s">
        <v>3803</v>
      </c>
      <c r="C332" s="840" t="s">
        <v>3851</v>
      </c>
      <c r="D332" s="840"/>
    </row>
    <row r="333" spans="1:4" ht="33">
      <c r="A333" s="840" t="s">
        <v>2313</v>
      </c>
      <c r="B333" s="840" t="s">
        <v>3804</v>
      </c>
      <c r="C333" s="840" t="s">
        <v>3851</v>
      </c>
      <c r="D333" s="840"/>
    </row>
    <row r="334" spans="1:4">
      <c r="A334" s="840" t="s">
        <v>2319</v>
      </c>
      <c r="B334" s="840" t="s">
        <v>3805</v>
      </c>
      <c r="C334" s="840" t="s">
        <v>3851</v>
      </c>
      <c r="D334" s="840"/>
    </row>
    <row r="335" spans="1:4" ht="33">
      <c r="A335" s="840" t="s">
        <v>148</v>
      </c>
      <c r="B335" s="840" t="s">
        <v>3806</v>
      </c>
      <c r="C335" s="840" t="s">
        <v>3851</v>
      </c>
      <c r="D335" s="840"/>
    </row>
    <row r="336" spans="1:4">
      <c r="A336" s="840" t="s">
        <v>2321</v>
      </c>
      <c r="B336" s="840" t="s">
        <v>3807</v>
      </c>
      <c r="C336" s="840" t="s">
        <v>3851</v>
      </c>
      <c r="D336" s="840"/>
    </row>
    <row r="337" spans="1:4">
      <c r="A337" s="840" t="s">
        <v>2326</v>
      </c>
      <c r="B337" s="840" t="s">
        <v>3808</v>
      </c>
      <c r="C337" s="840" t="s">
        <v>3851</v>
      </c>
      <c r="D337" s="840"/>
    </row>
    <row r="338" spans="1:4">
      <c r="A338" s="840" t="s">
        <v>2258</v>
      </c>
      <c r="B338" s="840" t="s">
        <v>3809</v>
      </c>
      <c r="C338" s="840" t="s">
        <v>3851</v>
      </c>
      <c r="D338" s="840"/>
    </row>
    <row r="339" spans="1:4" ht="33">
      <c r="A339" s="840" t="s">
        <v>2266</v>
      </c>
      <c r="B339" s="840" t="s">
        <v>3810</v>
      </c>
      <c r="C339" s="840" t="s">
        <v>3851</v>
      </c>
      <c r="D339" s="840"/>
    </row>
    <row r="340" spans="1:4" ht="33">
      <c r="A340" s="840" t="s">
        <v>2270</v>
      </c>
      <c r="B340" s="840" t="s">
        <v>3811</v>
      </c>
      <c r="C340" s="840" t="s">
        <v>3851</v>
      </c>
      <c r="D340" s="840"/>
    </row>
    <row r="341" spans="1:4">
      <c r="A341" s="840" t="s">
        <v>2273</v>
      </c>
      <c r="B341" s="840" t="s">
        <v>3812</v>
      </c>
      <c r="C341" s="840" t="s">
        <v>3851</v>
      </c>
      <c r="D341" s="840"/>
    </row>
    <row r="342" spans="1:4">
      <c r="A342" s="840" t="s">
        <v>2330</v>
      </c>
      <c r="B342" s="840" t="s">
        <v>3813</v>
      </c>
      <c r="C342" s="840" t="s">
        <v>3851</v>
      </c>
      <c r="D342" s="840"/>
    </row>
    <row r="343" spans="1:4">
      <c r="A343" s="840" t="s">
        <v>2334</v>
      </c>
      <c r="B343" s="840" t="s">
        <v>3814</v>
      </c>
      <c r="C343" s="840" t="s">
        <v>3851</v>
      </c>
      <c r="D343" s="840"/>
    </row>
    <row r="344" spans="1:4">
      <c r="A344" s="840" t="s">
        <v>2338</v>
      </c>
      <c r="B344" s="840" t="s">
        <v>3815</v>
      </c>
      <c r="C344" s="840" t="s">
        <v>3851</v>
      </c>
      <c r="D344" s="840"/>
    </row>
    <row r="345" spans="1:4">
      <c r="A345" s="840" t="s">
        <v>2341</v>
      </c>
      <c r="B345" s="840" t="s">
        <v>3816</v>
      </c>
      <c r="C345" s="840" t="s">
        <v>3851</v>
      </c>
      <c r="D345" s="840"/>
    </row>
    <row r="346" spans="1:4" ht="33">
      <c r="A346" s="840" t="s">
        <v>2275</v>
      </c>
      <c r="B346" s="840" t="s">
        <v>3817</v>
      </c>
      <c r="C346" s="840" t="s">
        <v>3851</v>
      </c>
      <c r="D346" s="840"/>
    </row>
    <row r="347" spans="1:4" ht="33">
      <c r="A347" s="840" t="s">
        <v>2278</v>
      </c>
      <c r="B347" s="840" t="s">
        <v>3818</v>
      </c>
      <c r="C347" s="840" t="s">
        <v>3851</v>
      </c>
      <c r="D347" s="840"/>
    </row>
    <row r="348" spans="1:4" ht="49.5">
      <c r="A348" s="840" t="s">
        <v>2281</v>
      </c>
      <c r="B348" s="840" t="s">
        <v>3819</v>
      </c>
      <c r="C348" s="840" t="s">
        <v>3851</v>
      </c>
      <c r="D348" s="840"/>
    </row>
    <row r="349" spans="1:4" ht="49.5">
      <c r="A349" s="840" t="s">
        <v>2283</v>
      </c>
      <c r="B349" s="840" t="s">
        <v>3820</v>
      </c>
      <c r="C349" s="840" t="s">
        <v>3851</v>
      </c>
      <c r="D349" s="840"/>
    </row>
    <row r="350" spans="1:4">
      <c r="A350" s="840" t="s">
        <v>2285</v>
      </c>
      <c r="B350" s="840" t="s">
        <v>3821</v>
      </c>
      <c r="C350" s="840" t="s">
        <v>3851</v>
      </c>
      <c r="D350" s="840"/>
    </row>
    <row r="351" spans="1:4">
      <c r="A351" s="840" t="s">
        <v>2287</v>
      </c>
      <c r="B351" s="840" t="s">
        <v>3822</v>
      </c>
      <c r="C351" s="840" t="s">
        <v>3851</v>
      </c>
      <c r="D351" s="840"/>
    </row>
    <row r="352" spans="1:4">
      <c r="A352" s="840" t="s">
        <v>2344</v>
      </c>
      <c r="B352" s="840" t="s">
        <v>3823</v>
      </c>
      <c r="C352" s="840" t="s">
        <v>3851</v>
      </c>
      <c r="D352" s="840"/>
    </row>
    <row r="353" spans="1:4" ht="33">
      <c r="A353" s="840" t="s">
        <v>2348</v>
      </c>
      <c r="B353" s="840" t="s">
        <v>3824</v>
      </c>
      <c r="C353" s="840" t="s">
        <v>3851</v>
      </c>
      <c r="D353" s="840"/>
    </row>
    <row r="354" spans="1:4" ht="33">
      <c r="A354" s="840" t="s">
        <v>2350</v>
      </c>
      <c r="B354" s="840" t="s">
        <v>3825</v>
      </c>
      <c r="C354" s="840" t="s">
        <v>3851</v>
      </c>
      <c r="D354" s="840"/>
    </row>
    <row r="355" spans="1:4" ht="33">
      <c r="A355" s="840" t="s">
        <v>2352</v>
      </c>
      <c r="B355" s="840" t="s">
        <v>145</v>
      </c>
      <c r="C355" s="840" t="s">
        <v>3851</v>
      </c>
      <c r="D355" s="840"/>
    </row>
    <row r="356" spans="1:4" ht="33">
      <c r="A356" s="840" t="s">
        <v>2354</v>
      </c>
      <c r="B356" s="840" t="s">
        <v>3826</v>
      </c>
      <c r="C356" s="840" t="s">
        <v>3851</v>
      </c>
      <c r="D356" s="840"/>
    </row>
    <row r="357" spans="1:4" ht="33">
      <c r="A357" s="840" t="s">
        <v>2291</v>
      </c>
      <c r="B357" s="840" t="s">
        <v>3827</v>
      </c>
      <c r="C357" s="840" t="s">
        <v>3851</v>
      </c>
      <c r="D357" s="840"/>
    </row>
    <row r="358" spans="1:4" ht="33">
      <c r="A358" s="840" t="s">
        <v>2294</v>
      </c>
      <c r="B358" s="840" t="s">
        <v>3828</v>
      </c>
      <c r="C358" s="840" t="s">
        <v>3851</v>
      </c>
      <c r="D358" s="840"/>
    </row>
    <row r="359" spans="1:4">
      <c r="A359" s="840" t="s">
        <v>2297</v>
      </c>
      <c r="B359" s="840" t="s">
        <v>3829</v>
      </c>
      <c r="C359" s="840" t="s">
        <v>3851</v>
      </c>
      <c r="D359" s="840"/>
    </row>
    <row r="360" spans="1:4" ht="33">
      <c r="A360" s="840" t="s">
        <v>2299</v>
      </c>
      <c r="B360" s="840" t="s">
        <v>3830</v>
      </c>
      <c r="C360" s="840" t="s">
        <v>3851</v>
      </c>
      <c r="D360" s="840"/>
    </row>
    <row r="361" spans="1:4" ht="33">
      <c r="A361" s="840" t="s">
        <v>2355</v>
      </c>
      <c r="B361" s="840" t="s">
        <v>3831</v>
      </c>
      <c r="C361" s="840" t="s">
        <v>3851</v>
      </c>
      <c r="D361" s="840"/>
    </row>
    <row r="362" spans="1:4" ht="33">
      <c r="A362" s="840" t="s">
        <v>2312</v>
      </c>
      <c r="B362" s="840" t="s">
        <v>3832</v>
      </c>
      <c r="C362" s="840" t="s">
        <v>3851</v>
      </c>
      <c r="D362" s="840"/>
    </row>
    <row r="363" spans="1:4" ht="33">
      <c r="A363" s="840" t="s">
        <v>2357</v>
      </c>
      <c r="B363" s="840" t="s">
        <v>3833</v>
      </c>
      <c r="C363" s="840" t="s">
        <v>3851</v>
      </c>
      <c r="D363" s="840"/>
    </row>
    <row r="364" spans="1:4" ht="33">
      <c r="A364" s="840" t="s">
        <v>2358</v>
      </c>
      <c r="B364" s="840" t="s">
        <v>3834</v>
      </c>
      <c r="C364" s="840" t="s">
        <v>3851</v>
      </c>
      <c r="D364" s="840"/>
    </row>
    <row r="365" spans="1:4" ht="33">
      <c r="A365" s="840" t="s">
        <v>2359</v>
      </c>
      <c r="B365" s="840" t="s">
        <v>3835</v>
      </c>
      <c r="C365" s="840" t="s">
        <v>3851</v>
      </c>
      <c r="D365" s="840"/>
    </row>
    <row r="366" spans="1:4" ht="33">
      <c r="A366" s="840" t="s">
        <v>2360</v>
      </c>
      <c r="B366" s="840" t="s">
        <v>3836</v>
      </c>
      <c r="C366" s="840" t="s">
        <v>3851</v>
      </c>
      <c r="D366" s="840"/>
    </row>
    <row r="367" spans="1:4" ht="33">
      <c r="A367" s="840" t="s">
        <v>346</v>
      </c>
      <c r="B367" s="840" t="s">
        <v>406</v>
      </c>
      <c r="C367" s="840" t="s">
        <v>3851</v>
      </c>
      <c r="D367" s="840"/>
    </row>
    <row r="368" spans="1:4">
      <c r="A368" s="841" t="s">
        <v>407</v>
      </c>
      <c r="B368" s="841" t="s">
        <v>4432</v>
      </c>
      <c r="C368" s="841"/>
      <c r="D368" s="841"/>
    </row>
  </sheetData>
  <mergeCells count="1">
    <mergeCell ref="A1:D1"/>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4">
    <tabColor rgb="FFFF0000"/>
  </sheetPr>
  <dimension ref="A1:AC32"/>
  <sheetViews>
    <sheetView showZeros="0" topLeftCell="L1" zoomScale="90" zoomScaleNormal="90" workbookViewId="0">
      <selection activeCell="V14" sqref="V14"/>
    </sheetView>
  </sheetViews>
  <sheetFormatPr defaultRowHeight="16.5"/>
  <cols>
    <col min="1" max="1" width="8.88671875" customWidth="1"/>
    <col min="17" max="17" width="10.33203125" customWidth="1"/>
    <col min="18" max="18" width="15.33203125" bestFit="1" customWidth="1"/>
    <col min="19" max="19" width="3.5546875" customWidth="1"/>
    <col min="20" max="20" width="13.109375" bestFit="1" customWidth="1"/>
    <col min="21" max="21" width="10.33203125" bestFit="1" customWidth="1"/>
    <col min="22" max="22" width="29.21875" bestFit="1" customWidth="1"/>
    <col min="23" max="23" width="12.109375" bestFit="1" customWidth="1"/>
    <col min="28" max="28" width="15" bestFit="1" customWidth="1"/>
    <col min="29" max="29" width="52.33203125" bestFit="1" customWidth="1"/>
  </cols>
  <sheetData>
    <row r="1" spans="1:29">
      <c r="A1" s="75"/>
      <c r="Q1" s="1318" t="s">
        <v>5903</v>
      </c>
      <c r="R1" s="1318"/>
      <c r="AA1">
        <v>1</v>
      </c>
      <c r="AB1" t="s">
        <v>4439</v>
      </c>
    </row>
    <row r="2" spans="1:29">
      <c r="A2" s="75"/>
      <c r="Q2" s="282" t="s">
        <v>22</v>
      </c>
      <c r="R2" s="282" t="s">
        <v>207</v>
      </c>
      <c r="AA2">
        <f>AA1+1</f>
        <v>2</v>
      </c>
      <c r="AB2" t="s">
        <v>4436</v>
      </c>
      <c r="AC2" t="s">
        <v>4434</v>
      </c>
    </row>
    <row r="3" spans="1:29">
      <c r="A3" s="75"/>
      <c r="Q3" s="283" t="s">
        <v>5897</v>
      </c>
      <c r="R3" s="1265" t="s">
        <v>443</v>
      </c>
      <c r="AA3">
        <f>AA2+1</f>
        <v>3</v>
      </c>
      <c r="AB3" t="s">
        <v>4437</v>
      </c>
      <c r="AC3" t="s">
        <v>221</v>
      </c>
    </row>
    <row r="4" spans="1:29">
      <c r="A4" s="75"/>
      <c r="Q4" s="283" t="s">
        <v>4037</v>
      </c>
      <c r="R4" s="1265" t="s">
        <v>205</v>
      </c>
      <c r="AA4">
        <f>AA3+1</f>
        <v>4</v>
      </c>
      <c r="AB4" t="s">
        <v>4435</v>
      </c>
      <c r="AC4" t="s">
        <v>421</v>
      </c>
    </row>
    <row r="5" spans="1:29">
      <c r="A5" s="75"/>
      <c r="Q5" s="283" t="s">
        <v>4039</v>
      </c>
      <c r="R5" s="1265" t="s">
        <v>206</v>
      </c>
      <c r="AA5">
        <f>AA4+1</f>
        <v>5</v>
      </c>
      <c r="AB5" t="s">
        <v>4438</v>
      </c>
      <c r="AC5" t="s">
        <v>444</v>
      </c>
    </row>
    <row r="6" spans="1:29">
      <c r="A6" s="75"/>
      <c r="Q6" s="283" t="s">
        <v>4052</v>
      </c>
      <c r="R6" s="1265" t="s">
        <v>4134</v>
      </c>
      <c r="AA6">
        <v>6</v>
      </c>
      <c r="AB6" t="s">
        <v>5419</v>
      </c>
    </row>
    <row r="7" spans="1:29">
      <c r="A7" s="75"/>
      <c r="Q7" s="283" t="s">
        <v>4053</v>
      </c>
      <c r="R7" s="1265" t="s">
        <v>4135</v>
      </c>
      <c r="AA7">
        <v>7</v>
      </c>
      <c r="AB7" t="s">
        <v>5420</v>
      </c>
    </row>
    <row r="8" spans="1:29">
      <c r="A8" s="75"/>
      <c r="Q8" s="283" t="s">
        <v>4028</v>
      </c>
      <c r="R8" s="1265" t="s">
        <v>5898</v>
      </c>
    </row>
    <row r="9" spans="1:29">
      <c r="A9" s="75"/>
      <c r="Q9" s="283" t="s">
        <v>3994</v>
      </c>
      <c r="R9" s="1265" t="s">
        <v>4044</v>
      </c>
    </row>
    <row r="10" spans="1:29">
      <c r="A10" s="75"/>
      <c r="Q10" s="283" t="s">
        <v>3992</v>
      </c>
      <c r="R10" s="1265" t="s">
        <v>4047</v>
      </c>
    </row>
    <row r="11" spans="1:29">
      <c r="A11" s="75"/>
      <c r="Q11" s="283" t="s">
        <v>4029</v>
      </c>
      <c r="R11" s="1265" t="s">
        <v>4059</v>
      </c>
    </row>
    <row r="12" spans="1:29">
      <c r="A12" s="75"/>
      <c r="Q12" s="283" t="s">
        <v>3990</v>
      </c>
      <c r="R12" s="1265" t="s">
        <v>4136</v>
      </c>
    </row>
    <row r="13" spans="1:29">
      <c r="A13" s="75"/>
      <c r="Q13" s="283" t="s">
        <v>4119</v>
      </c>
      <c r="R13" s="1265" t="s">
        <v>4137</v>
      </c>
    </row>
    <row r="14" spans="1:29">
      <c r="A14" s="75"/>
      <c r="Q14" s="283" t="s">
        <v>3997</v>
      </c>
      <c r="R14" s="1265" t="s">
        <v>4189</v>
      </c>
    </row>
    <row r="15" spans="1:29">
      <c r="A15" s="75"/>
      <c r="Q15" s="283" t="s">
        <v>4041</v>
      </c>
      <c r="R15" s="1265" t="s">
        <v>5899</v>
      </c>
    </row>
    <row r="16" spans="1:29">
      <c r="A16" s="75"/>
      <c r="Q16" s="283" t="s">
        <v>4011</v>
      </c>
      <c r="R16" s="1265" t="s">
        <v>5900</v>
      </c>
    </row>
    <row r="17" spans="1:18">
      <c r="A17" s="75"/>
      <c r="Q17" s="283" t="s">
        <v>3996</v>
      </c>
      <c r="R17" s="1265" t="s">
        <v>5901</v>
      </c>
    </row>
    <row r="18" spans="1:18">
      <c r="A18" s="75"/>
      <c r="Q18" s="283" t="s">
        <v>4077</v>
      </c>
      <c r="R18" s="1265" t="s">
        <v>4142</v>
      </c>
    </row>
    <row r="19" spans="1:18">
      <c r="A19" s="75"/>
      <c r="Q19" s="283" t="s">
        <v>4031</v>
      </c>
      <c r="R19" s="1265" t="s">
        <v>4143</v>
      </c>
    </row>
    <row r="20" spans="1:18">
      <c r="A20" s="75"/>
      <c r="Q20" s="283" t="s">
        <v>4083</v>
      </c>
      <c r="R20" s="1265" t="s">
        <v>415</v>
      </c>
    </row>
    <row r="21" spans="1:18">
      <c r="A21" s="75"/>
      <c r="Q21" s="283" t="s">
        <v>4086</v>
      </c>
      <c r="R21" s="1265" t="s">
        <v>416</v>
      </c>
    </row>
    <row r="22" spans="1:18">
      <c r="A22" s="75"/>
      <c r="Q22" s="283" t="s">
        <v>4089</v>
      </c>
      <c r="R22" s="1265" t="s">
        <v>417</v>
      </c>
    </row>
    <row r="23" spans="1:18">
      <c r="A23" s="75"/>
      <c r="Q23" s="283" t="s">
        <v>4092</v>
      </c>
      <c r="R23" s="1265" t="s">
        <v>418</v>
      </c>
    </row>
    <row r="24" spans="1:18">
      <c r="A24" s="75"/>
      <c r="Q24" s="283" t="s">
        <v>4095</v>
      </c>
      <c r="R24" s="1265" t="s">
        <v>419</v>
      </c>
    </row>
    <row r="25" spans="1:18">
      <c r="A25" s="75"/>
      <c r="Q25" s="283" t="s">
        <v>4098</v>
      </c>
      <c r="R25" s="1265" t="s">
        <v>420</v>
      </c>
    </row>
    <row r="26" spans="1:18">
      <c r="A26" s="75"/>
      <c r="Q26" s="283" t="s">
        <v>4032</v>
      </c>
      <c r="R26" s="1265" t="s">
        <v>4101</v>
      </c>
    </row>
    <row r="27" spans="1:18">
      <c r="A27" s="75"/>
      <c r="Q27" s="283" t="s">
        <v>4033</v>
      </c>
      <c r="R27" s="1265" t="s">
        <v>4144</v>
      </c>
    </row>
    <row r="28" spans="1:18">
      <c r="A28" s="75"/>
      <c r="Q28" s="283" t="s">
        <v>4034</v>
      </c>
      <c r="R28" s="1265" t="s">
        <v>4145</v>
      </c>
    </row>
    <row r="29" spans="1:18">
      <c r="A29" s="75"/>
      <c r="Q29" s="283" t="s">
        <v>4035</v>
      </c>
      <c r="R29" s="1265" t="s">
        <v>4146</v>
      </c>
    </row>
    <row r="30" spans="1:18">
      <c r="A30" s="75"/>
      <c r="Q30" s="283" t="s">
        <v>5902</v>
      </c>
      <c r="R30" s="1265" t="s">
        <v>4117</v>
      </c>
    </row>
    <row r="31" spans="1:18">
      <c r="Q31" s="283" t="s">
        <v>4030</v>
      </c>
      <c r="R31" s="1265" t="s">
        <v>4147</v>
      </c>
    </row>
    <row r="32" spans="1:18">
      <c r="Q32" s="283" t="s">
        <v>4060</v>
      </c>
      <c r="R32" s="1265" t="s">
        <v>4148</v>
      </c>
    </row>
  </sheetData>
  <mergeCells count="1">
    <mergeCell ref="Q1: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00B050"/>
  </sheetPr>
  <dimension ref="A1:J38"/>
  <sheetViews>
    <sheetView showGridLines="0" zoomScale="110" zoomScaleNormal="110" workbookViewId="0">
      <pane xSplit="8" ySplit="3" topLeftCell="I4" activePane="bottomRight" state="frozen"/>
      <selection sqref="A1:G2"/>
      <selection pane="topRight" sqref="A1:G2"/>
      <selection pane="bottomLeft" sqref="A1:G2"/>
      <selection pane="bottomRight" activeCell="C9" sqref="C9:H9"/>
    </sheetView>
  </sheetViews>
  <sheetFormatPr defaultColWidth="0" defaultRowHeight="16.5"/>
  <cols>
    <col min="1" max="1" width="22.109375" bestFit="1" customWidth="1"/>
    <col min="2" max="2" width="13" hidden="1" customWidth="1"/>
    <col min="3" max="3" width="12.44140625" customWidth="1"/>
    <col min="4" max="4" width="15.77734375" customWidth="1"/>
    <col min="5" max="5" width="11" customWidth="1"/>
    <col min="6" max="6" width="13.88671875" style="2" customWidth="1"/>
    <col min="7" max="7" width="13.33203125" hidden="1" customWidth="1"/>
    <col min="8" max="8" width="19.44140625" customWidth="1"/>
    <col min="9" max="9" width="2.109375" customWidth="1"/>
    <col min="10" max="10" width="0" hidden="1" customWidth="1"/>
    <col min="11" max="16384" width="2.109375" hidden="1"/>
  </cols>
  <sheetData>
    <row r="1" spans="1:8" ht="16.5" customHeight="1">
      <c r="A1" s="1342" t="s">
        <v>0</v>
      </c>
      <c r="B1" s="1343"/>
      <c r="C1" s="1343"/>
      <c r="D1" s="1343"/>
      <c r="E1" s="1343"/>
      <c r="F1" s="1343"/>
      <c r="G1" s="1343"/>
      <c r="H1" s="1344"/>
    </row>
    <row r="2" spans="1:8" ht="16.5" customHeight="1">
      <c r="A2" s="1345"/>
      <c r="B2" s="1346"/>
      <c r="C2" s="1346"/>
      <c r="D2" s="1346"/>
      <c r="E2" s="1346"/>
      <c r="F2" s="1346"/>
      <c r="G2" s="1346"/>
      <c r="H2" s="1347"/>
    </row>
    <row r="3" spans="1:8" ht="16.5" customHeight="1">
      <c r="A3" s="1348" t="s">
        <v>5904</v>
      </c>
      <c r="B3" s="1349"/>
      <c r="C3" s="1349"/>
      <c r="D3" s="1349"/>
      <c r="E3" s="1349"/>
      <c r="F3" s="1349"/>
      <c r="G3" s="1349"/>
      <c r="H3" s="1350"/>
    </row>
    <row r="4" spans="1:8" ht="16.5" customHeight="1">
      <c r="A4" s="21" t="s">
        <v>4347</v>
      </c>
      <c r="B4" s="22" t="s">
        <v>33</v>
      </c>
      <c r="C4" s="1366" t="s">
        <v>5713</v>
      </c>
      <c r="D4" s="1367"/>
      <c r="E4" s="1367"/>
      <c r="F4" s="1367"/>
      <c r="G4" s="1367"/>
      <c r="H4" s="1368"/>
    </row>
    <row r="5" spans="1:8" ht="16.5" customHeight="1">
      <c r="A5" s="21" t="s">
        <v>5714</v>
      </c>
      <c r="B5" s="22" t="s">
        <v>34</v>
      </c>
      <c r="C5" s="1369"/>
      <c r="D5" s="1367"/>
      <c r="E5" s="1367"/>
      <c r="F5" s="1367"/>
      <c r="G5" s="1367"/>
      <c r="H5" s="1365"/>
    </row>
    <row r="6" spans="1:8" ht="16.5" customHeight="1">
      <c r="A6" s="21" t="s">
        <v>3852</v>
      </c>
      <c r="B6" s="22" t="s">
        <v>35</v>
      </c>
      <c r="C6" s="1360" t="s">
        <v>5820</v>
      </c>
      <c r="D6" s="1361"/>
      <c r="E6" s="1361"/>
      <c r="F6" s="1361"/>
      <c r="G6" s="1361"/>
      <c r="H6" s="1362"/>
    </row>
    <row r="7" spans="1:8" ht="16.5" customHeight="1">
      <c r="A7" s="23" t="s">
        <v>1</v>
      </c>
      <c r="B7" s="22" t="s">
        <v>36</v>
      </c>
      <c r="C7" s="1363" t="s">
        <v>5716</v>
      </c>
      <c r="D7" s="1364"/>
      <c r="E7" s="1364"/>
      <c r="F7" s="1364"/>
      <c r="G7" s="1364"/>
      <c r="H7" s="1365"/>
    </row>
    <row r="8" spans="1:8" ht="16.5" customHeight="1">
      <c r="A8" s="23" t="s">
        <v>2</v>
      </c>
      <c r="B8" s="22" t="s">
        <v>37</v>
      </c>
      <c r="C8" s="1357" t="s">
        <v>5725</v>
      </c>
      <c r="D8" s="1358"/>
      <c r="E8" s="1358"/>
      <c r="F8" s="1358"/>
      <c r="G8" s="1358"/>
      <c r="H8" s="1359"/>
    </row>
    <row r="9" spans="1:8" ht="16.5" customHeight="1">
      <c r="A9" s="23" t="s">
        <v>4476</v>
      </c>
      <c r="B9" s="22"/>
      <c r="C9" s="1370" t="s">
        <v>5726</v>
      </c>
      <c r="D9" s="1371"/>
      <c r="E9" s="1371"/>
      <c r="F9" s="1371"/>
      <c r="G9" s="1371"/>
      <c r="H9" s="1372"/>
    </row>
    <row r="10" spans="1:8" ht="16.5" customHeight="1">
      <c r="A10" s="23" t="s">
        <v>3</v>
      </c>
      <c r="B10" s="22" t="s">
        <v>38</v>
      </c>
      <c r="C10" s="1357" t="s">
        <v>5727</v>
      </c>
      <c r="D10" s="1358"/>
      <c r="E10" s="1358"/>
      <c r="F10" s="1358"/>
      <c r="G10" s="1358"/>
      <c r="H10" s="1359"/>
    </row>
    <row r="11" spans="1:8" ht="16.5" customHeight="1">
      <c r="A11" s="23" t="s">
        <v>4</v>
      </c>
      <c r="B11" s="22" t="s">
        <v>39</v>
      </c>
      <c r="C11" s="1354" t="s">
        <v>5715</v>
      </c>
      <c r="D11" s="1355"/>
      <c r="E11" s="1355"/>
      <c r="F11" s="1355"/>
      <c r="G11" s="1355"/>
      <c r="H11" s="1356"/>
    </row>
    <row r="12" spans="1:8" ht="16.5" customHeight="1">
      <c r="A12" s="23" t="s">
        <v>5</v>
      </c>
      <c r="B12" s="22" t="s">
        <v>40</v>
      </c>
      <c r="C12" s="1357" t="s">
        <v>5728</v>
      </c>
      <c r="D12" s="1358"/>
      <c r="E12" s="1358"/>
      <c r="F12" s="1358"/>
      <c r="G12" s="1358"/>
      <c r="H12" s="1359"/>
    </row>
    <row r="13" spans="1:8">
      <c r="A13" s="23" t="s">
        <v>1048</v>
      </c>
      <c r="B13" s="129"/>
      <c r="C13" s="137">
        <v>43953</v>
      </c>
      <c r="D13" s="131" t="s">
        <v>450</v>
      </c>
      <c r="E13" s="138">
        <f>Ngaynhanmatbang</f>
        <v>43953</v>
      </c>
      <c r="F13" s="131" t="s">
        <v>451</v>
      </c>
      <c r="G13" s="130"/>
      <c r="H13" s="138">
        <f ca="1">TODAY()</f>
        <v>44000</v>
      </c>
    </row>
    <row r="14" spans="1:8">
      <c r="A14" s="1351" t="s">
        <v>4385</v>
      </c>
      <c r="B14" s="11" t="s">
        <v>41</v>
      </c>
      <c r="C14" s="1322" t="str">
        <f>CĐT</f>
        <v>Công ty TNHH MTV khai thác công trình thủy lợi Ninh Thuận</v>
      </c>
      <c r="D14" s="1323"/>
      <c r="E14" s="1323"/>
      <c r="F14" s="1323"/>
      <c r="G14" s="1323"/>
      <c r="H14" s="1323"/>
    </row>
    <row r="15" spans="1:8">
      <c r="A15" s="1352"/>
      <c r="B15" s="7" t="s">
        <v>42</v>
      </c>
      <c r="C15" s="18" t="s">
        <v>12</v>
      </c>
      <c r="D15" s="1328"/>
      <c r="E15" s="1328"/>
      <c r="F15" s="18" t="s">
        <v>15</v>
      </c>
      <c r="G15" s="12" t="s">
        <v>49</v>
      </c>
      <c r="H15" s="639" t="s">
        <v>4334</v>
      </c>
    </row>
    <row r="16" spans="1:8">
      <c r="A16" s="1352"/>
      <c r="B16" s="7" t="s">
        <v>43</v>
      </c>
      <c r="C16" s="15" t="s">
        <v>12</v>
      </c>
      <c r="D16" s="1330" t="s">
        <v>13</v>
      </c>
      <c r="E16" s="1331"/>
      <c r="F16" s="15" t="s">
        <v>15</v>
      </c>
      <c r="G16" s="9" t="s">
        <v>50</v>
      </c>
      <c r="H16" s="640" t="s">
        <v>17</v>
      </c>
    </row>
    <row r="17" spans="1:8">
      <c r="A17" s="1353"/>
      <c r="B17" s="8" t="s">
        <v>44</v>
      </c>
      <c r="C17" s="16" t="s">
        <v>12</v>
      </c>
      <c r="D17" s="1330" t="s">
        <v>13</v>
      </c>
      <c r="E17" s="1331"/>
      <c r="F17" s="16" t="s">
        <v>15</v>
      </c>
      <c r="G17" s="10" t="s">
        <v>51</v>
      </c>
      <c r="H17" s="640" t="s">
        <v>17</v>
      </c>
    </row>
    <row r="18" spans="1:8">
      <c r="A18" s="1351" t="s">
        <v>5850</v>
      </c>
      <c r="B18" s="11" t="s">
        <v>41</v>
      </c>
      <c r="C18" s="1322" t="s">
        <v>5717</v>
      </c>
      <c r="D18" s="1323"/>
      <c r="E18" s="1323"/>
      <c r="F18" s="1323"/>
      <c r="G18" s="1323"/>
      <c r="H18" s="1323"/>
    </row>
    <row r="19" spans="1:8">
      <c r="A19" s="1352"/>
      <c r="B19" s="7" t="s">
        <v>42</v>
      </c>
      <c r="C19" s="18" t="s">
        <v>12</v>
      </c>
      <c r="D19" s="1328" t="s">
        <v>5718</v>
      </c>
      <c r="E19" s="1328"/>
      <c r="F19" s="18" t="s">
        <v>15</v>
      </c>
      <c r="G19" s="12" t="s">
        <v>49</v>
      </c>
      <c r="H19" s="305" t="s">
        <v>3965</v>
      </c>
    </row>
    <row r="20" spans="1:8">
      <c r="A20" s="1352"/>
      <c r="B20" s="7" t="s">
        <v>43</v>
      </c>
      <c r="C20" s="727" t="s">
        <v>5882</v>
      </c>
      <c r="D20" s="1330" t="s">
        <v>5719</v>
      </c>
      <c r="E20" s="1331"/>
      <c r="F20" s="15" t="s">
        <v>15</v>
      </c>
      <c r="G20" s="9" t="s">
        <v>50</v>
      </c>
      <c r="H20" s="306" t="s">
        <v>5720</v>
      </c>
    </row>
    <row r="21" spans="1:8">
      <c r="A21" s="1353"/>
      <c r="B21" s="8" t="s">
        <v>44</v>
      </c>
      <c r="C21" s="16" t="s">
        <v>12</v>
      </c>
      <c r="D21" s="1330" t="s">
        <v>13</v>
      </c>
      <c r="E21" s="1331"/>
      <c r="F21" s="16" t="s">
        <v>15</v>
      </c>
      <c r="G21" s="10" t="s">
        <v>51</v>
      </c>
      <c r="H21" s="306" t="s">
        <v>17</v>
      </c>
    </row>
    <row r="22" spans="1:8">
      <c r="A22" s="742" t="s">
        <v>4387</v>
      </c>
      <c r="B22" s="743"/>
      <c r="C22" s="1373"/>
      <c r="D22" s="1373"/>
      <c r="E22" s="1373"/>
      <c r="F22" s="1373"/>
      <c r="G22" s="1373"/>
      <c r="H22" s="1373"/>
    </row>
    <row r="23" spans="1:8" ht="16.5" customHeight="1">
      <c r="A23" s="740" t="s">
        <v>60</v>
      </c>
      <c r="B23" s="1" t="s">
        <v>45</v>
      </c>
      <c r="C23" s="1322" t="s">
        <v>5721</v>
      </c>
      <c r="D23" s="1323"/>
      <c r="E23" s="1323"/>
      <c r="F23" s="1323"/>
      <c r="G23" s="1323"/>
      <c r="H23" s="1323"/>
    </row>
    <row r="24" spans="1:8">
      <c r="A24" s="740"/>
      <c r="B24" s="5"/>
      <c r="C24" s="1335" t="s">
        <v>6</v>
      </c>
      <c r="D24" s="1335"/>
      <c r="E24" s="1335"/>
      <c r="F24" s="1335"/>
      <c r="G24" s="1335"/>
      <c r="H24" s="1335"/>
    </row>
    <row r="25" spans="1:8">
      <c r="A25" s="740"/>
      <c r="B25" s="1" t="s">
        <v>7</v>
      </c>
      <c r="C25" s="17" t="s">
        <v>12</v>
      </c>
      <c r="D25" s="1328" t="s">
        <v>5722</v>
      </c>
      <c r="E25" s="1328"/>
      <c r="F25" s="17" t="s">
        <v>15</v>
      </c>
      <c r="G25" s="12" t="s">
        <v>52</v>
      </c>
      <c r="H25" s="132" t="s">
        <v>3853</v>
      </c>
    </row>
    <row r="26" spans="1:8">
      <c r="A26" s="740"/>
      <c r="B26" s="1" t="s">
        <v>8</v>
      </c>
      <c r="C26" s="16" t="s">
        <v>12</v>
      </c>
      <c r="D26" s="1330" t="s">
        <v>13</v>
      </c>
      <c r="E26" s="1331"/>
      <c r="F26" s="16" t="s">
        <v>15</v>
      </c>
      <c r="G26" s="10" t="s">
        <v>53</v>
      </c>
      <c r="H26" s="133" t="s">
        <v>17</v>
      </c>
    </row>
    <row r="27" spans="1:8">
      <c r="A27" s="740"/>
      <c r="B27" s="5"/>
      <c r="C27" s="1332" t="s">
        <v>9</v>
      </c>
      <c r="D27" s="1333"/>
      <c r="E27" s="1333"/>
      <c r="F27" s="1333"/>
      <c r="G27" s="1333"/>
      <c r="H27" s="1334"/>
    </row>
    <row r="28" spans="1:8">
      <c r="A28" s="740"/>
      <c r="B28" s="1" t="s">
        <v>18</v>
      </c>
      <c r="C28" s="18" t="s">
        <v>12</v>
      </c>
      <c r="D28" s="1336" t="s">
        <v>5723</v>
      </c>
      <c r="E28" s="1337"/>
      <c r="F28" s="18" t="s">
        <v>15</v>
      </c>
      <c r="G28" s="12" t="s">
        <v>54</v>
      </c>
      <c r="H28" s="305" t="s">
        <v>3966</v>
      </c>
    </row>
    <row r="29" spans="1:8">
      <c r="A29" s="740"/>
      <c r="B29" s="1" t="s">
        <v>19</v>
      </c>
      <c r="C29" s="19" t="s">
        <v>12</v>
      </c>
      <c r="D29" s="1338" t="s">
        <v>5724</v>
      </c>
      <c r="E29" s="1339"/>
      <c r="F29" s="19" t="s">
        <v>15</v>
      </c>
      <c r="G29" s="9" t="s">
        <v>55</v>
      </c>
      <c r="H29" s="307" t="s">
        <v>3967</v>
      </c>
    </row>
    <row r="30" spans="1:8" ht="16.5" customHeight="1">
      <c r="A30" s="740"/>
      <c r="B30" s="1" t="s">
        <v>59</v>
      </c>
      <c r="C30" s="16" t="s">
        <v>12</v>
      </c>
      <c r="D30" s="1324" t="s">
        <v>13</v>
      </c>
      <c r="E30" s="1325"/>
      <c r="F30" s="16" t="s">
        <v>15</v>
      </c>
      <c r="G30" s="10" t="s">
        <v>445</v>
      </c>
      <c r="H30" s="306" t="s">
        <v>13</v>
      </c>
    </row>
    <row r="31" spans="1:8">
      <c r="A31" s="740"/>
      <c r="B31" s="5"/>
      <c r="C31" s="1335" t="s">
        <v>10</v>
      </c>
      <c r="D31" s="1335"/>
      <c r="E31" s="1335"/>
      <c r="F31" s="1335"/>
      <c r="G31" s="1335"/>
      <c r="H31" s="1335"/>
    </row>
    <row r="32" spans="1:8">
      <c r="A32" s="741"/>
      <c r="B32" s="6" t="s">
        <v>11</v>
      </c>
      <c r="C32" s="13" t="s">
        <v>12</v>
      </c>
      <c r="D32" s="1326" t="str">
        <f>CBKT1</f>
        <v>Hoàng Đình Tảng</v>
      </c>
      <c r="E32" s="1327"/>
      <c r="F32" s="20" t="s">
        <v>15</v>
      </c>
      <c r="G32" s="14" t="s">
        <v>56</v>
      </c>
      <c r="H32" s="13" t="str">
        <f>CV_CBKT1</f>
        <v>Chỉ huy công trường</v>
      </c>
    </row>
    <row r="33" spans="1:8" ht="16.5" customHeight="1">
      <c r="A33" s="1319" t="s">
        <v>61</v>
      </c>
      <c r="B33" s="6" t="s">
        <v>48</v>
      </c>
      <c r="C33" s="1322" t="s">
        <v>4333</v>
      </c>
      <c r="D33" s="1323"/>
      <c r="E33" s="1323"/>
      <c r="F33" s="1323"/>
      <c r="G33" s="1323"/>
      <c r="H33" s="1323"/>
    </row>
    <row r="34" spans="1:8" ht="16.5" customHeight="1">
      <c r="A34" s="1320"/>
      <c r="B34" s="6"/>
      <c r="C34" s="1266" t="s">
        <v>4474</v>
      </c>
      <c r="D34" s="1340" t="s">
        <v>4466</v>
      </c>
      <c r="E34" s="1340"/>
      <c r="F34" s="1340"/>
      <c r="G34" s="1340"/>
      <c r="H34" s="1340"/>
    </row>
    <row r="35" spans="1:8" ht="27" customHeight="1">
      <c r="A35" s="1320"/>
      <c r="B35" s="6"/>
      <c r="C35" s="1267" t="s">
        <v>4475</v>
      </c>
      <c r="D35" s="1341" t="s">
        <v>4464</v>
      </c>
      <c r="E35" s="1341"/>
      <c r="F35" s="1341"/>
      <c r="G35" s="1341"/>
      <c r="H35" s="1341"/>
    </row>
    <row r="36" spans="1:8" ht="16.5" customHeight="1">
      <c r="A36" s="1320"/>
      <c r="B36" s="6"/>
      <c r="C36" s="18" t="s">
        <v>12</v>
      </c>
      <c r="D36" s="1328" t="s">
        <v>4468</v>
      </c>
      <c r="E36" s="1329"/>
      <c r="F36" s="18" t="s">
        <v>15</v>
      </c>
      <c r="G36" s="134" t="s">
        <v>57</v>
      </c>
      <c r="H36" s="795" t="s">
        <v>4473</v>
      </c>
    </row>
    <row r="37" spans="1:8">
      <c r="A37" s="1320"/>
      <c r="B37" s="6" t="s">
        <v>46</v>
      </c>
      <c r="C37" s="18" t="s">
        <v>12</v>
      </c>
      <c r="D37" s="1328" t="s">
        <v>4386</v>
      </c>
      <c r="E37" s="1329"/>
      <c r="F37" s="18" t="s">
        <v>15</v>
      </c>
      <c r="G37" s="134" t="s">
        <v>57</v>
      </c>
      <c r="H37" s="132" t="s">
        <v>16</v>
      </c>
    </row>
    <row r="38" spans="1:8">
      <c r="A38" s="1321"/>
      <c r="B38" s="6" t="s">
        <v>47</v>
      </c>
      <c r="C38" s="135" t="s">
        <v>12</v>
      </c>
      <c r="D38" s="1330" t="s">
        <v>13</v>
      </c>
      <c r="E38" s="1331"/>
      <c r="F38" s="135" t="s">
        <v>15</v>
      </c>
      <c r="G38" s="136" t="s">
        <v>58</v>
      </c>
      <c r="H38" s="133" t="s">
        <v>13</v>
      </c>
    </row>
  </sheetData>
  <mergeCells count="39">
    <mergeCell ref="A18:A21"/>
    <mergeCell ref="C22:H22"/>
    <mergeCell ref="C24:H24"/>
    <mergeCell ref="D19:E19"/>
    <mergeCell ref="D20:E20"/>
    <mergeCell ref="D21:E21"/>
    <mergeCell ref="C18:H18"/>
    <mergeCell ref="A1:H2"/>
    <mergeCell ref="A3:H3"/>
    <mergeCell ref="A14:A17"/>
    <mergeCell ref="C11:H11"/>
    <mergeCell ref="C12:H12"/>
    <mergeCell ref="C14:H14"/>
    <mergeCell ref="D15:E15"/>
    <mergeCell ref="D16:E16"/>
    <mergeCell ref="D17:E17"/>
    <mergeCell ref="C6:H6"/>
    <mergeCell ref="C7:H7"/>
    <mergeCell ref="C8:H8"/>
    <mergeCell ref="C10:H10"/>
    <mergeCell ref="C4:H4"/>
    <mergeCell ref="C5:H5"/>
    <mergeCell ref="C9:H9"/>
    <mergeCell ref="A33:A38"/>
    <mergeCell ref="C33:H33"/>
    <mergeCell ref="C23:H23"/>
    <mergeCell ref="D30:E30"/>
    <mergeCell ref="D32:E32"/>
    <mergeCell ref="D37:E37"/>
    <mergeCell ref="D38:E38"/>
    <mergeCell ref="C27:H27"/>
    <mergeCell ref="C31:H31"/>
    <mergeCell ref="D25:E25"/>
    <mergeCell ref="D26:E26"/>
    <mergeCell ref="D28:E28"/>
    <mergeCell ref="D29:E29"/>
    <mergeCell ref="D36:E36"/>
    <mergeCell ref="D34:H34"/>
    <mergeCell ref="D35:H35"/>
  </mergeCells>
  <pageMargins left="0.67" right="0.28000000000000003" top="0.33" bottom="0.31"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7025" r:id="rId4" name="Button 1">
              <controlPr defaultSize="0" print="0" autoFill="0" autoPict="0" macro="[0]!Candongtieudebienban">
                <anchor moveWithCells="1" sizeWithCells="1">
                  <from>
                    <xdr:col>0</xdr:col>
                    <xdr:colOff>0</xdr:colOff>
                    <xdr:row>0</xdr:row>
                    <xdr:rowOff>0</xdr:rowOff>
                  </from>
                  <to>
                    <xdr:col>0</xdr:col>
                    <xdr:colOff>1876425</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2">
    <tabColor rgb="FF00B050"/>
  </sheetPr>
  <dimension ref="A1:N24"/>
  <sheetViews>
    <sheetView workbookViewId="0">
      <pane xSplit="13" ySplit="2" topLeftCell="N3" activePane="bottomRight" state="frozen"/>
      <selection pane="topRight" activeCell="N1" sqref="N1"/>
      <selection pane="bottomLeft" activeCell="A3" sqref="A3"/>
      <selection pane="bottomRight" activeCell="M3" sqref="M3"/>
    </sheetView>
  </sheetViews>
  <sheetFormatPr defaultColWidth="0" defaultRowHeight="16.5" zeroHeight="1"/>
  <cols>
    <col min="1" max="1" width="4.109375" bestFit="1" customWidth="1"/>
    <col min="2" max="2" width="18.44140625" customWidth="1"/>
    <col min="3" max="3" width="10.109375" bestFit="1" customWidth="1"/>
    <col min="4" max="4" width="13.44140625" bestFit="1" customWidth="1"/>
    <col min="5" max="5" width="20.88671875" bestFit="1" customWidth="1"/>
    <col min="6" max="6" width="8.77734375" bestFit="1" customWidth="1"/>
    <col min="7" max="7" width="5.109375" customWidth="1"/>
    <col min="8" max="9" width="6" bestFit="1" customWidth="1"/>
    <col min="10" max="10" width="4.88671875" customWidth="1"/>
    <col min="11" max="11" width="23.88671875" bestFit="1" customWidth="1"/>
    <col min="12" max="12" width="14.88671875" customWidth="1"/>
    <col min="13" max="13" width="8.109375" customWidth="1"/>
    <col min="14" max="14" width="4.21875" customWidth="1"/>
    <col min="15" max="16384" width="8.88671875" hidden="1"/>
  </cols>
  <sheetData>
    <row r="1" spans="1:13" ht="20.25">
      <c r="A1" s="1374" t="s">
        <v>3952</v>
      </c>
      <c r="B1" s="1374"/>
      <c r="C1" s="1374"/>
      <c r="D1" s="1374"/>
      <c r="E1" s="1374"/>
      <c r="F1" s="1374"/>
      <c r="G1" s="1374"/>
      <c r="H1" s="1374"/>
      <c r="I1" s="1374"/>
      <c r="J1" s="1374"/>
      <c r="K1" s="1374"/>
      <c r="L1" s="1374"/>
      <c r="M1" s="1375"/>
    </row>
    <row r="2" spans="1:13">
      <c r="A2" s="848" t="s">
        <v>21</v>
      </c>
      <c r="B2" s="849" t="s">
        <v>3953</v>
      </c>
      <c r="C2" s="849" t="s">
        <v>3954</v>
      </c>
      <c r="D2" s="849" t="s">
        <v>3955</v>
      </c>
      <c r="E2" s="849" t="s">
        <v>3956</v>
      </c>
      <c r="F2" s="849" t="s">
        <v>160</v>
      </c>
      <c r="G2" s="849" t="s">
        <v>3957</v>
      </c>
      <c r="H2" s="849" t="s">
        <v>2021</v>
      </c>
      <c r="I2" s="849" t="s">
        <v>3958</v>
      </c>
      <c r="J2" s="849" t="s">
        <v>3959</v>
      </c>
      <c r="K2" s="849" t="s">
        <v>3960</v>
      </c>
      <c r="L2" s="849" t="s">
        <v>3961</v>
      </c>
      <c r="M2" s="849" t="s">
        <v>3962</v>
      </c>
    </row>
    <row r="3" spans="1:13">
      <c r="A3" s="287">
        <v>1</v>
      </c>
      <c r="B3" s="288" t="str">
        <f>IF(C3&lt;&gt;"",C3&amp;"/"&amp;D3&amp;"/"&amp;M3,"")</f>
        <v>M200/đá 1x2cm/6-:-8</v>
      </c>
      <c r="C3" s="289" t="s">
        <v>5489</v>
      </c>
      <c r="D3" s="290" t="s">
        <v>4346</v>
      </c>
      <c r="E3" s="290" t="s">
        <v>5783</v>
      </c>
      <c r="F3" s="291">
        <v>43622</v>
      </c>
      <c r="G3" s="292">
        <v>300</v>
      </c>
      <c r="H3" s="293">
        <v>0.49</v>
      </c>
      <c r="I3" s="293">
        <v>0.83199999999999996</v>
      </c>
      <c r="J3" s="289">
        <v>194</v>
      </c>
      <c r="K3" s="293" t="s">
        <v>5782</v>
      </c>
      <c r="L3" s="293"/>
      <c r="M3" s="293" t="s">
        <v>3968</v>
      </c>
    </row>
    <row r="4" spans="1:13">
      <c r="A4" s="287">
        <f>IF(C4&lt;&gt;"",MAX($A$3:A3)+1,"")</f>
        <v>2</v>
      </c>
      <c r="B4" s="288" t="str">
        <f t="shared" ref="B4:B22" si="0">IF(C4&lt;&gt;"",C4&amp;"/"&amp;D4&amp;"/"&amp;M4,"")</f>
        <v>M75//</v>
      </c>
      <c r="C4" s="289" t="s">
        <v>5771</v>
      </c>
      <c r="D4" s="290"/>
      <c r="E4" s="290" t="s">
        <v>5783</v>
      </c>
      <c r="F4" s="291">
        <f>F3</f>
        <v>43622</v>
      </c>
      <c r="G4" s="293">
        <v>225</v>
      </c>
      <c r="H4" s="293">
        <v>0.48299999999999998</v>
      </c>
      <c r="I4" s="293"/>
      <c r="J4" s="289">
        <v>188</v>
      </c>
      <c r="K4" s="293"/>
      <c r="L4" s="293"/>
      <c r="M4" s="293"/>
    </row>
    <row r="5" spans="1:13">
      <c r="A5" s="287" t="str">
        <f>IF(C5&lt;&gt;"",MAX($A$3:A4)+1,"")</f>
        <v/>
      </c>
      <c r="B5" s="288" t="str">
        <f t="shared" si="0"/>
        <v/>
      </c>
      <c r="C5" s="289"/>
      <c r="D5" s="290"/>
      <c r="E5" s="290"/>
      <c r="F5" s="291"/>
      <c r="G5" s="292"/>
      <c r="H5" s="293"/>
      <c r="I5" s="293"/>
      <c r="J5" s="289"/>
      <c r="K5" s="293"/>
      <c r="L5" s="293"/>
      <c r="M5" s="293"/>
    </row>
    <row r="6" spans="1:13">
      <c r="A6" s="287" t="str">
        <f>IF(C6&lt;&gt;"",MAX($A$3:A5)+1,"")</f>
        <v/>
      </c>
      <c r="B6" s="288" t="str">
        <f t="shared" si="0"/>
        <v/>
      </c>
      <c r="C6" s="289"/>
      <c r="D6" s="290"/>
      <c r="E6" s="290"/>
      <c r="F6" s="291"/>
      <c r="G6" s="292"/>
      <c r="H6" s="293"/>
      <c r="I6" s="293"/>
      <c r="J6" s="289"/>
      <c r="K6" s="293"/>
      <c r="L6" s="293"/>
      <c r="M6" s="293"/>
    </row>
    <row r="7" spans="1:13">
      <c r="A7" s="287" t="str">
        <f>IF(C7&lt;&gt;"",MAX($A$3:A6)+1,"")</f>
        <v/>
      </c>
      <c r="B7" s="288" t="str">
        <f t="shared" si="0"/>
        <v/>
      </c>
      <c r="C7" s="289"/>
      <c r="D7" s="290"/>
      <c r="E7" s="290"/>
      <c r="F7" s="291"/>
      <c r="G7" s="292"/>
      <c r="H7" s="293"/>
      <c r="I7" s="293"/>
      <c r="J7" s="289"/>
      <c r="K7" s="293"/>
      <c r="L7" s="293"/>
      <c r="M7" s="293"/>
    </row>
    <row r="8" spans="1:13">
      <c r="A8" s="287" t="str">
        <f>IF(C8&lt;&gt;"",MAX($A$3:A7)+1,"")</f>
        <v/>
      </c>
      <c r="B8" s="288" t="str">
        <f t="shared" si="0"/>
        <v/>
      </c>
      <c r="C8" s="289"/>
      <c r="D8" s="290"/>
      <c r="E8" s="290"/>
      <c r="F8" s="291"/>
      <c r="G8" s="292"/>
      <c r="H8" s="293"/>
      <c r="I8" s="293"/>
      <c r="J8" s="289"/>
      <c r="K8" s="293"/>
      <c r="L8" s="293"/>
      <c r="M8" s="293"/>
    </row>
    <row r="9" spans="1:13">
      <c r="A9" s="287" t="str">
        <f>IF(C9&lt;&gt;"",MAX($A$3:A8)+1,"")</f>
        <v/>
      </c>
      <c r="B9" s="288" t="str">
        <f t="shared" si="0"/>
        <v/>
      </c>
      <c r="C9" s="289"/>
      <c r="D9" s="290"/>
      <c r="E9" s="290"/>
      <c r="F9" s="290"/>
      <c r="G9" s="292"/>
      <c r="H9" s="293"/>
      <c r="I9" s="293"/>
      <c r="J9" s="289"/>
      <c r="K9" s="293"/>
      <c r="L9" s="293"/>
      <c r="M9" s="293"/>
    </row>
    <row r="10" spans="1:13">
      <c r="A10" s="287" t="str">
        <f>IF(C10&lt;&gt;"",MAX($A$3:A9)+1,"")</f>
        <v/>
      </c>
      <c r="B10" s="288" t="str">
        <f t="shared" si="0"/>
        <v/>
      </c>
      <c r="C10" s="289"/>
      <c r="D10" s="290"/>
      <c r="E10" s="290"/>
      <c r="F10" s="290"/>
      <c r="G10" s="292"/>
      <c r="H10" s="293"/>
      <c r="I10" s="293"/>
      <c r="J10" s="289"/>
      <c r="K10" s="293"/>
      <c r="L10" s="293"/>
      <c r="M10" s="293"/>
    </row>
    <row r="11" spans="1:13">
      <c r="A11" s="287" t="str">
        <f>IF(C11&lt;&gt;"",MAX($A$3:A10)+1,"")</f>
        <v/>
      </c>
      <c r="B11" s="288" t="str">
        <f t="shared" si="0"/>
        <v/>
      </c>
      <c r="C11" s="289"/>
      <c r="D11" s="289"/>
      <c r="E11" s="289"/>
      <c r="F11" s="289"/>
      <c r="G11" s="293"/>
      <c r="H11" s="293"/>
      <c r="I11" s="293"/>
      <c r="J11" s="289"/>
      <c r="K11" s="293"/>
      <c r="L11" s="293"/>
      <c r="M11" s="293"/>
    </row>
    <row r="12" spans="1:13">
      <c r="A12" s="287" t="str">
        <f>IF(C12&lt;&gt;"",MAX($A$3:A11)+1,"")</f>
        <v/>
      </c>
      <c r="B12" s="288" t="str">
        <f t="shared" si="0"/>
        <v/>
      </c>
      <c r="C12" s="289"/>
      <c r="D12" s="290"/>
      <c r="E12" s="290"/>
      <c r="F12" s="290"/>
      <c r="G12" s="292"/>
      <c r="H12" s="293"/>
      <c r="I12" s="293"/>
      <c r="J12" s="289"/>
      <c r="K12" s="293"/>
      <c r="L12" s="293"/>
      <c r="M12" s="293"/>
    </row>
    <row r="13" spans="1:13">
      <c r="A13" s="287" t="str">
        <f>IF(C13&lt;&gt;"",MAX($A$3:A12)+1,"")</f>
        <v/>
      </c>
      <c r="B13" s="288" t="str">
        <f t="shared" si="0"/>
        <v/>
      </c>
      <c r="C13" s="289"/>
      <c r="D13" s="290"/>
      <c r="E13" s="290"/>
      <c r="F13" s="290"/>
      <c r="G13" s="292"/>
      <c r="H13" s="293"/>
      <c r="I13" s="293"/>
      <c r="J13" s="289"/>
      <c r="K13" s="293"/>
      <c r="L13" s="293"/>
      <c r="M13" s="293"/>
    </row>
    <row r="14" spans="1:13">
      <c r="A14" s="287" t="str">
        <f>IF(C14&lt;&gt;"",MAX($A$3:A13)+1,"")</f>
        <v/>
      </c>
      <c r="B14" s="288" t="str">
        <f t="shared" si="0"/>
        <v/>
      </c>
      <c r="C14" s="289"/>
      <c r="D14" s="290"/>
      <c r="E14" s="290"/>
      <c r="F14" s="290"/>
      <c r="G14" s="292"/>
      <c r="H14" s="293"/>
      <c r="I14" s="293"/>
      <c r="J14" s="289"/>
      <c r="K14" s="293"/>
      <c r="L14" s="293"/>
      <c r="M14" s="293"/>
    </row>
    <row r="15" spans="1:13">
      <c r="A15" s="287" t="str">
        <f>IF(C15&lt;&gt;"",MAX($A$3:A14)+1,"")</f>
        <v/>
      </c>
      <c r="B15" s="288" t="str">
        <f t="shared" si="0"/>
        <v/>
      </c>
      <c r="C15" s="289"/>
      <c r="D15" s="290"/>
      <c r="E15" s="289"/>
      <c r="F15" s="291"/>
      <c r="G15" s="292"/>
      <c r="H15" s="293"/>
      <c r="I15" s="293"/>
      <c r="J15" s="289"/>
      <c r="K15" s="293"/>
      <c r="L15" s="293"/>
      <c r="M15" s="293"/>
    </row>
    <row r="16" spans="1:13">
      <c r="A16" s="287" t="str">
        <f>IF(C16&lt;&gt;"",MAX($A$3:A15)+1,"")</f>
        <v/>
      </c>
      <c r="B16" s="288" t="str">
        <f t="shared" si="0"/>
        <v/>
      </c>
      <c r="C16" s="289"/>
      <c r="D16" s="290"/>
      <c r="E16" s="290"/>
      <c r="F16" s="290"/>
      <c r="G16" s="292"/>
      <c r="H16" s="293"/>
      <c r="I16" s="293"/>
      <c r="J16" s="289"/>
      <c r="K16" s="293"/>
      <c r="L16" s="293"/>
      <c r="M16" s="293"/>
    </row>
    <row r="17" spans="1:13">
      <c r="A17" s="287" t="str">
        <f>IF(C17&lt;&gt;"",MAX($A$3:A16)+1,"")</f>
        <v/>
      </c>
      <c r="B17" s="288" t="str">
        <f t="shared" si="0"/>
        <v/>
      </c>
      <c r="C17" s="289"/>
      <c r="D17" s="290"/>
      <c r="E17" s="290"/>
      <c r="F17" s="290"/>
      <c r="G17" s="292"/>
      <c r="H17" s="293"/>
      <c r="I17" s="293"/>
      <c r="J17" s="289"/>
      <c r="K17" s="293"/>
      <c r="L17" s="293"/>
      <c r="M17" s="293"/>
    </row>
    <row r="18" spans="1:13">
      <c r="A18" s="287" t="str">
        <f>IF(C18&lt;&gt;"",MAX($A$3:A17)+1,"")</f>
        <v/>
      </c>
      <c r="B18" s="288" t="str">
        <f t="shared" si="0"/>
        <v/>
      </c>
      <c r="C18" s="289"/>
      <c r="D18" s="289"/>
      <c r="E18" s="289"/>
      <c r="F18" s="289"/>
      <c r="G18" s="293"/>
      <c r="H18" s="293"/>
      <c r="I18" s="293"/>
      <c r="J18" s="289"/>
      <c r="K18" s="293"/>
      <c r="L18" s="293"/>
      <c r="M18" s="293"/>
    </row>
    <row r="19" spans="1:13">
      <c r="A19" s="287" t="str">
        <f>IF(C19&lt;&gt;"",MAX($A$3:A18)+1,"")</f>
        <v/>
      </c>
      <c r="B19" s="288" t="str">
        <f t="shared" si="0"/>
        <v/>
      </c>
      <c r="C19" s="289"/>
      <c r="D19" s="290"/>
      <c r="E19" s="290"/>
      <c r="F19" s="290"/>
      <c r="G19" s="292"/>
      <c r="H19" s="293"/>
      <c r="I19" s="293"/>
      <c r="J19" s="289"/>
      <c r="K19" s="293"/>
      <c r="L19" s="293"/>
      <c r="M19" s="293"/>
    </row>
    <row r="20" spans="1:13">
      <c r="A20" s="287" t="str">
        <f>IF(C20&lt;&gt;"",MAX($A$3:A19)+1,"")</f>
        <v/>
      </c>
      <c r="B20" s="288" t="str">
        <f t="shared" si="0"/>
        <v/>
      </c>
      <c r="C20" s="289"/>
      <c r="D20" s="290"/>
      <c r="E20" s="290"/>
      <c r="F20" s="290"/>
      <c r="G20" s="292"/>
      <c r="H20" s="293"/>
      <c r="I20" s="293"/>
      <c r="J20" s="289"/>
      <c r="K20" s="293"/>
      <c r="L20" s="293"/>
      <c r="M20" s="293"/>
    </row>
    <row r="21" spans="1:13">
      <c r="A21" s="287" t="str">
        <f>IF(C21&lt;&gt;"",MAX($A$3:A20)+1,"")</f>
        <v/>
      </c>
      <c r="B21" s="288" t="str">
        <f t="shared" si="0"/>
        <v/>
      </c>
      <c r="C21" s="289"/>
      <c r="D21" s="290"/>
      <c r="E21" s="290"/>
      <c r="F21" s="290"/>
      <c r="G21" s="292"/>
      <c r="H21" s="293"/>
      <c r="I21" s="293"/>
      <c r="J21" s="289"/>
      <c r="K21" s="293"/>
      <c r="L21" s="293"/>
      <c r="M21" s="293"/>
    </row>
    <row r="22" spans="1:13">
      <c r="A22" s="287" t="str">
        <f>IF(C22&lt;&gt;"",MAX($A$3:A21)+1,"")</f>
        <v/>
      </c>
      <c r="B22" s="288" t="str">
        <f t="shared" si="0"/>
        <v/>
      </c>
      <c r="C22" s="289"/>
      <c r="D22" s="290"/>
      <c r="E22" s="290"/>
      <c r="F22" s="290"/>
      <c r="G22" s="292"/>
      <c r="H22" s="293"/>
      <c r="I22" s="293"/>
      <c r="J22" s="289"/>
      <c r="K22" s="293"/>
      <c r="L22" s="293"/>
      <c r="M22" s="293"/>
    </row>
    <row r="23" spans="1:13">
      <c r="A23" s="1257" t="s">
        <v>5879</v>
      </c>
      <c r="B23" s="1257" t="s">
        <v>5879</v>
      </c>
      <c r="C23" s="1257" t="s">
        <v>5879</v>
      </c>
      <c r="D23" s="1257" t="s">
        <v>5879</v>
      </c>
      <c r="E23" s="1257" t="s">
        <v>5879</v>
      </c>
      <c r="F23" s="1257" t="s">
        <v>5879</v>
      </c>
      <c r="G23" s="1257" t="s">
        <v>5879</v>
      </c>
      <c r="H23" s="1257" t="s">
        <v>5879</v>
      </c>
      <c r="I23" s="1257" t="s">
        <v>5879</v>
      </c>
      <c r="J23" s="1257" t="s">
        <v>5879</v>
      </c>
      <c r="K23" s="1257" t="s">
        <v>5879</v>
      </c>
      <c r="L23" s="1257" t="s">
        <v>5879</v>
      </c>
      <c r="M23" s="1257" t="s">
        <v>5879</v>
      </c>
    </row>
    <row r="24" spans="1:13"/>
  </sheetData>
  <mergeCells count="1">
    <mergeCell ref="A1:M1"/>
  </mergeCells>
  <phoneticPr fontId="204" type="noConversion"/>
  <dataValidations count="1">
    <dataValidation allowBlank="1" showInputMessage="1" showErrorMessage="1" prompt="Không nhập vào ô này" sqref="B3:B23 A23 C23:M23" xr:uid="{00000000-0002-0000-0B00-000000000000}"/>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6"/>
  <dimension ref="A1:D41"/>
  <sheetViews>
    <sheetView workbookViewId="0">
      <pane xSplit="4" ySplit="3" topLeftCell="E4" activePane="bottomRight" state="frozen"/>
      <selection pane="topRight" activeCell="E1" sqref="E1"/>
      <selection pane="bottomLeft" activeCell="A4" sqref="A4"/>
      <selection pane="bottomRight" activeCell="B37" sqref="B37"/>
    </sheetView>
  </sheetViews>
  <sheetFormatPr defaultRowHeight="16.5"/>
  <cols>
    <col min="1" max="1" width="4" style="1048" customWidth="1"/>
    <col min="2" max="2" width="26.33203125" bestFit="1" customWidth="1"/>
    <col min="3" max="3" width="21" bestFit="1" customWidth="1"/>
    <col min="4" max="4" width="13.21875" bestFit="1" customWidth="1"/>
    <col min="5" max="5" width="2.44140625" customWidth="1"/>
  </cols>
  <sheetData>
    <row r="1" spans="1:4" ht="23.25">
      <c r="A1" s="1376" t="s">
        <v>5693</v>
      </c>
      <c r="B1" s="1376"/>
      <c r="C1" s="1376"/>
      <c r="D1" s="1376"/>
    </row>
    <row r="2" spans="1:4">
      <c r="A2" s="1377" t="str">
        <f>Tieude1&amp;": "&amp;NDtieude1</f>
        <v>Công trình: Gia cố nâng cấp kênh Bà Xoài từ K0+300÷K0+600 - Hệ thống thủy lợi Nha Trinh, huyện Ninh Hải, tỉnh Ninh Thuận</v>
      </c>
      <c r="B2" s="1377"/>
      <c r="C2" s="1377"/>
      <c r="D2" s="1377"/>
    </row>
    <row r="3" spans="1:4">
      <c r="A3" s="1377" t="str">
        <f>"Địa điểm XD: "&amp;DDXD</f>
        <v>Địa điểm XD: Huyện Ninh Hải - Tỉnh Ninh Thuận</v>
      </c>
      <c r="B3" s="1377"/>
      <c r="C3" s="1377"/>
      <c r="D3" s="1377"/>
    </row>
    <row r="4" spans="1:4">
      <c r="A4" s="1075" t="s">
        <v>168</v>
      </c>
      <c r="B4" s="1075" t="s">
        <v>5613</v>
      </c>
      <c r="C4" s="1075" t="s">
        <v>5692</v>
      </c>
      <c r="D4" s="1075" t="s">
        <v>20</v>
      </c>
    </row>
    <row r="5" spans="1:4">
      <c r="A5" s="1048">
        <v>1</v>
      </c>
      <c r="B5" t="s">
        <v>4253</v>
      </c>
      <c r="C5" s="1048" t="s">
        <v>5694</v>
      </c>
    </row>
    <row r="6" spans="1:4">
      <c r="A6" s="1048">
        <f>A5+1</f>
        <v>2</v>
      </c>
      <c r="B6" t="s">
        <v>5606</v>
      </c>
      <c r="C6" s="1048" t="s">
        <v>5694</v>
      </c>
    </row>
    <row r="7" spans="1:4">
      <c r="A7" s="1048">
        <f t="shared" ref="A7:A37" si="0">A6+1</f>
        <v>3</v>
      </c>
      <c r="B7" t="s">
        <v>5638</v>
      </c>
      <c r="C7" s="1048" t="s">
        <v>5694</v>
      </c>
    </row>
    <row r="8" spans="1:4">
      <c r="A8" s="1048">
        <f t="shared" si="0"/>
        <v>4</v>
      </c>
      <c r="B8" t="s">
        <v>4254</v>
      </c>
      <c r="C8" s="1048" t="s">
        <v>5694</v>
      </c>
    </row>
    <row r="9" spans="1:4">
      <c r="A9" s="1048">
        <f t="shared" si="0"/>
        <v>5</v>
      </c>
      <c r="B9" t="s">
        <v>5607</v>
      </c>
      <c r="C9" s="1048" t="s">
        <v>5694</v>
      </c>
    </row>
    <row r="10" spans="1:4">
      <c r="A10" s="1048">
        <f t="shared" si="0"/>
        <v>6</v>
      </c>
      <c r="B10" t="s">
        <v>5608</v>
      </c>
      <c r="C10" s="1048" t="s">
        <v>5695</v>
      </c>
    </row>
    <row r="11" spans="1:4">
      <c r="A11" s="1048">
        <f t="shared" si="0"/>
        <v>7</v>
      </c>
      <c r="B11" t="s">
        <v>5639</v>
      </c>
      <c r="C11" s="1048" t="s">
        <v>5696</v>
      </c>
    </row>
    <row r="12" spans="1:4">
      <c r="A12" s="1048">
        <f t="shared" si="0"/>
        <v>8</v>
      </c>
      <c r="B12" t="s">
        <v>5635</v>
      </c>
      <c r="C12" s="1048" t="s">
        <v>5696</v>
      </c>
    </row>
    <row r="13" spans="1:4">
      <c r="A13" s="1048">
        <f t="shared" si="0"/>
        <v>9</v>
      </c>
      <c r="B13" t="s">
        <v>5634</v>
      </c>
      <c r="C13" s="1048" t="s">
        <v>5697</v>
      </c>
    </row>
    <row r="14" spans="1:4">
      <c r="A14" s="1048">
        <f t="shared" si="0"/>
        <v>10</v>
      </c>
      <c r="B14" t="s">
        <v>5636</v>
      </c>
      <c r="C14" s="1048" t="s">
        <v>5698</v>
      </c>
    </row>
    <row r="15" spans="1:4">
      <c r="A15" s="1048">
        <f t="shared" si="0"/>
        <v>11</v>
      </c>
      <c r="B15" t="s">
        <v>5637</v>
      </c>
      <c r="C15" s="1048" t="s">
        <v>5698</v>
      </c>
    </row>
    <row r="16" spans="1:4">
      <c r="A16" s="1048">
        <f t="shared" si="0"/>
        <v>12</v>
      </c>
      <c r="B16" t="s">
        <v>5640</v>
      </c>
      <c r="C16" s="1048" t="s">
        <v>5699</v>
      </c>
    </row>
    <row r="17" spans="1:3">
      <c r="A17" s="1048">
        <f t="shared" si="0"/>
        <v>13</v>
      </c>
      <c r="B17" t="s">
        <v>5641</v>
      </c>
      <c r="C17" s="1048" t="s">
        <v>5700</v>
      </c>
    </row>
    <row r="18" spans="1:3">
      <c r="A18" s="1048">
        <f t="shared" si="0"/>
        <v>14</v>
      </c>
      <c r="B18" t="s">
        <v>5609</v>
      </c>
      <c r="C18" s="1048" t="s">
        <v>5701</v>
      </c>
    </row>
    <row r="19" spans="1:3">
      <c r="A19" s="1048">
        <f t="shared" si="0"/>
        <v>15</v>
      </c>
      <c r="B19" t="s">
        <v>5615</v>
      </c>
      <c r="C19" s="1048" t="s">
        <v>5702</v>
      </c>
    </row>
    <row r="20" spans="1:3">
      <c r="A20" s="1048">
        <f t="shared" si="0"/>
        <v>16</v>
      </c>
      <c r="B20" t="s">
        <v>5610</v>
      </c>
      <c r="C20" s="1048" t="s">
        <v>5702</v>
      </c>
    </row>
    <row r="21" spans="1:3">
      <c r="A21" s="1048">
        <f t="shared" si="0"/>
        <v>17</v>
      </c>
      <c r="B21" t="s">
        <v>5642</v>
      </c>
      <c r="C21" s="1048" t="s">
        <v>5702</v>
      </c>
    </row>
    <row r="22" spans="1:3">
      <c r="A22" s="1048">
        <f t="shared" si="0"/>
        <v>18</v>
      </c>
      <c r="B22" t="s">
        <v>5616</v>
      </c>
      <c r="C22" s="1048" t="s">
        <v>5694</v>
      </c>
    </row>
    <row r="23" spans="1:3">
      <c r="A23" s="1048">
        <f t="shared" si="0"/>
        <v>19</v>
      </c>
      <c r="B23" t="s">
        <v>5827</v>
      </c>
      <c r="C23" s="1048" t="s">
        <v>5703</v>
      </c>
    </row>
    <row r="24" spans="1:3">
      <c r="A24" s="1206">
        <f t="shared" si="0"/>
        <v>20</v>
      </c>
      <c r="B24" t="s">
        <v>5828</v>
      </c>
      <c r="C24" s="1206" t="s">
        <v>5703</v>
      </c>
    </row>
    <row r="25" spans="1:3">
      <c r="A25" s="1206">
        <f t="shared" si="0"/>
        <v>21</v>
      </c>
      <c r="B25" t="s">
        <v>5686</v>
      </c>
      <c r="C25" s="1048" t="s">
        <v>5643</v>
      </c>
    </row>
    <row r="26" spans="1:3">
      <c r="A26" s="1206">
        <f t="shared" si="0"/>
        <v>22</v>
      </c>
      <c r="B26" t="s">
        <v>5687</v>
      </c>
      <c r="C26" s="1048" t="s">
        <v>5643</v>
      </c>
    </row>
    <row r="27" spans="1:3">
      <c r="A27" s="1206">
        <f t="shared" si="0"/>
        <v>23</v>
      </c>
      <c r="B27" t="s">
        <v>5688</v>
      </c>
      <c r="C27" s="1048" t="s">
        <v>5643</v>
      </c>
    </row>
    <row r="28" spans="1:3">
      <c r="A28" s="1206">
        <f t="shared" si="0"/>
        <v>24</v>
      </c>
      <c r="B28" t="s">
        <v>5689</v>
      </c>
      <c r="C28" s="1048" t="s">
        <v>5643</v>
      </c>
    </row>
    <row r="29" spans="1:3">
      <c r="A29" s="1206">
        <f t="shared" si="0"/>
        <v>25</v>
      </c>
      <c r="B29" t="s">
        <v>5690</v>
      </c>
      <c r="C29" s="1048" t="s">
        <v>5643</v>
      </c>
    </row>
    <row r="30" spans="1:3">
      <c r="A30" s="1206">
        <f t="shared" si="0"/>
        <v>26</v>
      </c>
      <c r="B30" t="s">
        <v>5691</v>
      </c>
      <c r="C30" s="1048" t="s">
        <v>5643</v>
      </c>
    </row>
    <row r="31" spans="1:3" ht="16.5" customHeight="1">
      <c r="A31" s="1206">
        <f t="shared" si="0"/>
        <v>27</v>
      </c>
      <c r="B31" t="s">
        <v>5704</v>
      </c>
      <c r="C31" s="1048" t="s">
        <v>5643</v>
      </c>
    </row>
    <row r="32" spans="1:3">
      <c r="A32" s="1206">
        <f t="shared" si="0"/>
        <v>28</v>
      </c>
      <c r="B32" t="s">
        <v>5705</v>
      </c>
      <c r="C32" s="1048" t="s">
        <v>5643</v>
      </c>
    </row>
    <row r="33" spans="1:3">
      <c r="A33" s="1206">
        <f t="shared" si="0"/>
        <v>29</v>
      </c>
      <c r="B33" t="s">
        <v>5706</v>
      </c>
      <c r="C33" s="1048" t="s">
        <v>5643</v>
      </c>
    </row>
    <row r="34" spans="1:3">
      <c r="A34" s="1206">
        <f t="shared" si="0"/>
        <v>30</v>
      </c>
      <c r="B34" t="s">
        <v>5707</v>
      </c>
      <c r="C34" s="1048" t="s">
        <v>5643</v>
      </c>
    </row>
    <row r="35" spans="1:3" ht="16.5" customHeight="1">
      <c r="A35" s="1206">
        <f t="shared" si="0"/>
        <v>31</v>
      </c>
      <c r="B35" t="s">
        <v>5708</v>
      </c>
      <c r="C35" s="1048" t="s">
        <v>5643</v>
      </c>
    </row>
    <row r="36" spans="1:3">
      <c r="A36" s="1206">
        <f t="shared" si="0"/>
        <v>32</v>
      </c>
      <c r="B36" t="s">
        <v>5709</v>
      </c>
      <c r="C36" s="1048" t="s">
        <v>5643</v>
      </c>
    </row>
    <row r="37" spans="1:3">
      <c r="A37" s="1206">
        <f t="shared" si="0"/>
        <v>33</v>
      </c>
      <c r="B37" t="s">
        <v>5710</v>
      </c>
      <c r="C37" s="1048" t="s">
        <v>5643</v>
      </c>
    </row>
    <row r="38" spans="1:3" ht="16.5" customHeight="1"/>
    <row r="41" spans="1:3" ht="16.5" customHeight="1"/>
  </sheetData>
  <mergeCells count="3">
    <mergeCell ref="A1:D1"/>
    <mergeCell ref="A2:D2"/>
    <mergeCell ref="A3:D3"/>
  </mergeCells>
  <phoneticPr fontId="20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27"/>
  <sheetViews>
    <sheetView workbookViewId="0">
      <pane xSplit="8" ySplit="10" topLeftCell="I11" activePane="bottomRight" state="frozen"/>
      <selection pane="topRight" activeCell="I1" sqref="I1"/>
      <selection pane="bottomLeft" activeCell="A8" sqref="A8"/>
      <selection pane="bottomRight" activeCell="F15" sqref="F15"/>
    </sheetView>
  </sheetViews>
  <sheetFormatPr defaultColWidth="0" defaultRowHeight="16.5"/>
  <cols>
    <col min="1" max="1" width="12.88671875" style="2" customWidth="1"/>
    <col min="2" max="2" width="5.44140625" style="2" customWidth="1"/>
    <col min="3" max="3" width="26" customWidth="1"/>
    <col min="4" max="4" width="6.33203125" style="2" bestFit="1" customWidth="1"/>
    <col min="5" max="5" width="10.21875" bestFit="1" customWidth="1"/>
    <col min="6" max="6" width="19.109375" bestFit="1" customWidth="1"/>
    <col min="7" max="7" width="17" customWidth="1"/>
    <col min="8" max="8" width="1.6640625" customWidth="1"/>
    <col min="9" max="16384" width="8.88671875" hidden="1"/>
  </cols>
  <sheetData>
    <row r="1" spans="1:11" s="29" customFormat="1" ht="16.5" customHeight="1">
      <c r="A1" s="1380" t="s">
        <v>4246</v>
      </c>
      <c r="B1" s="1381"/>
      <c r="C1" s="1381"/>
      <c r="D1" s="1381"/>
      <c r="E1" s="1381"/>
      <c r="F1" s="1381"/>
      <c r="G1" s="1382"/>
      <c r="H1" s="419" t="s">
        <v>173</v>
      </c>
      <c r="J1"/>
      <c r="K1"/>
    </row>
    <row r="2" spans="1:11" s="29" customFormat="1" ht="16.5" customHeight="1">
      <c r="A2" s="1383"/>
      <c r="B2" s="1376"/>
      <c r="C2" s="1376"/>
      <c r="D2" s="1376"/>
      <c r="E2" s="1376"/>
      <c r="F2" s="1376"/>
      <c r="G2" s="1384"/>
      <c r="H2" s="403"/>
      <c r="J2"/>
      <c r="K2"/>
    </row>
    <row r="3" spans="1:11"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86"/>
      <c r="H3" s="403"/>
      <c r="J3"/>
      <c r="K3"/>
    </row>
    <row r="4" spans="1:11" s="29" customFormat="1" ht="16.5" customHeight="1">
      <c r="A4" s="1385" t="str">
        <f>"Địa điểm XD: "&amp;DDXD</f>
        <v>Địa điểm XD: Huyện Ninh Hải - Tỉnh Ninh Thuận</v>
      </c>
      <c r="B4" s="1377"/>
      <c r="C4" s="1377"/>
      <c r="D4" s="1377"/>
      <c r="E4" s="1377"/>
      <c r="F4" s="1377"/>
      <c r="G4" s="1386"/>
      <c r="H4" s="403"/>
      <c r="J4"/>
      <c r="K4"/>
    </row>
    <row r="5" spans="1:11" s="29" customFormat="1" ht="6" customHeight="1">
      <c r="A5" s="1378"/>
      <c r="B5" s="1379"/>
      <c r="C5" s="1379"/>
      <c r="D5" s="402"/>
      <c r="E5" s="402"/>
      <c r="F5" s="402"/>
      <c r="G5" s="420"/>
      <c r="H5" s="403"/>
      <c r="J5"/>
      <c r="K5"/>
    </row>
    <row r="6" spans="1:11" s="29" customFormat="1" ht="6" hidden="1" customHeight="1">
      <c r="A6" s="396"/>
      <c r="B6" s="396"/>
      <c r="C6" s="396"/>
      <c r="D6" s="395"/>
      <c r="E6" s="395"/>
      <c r="F6" s="395"/>
      <c r="G6" s="395"/>
      <c r="H6" s="403"/>
      <c r="J6"/>
      <c r="K6"/>
    </row>
    <row r="7" spans="1:11" s="29" customFormat="1" ht="6" hidden="1" customHeight="1">
      <c r="A7" s="396"/>
      <c r="B7" s="396"/>
      <c r="C7" s="396"/>
      <c r="D7" s="395"/>
      <c r="E7" s="395"/>
      <c r="F7" s="395"/>
      <c r="G7" s="395"/>
      <c r="H7" s="403"/>
      <c r="J7"/>
      <c r="K7"/>
    </row>
    <row r="8" spans="1:11" s="29" customFormat="1" ht="6" hidden="1" customHeight="1">
      <c r="A8" s="396"/>
      <c r="B8" s="396"/>
      <c r="C8" s="396"/>
      <c r="D8" s="395"/>
      <c r="E8" s="395"/>
      <c r="F8" s="395"/>
      <c r="G8" s="395"/>
      <c r="H8" s="403"/>
      <c r="J8"/>
      <c r="K8"/>
    </row>
    <row r="9" spans="1:11" ht="9.75" customHeight="1">
      <c r="A9" s="403"/>
      <c r="B9" s="403"/>
      <c r="C9" s="403"/>
      <c r="D9" s="404"/>
      <c r="E9" s="403"/>
      <c r="F9" s="403"/>
      <c r="G9" s="403"/>
      <c r="H9" s="403"/>
      <c r="I9" s="29"/>
    </row>
    <row r="10" spans="1:11" ht="26.25" customHeight="1">
      <c r="A10" s="421" t="s">
        <v>3903</v>
      </c>
      <c r="B10" s="421" t="s">
        <v>64</v>
      </c>
      <c r="C10" s="421" t="s">
        <v>23</v>
      </c>
      <c r="D10" s="421" t="s">
        <v>3932</v>
      </c>
      <c r="E10" s="421" t="s">
        <v>3909</v>
      </c>
      <c r="F10" s="421" t="s">
        <v>4259</v>
      </c>
      <c r="G10" s="422" t="s">
        <v>20</v>
      </c>
      <c r="H10" s="419"/>
    </row>
    <row r="11" spans="1:11">
      <c r="A11" t="s">
        <v>4252</v>
      </c>
      <c r="B11">
        <v>1</v>
      </c>
      <c r="C11" t="s">
        <v>4348</v>
      </c>
      <c r="D11" t="s">
        <v>3663</v>
      </c>
      <c r="E11">
        <v>12</v>
      </c>
      <c r="F11" t="s">
        <v>4349</v>
      </c>
      <c r="G11" t="s">
        <v>4274</v>
      </c>
    </row>
    <row r="12" spans="1:11">
      <c r="A12"/>
      <c r="B12">
        <f>B11+1</f>
        <v>2</v>
      </c>
      <c r="C12" t="s">
        <v>4253</v>
      </c>
      <c r="D12" t="s">
        <v>3483</v>
      </c>
      <c r="E12">
        <v>50</v>
      </c>
      <c r="F12" t="s">
        <v>4350</v>
      </c>
    </row>
    <row r="13" spans="1:11">
      <c r="A13"/>
      <c r="B13">
        <f>B12+1</f>
        <v>3</v>
      </c>
      <c r="C13" t="s">
        <v>4254</v>
      </c>
      <c r="D13" t="s">
        <v>3483</v>
      </c>
      <c r="E13">
        <v>110</v>
      </c>
      <c r="F13" t="s">
        <v>6004</v>
      </c>
    </row>
    <row r="14" spans="1:11">
      <c r="A14"/>
      <c r="B14">
        <f>B13+1</f>
        <v>4</v>
      </c>
      <c r="C14" t="s">
        <v>4255</v>
      </c>
      <c r="D14" t="s">
        <v>3486</v>
      </c>
      <c r="E14">
        <v>35</v>
      </c>
      <c r="F14" t="s">
        <v>6005</v>
      </c>
    </row>
    <row r="15" spans="1:11">
      <c r="A15"/>
      <c r="B15">
        <f>B14+1</f>
        <v>5</v>
      </c>
      <c r="C15" t="s">
        <v>4352</v>
      </c>
      <c r="D15" t="s">
        <v>4351</v>
      </c>
      <c r="E15">
        <v>5.9</v>
      </c>
      <c r="F15" t="s">
        <v>5865</v>
      </c>
    </row>
    <row r="16" spans="1:11">
      <c r="A16"/>
      <c r="B16">
        <f>B15+1</f>
        <v>6</v>
      </c>
      <c r="C16" t="s">
        <v>4353</v>
      </c>
      <c r="D16" t="s">
        <v>3486</v>
      </c>
      <c r="E16">
        <v>0.9</v>
      </c>
      <c r="F16" t="str">
        <f>F15</f>
        <v>Miền Nam</v>
      </c>
    </row>
    <row r="17" spans="1:4">
      <c r="A17"/>
      <c r="B17"/>
      <c r="D17"/>
    </row>
    <row r="18" spans="1:4">
      <c r="A18"/>
      <c r="B18"/>
      <c r="D18"/>
    </row>
    <row r="19" spans="1:4">
      <c r="A19"/>
      <c r="B19"/>
      <c r="D19"/>
    </row>
    <row r="20" spans="1:4">
      <c r="A20"/>
      <c r="B20"/>
      <c r="D20"/>
    </row>
    <row r="21" spans="1:4">
      <c r="A21"/>
      <c r="B21"/>
      <c r="D21"/>
    </row>
    <row r="22" spans="1:4">
      <c r="A22"/>
      <c r="B22"/>
      <c r="D22"/>
    </row>
    <row r="23" spans="1:4">
      <c r="A23"/>
      <c r="B23"/>
      <c r="D23"/>
    </row>
    <row r="24" spans="1:4">
      <c r="A24"/>
      <c r="B24"/>
      <c r="D24"/>
    </row>
    <row r="25" spans="1:4">
      <c r="A25"/>
      <c r="B25"/>
      <c r="D25"/>
    </row>
    <row r="26" spans="1:4">
      <c r="A26"/>
      <c r="B26"/>
      <c r="D26"/>
    </row>
    <row r="27" spans="1:4">
      <c r="A27"/>
      <c r="B27"/>
      <c r="D27"/>
    </row>
  </sheetData>
  <mergeCells count="4">
    <mergeCell ref="A5:C5"/>
    <mergeCell ref="A1:G2"/>
    <mergeCell ref="A3:G3"/>
    <mergeCell ref="A4: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Q282"/>
  <sheetViews>
    <sheetView workbookViewId="0">
      <pane xSplit="8" ySplit="10" topLeftCell="I18" activePane="bottomRight" state="frozen"/>
      <selection pane="topRight" activeCell="J1" sqref="J1"/>
      <selection pane="bottomLeft" activeCell="A8" sqref="A8"/>
      <selection pane="bottomRight" activeCell="E22" sqref="E22"/>
    </sheetView>
  </sheetViews>
  <sheetFormatPr defaultColWidth="0" defaultRowHeight="16.5"/>
  <cols>
    <col min="1" max="1" width="10.44140625" style="2" bestFit="1" customWidth="1"/>
    <col min="2" max="2" width="6.44140625" style="2" bestFit="1" customWidth="1"/>
    <col min="3" max="3" width="24.109375" bestFit="1" customWidth="1"/>
    <col min="4" max="4" width="7.109375" style="2" customWidth="1"/>
    <col min="5" max="5" width="9.77734375" customWidth="1"/>
    <col min="6" max="6" width="9" customWidth="1"/>
    <col min="7" max="7" width="10.109375" bestFit="1" customWidth="1"/>
    <col min="8" max="8" width="22.5546875" customWidth="1"/>
    <col min="9" max="9" width="1.6640625" bestFit="1" customWidth="1"/>
    <col min="10" max="17" width="0" hidden="1" customWidth="1"/>
    <col min="18" max="16384" width="8.88671875" hidden="1"/>
  </cols>
  <sheetData>
    <row r="1" spans="1:12" s="29" customFormat="1" ht="16.5" customHeight="1">
      <c r="A1" s="1380" t="s">
        <v>4245</v>
      </c>
      <c r="B1" s="1381"/>
      <c r="C1" s="1381"/>
      <c r="D1" s="1381"/>
      <c r="E1" s="1381"/>
      <c r="F1" s="1381"/>
      <c r="G1" s="1381"/>
      <c r="H1" s="1382"/>
      <c r="I1" s="419" t="s">
        <v>173</v>
      </c>
      <c r="K1"/>
      <c r="L1"/>
    </row>
    <row r="2" spans="1:12" s="29" customFormat="1" ht="16.5" customHeight="1">
      <c r="A2" s="1383"/>
      <c r="B2" s="1376"/>
      <c r="C2" s="1376"/>
      <c r="D2" s="1376"/>
      <c r="E2" s="1376"/>
      <c r="F2" s="1376"/>
      <c r="G2" s="1376"/>
      <c r="H2" s="1384"/>
      <c r="I2" s="405"/>
      <c r="K2"/>
      <c r="L2"/>
    </row>
    <row r="3" spans="1:12"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77"/>
      <c r="H3" s="1386"/>
      <c r="I3" s="405"/>
      <c r="K3"/>
      <c r="L3"/>
    </row>
    <row r="4" spans="1:12" s="29" customFormat="1" ht="16.5" customHeight="1">
      <c r="A4" s="1387" t="str">
        <f>"Địa điểm XD: "&amp;DDXD</f>
        <v>Địa điểm XD: Huyện Ninh Hải - Tỉnh Ninh Thuận</v>
      </c>
      <c r="B4" s="1388"/>
      <c r="C4" s="1388"/>
      <c r="D4" s="1388"/>
      <c r="E4" s="1388"/>
      <c r="F4" s="1388"/>
      <c r="G4" s="1388"/>
      <c r="H4" s="1389"/>
      <c r="I4" s="405"/>
      <c r="K4"/>
      <c r="L4"/>
    </row>
    <row r="5" spans="1:12" s="29" customFormat="1" ht="23.25" customHeight="1">
      <c r="A5" s="1393"/>
      <c r="B5" s="1394"/>
      <c r="C5" s="1390" t="s">
        <v>5854</v>
      </c>
      <c r="D5" s="1391"/>
      <c r="E5" s="1391"/>
      <c r="F5" s="1391"/>
      <c r="G5" s="1391"/>
      <c r="H5" s="1392"/>
      <c r="I5" s="405"/>
      <c r="K5"/>
      <c r="L5"/>
    </row>
    <row r="6" spans="1:12" s="29" customFormat="1" ht="23.25" hidden="1" customHeight="1">
      <c r="A6" s="392"/>
      <c r="B6" s="392"/>
      <c r="C6" s="395"/>
      <c r="D6" s="395"/>
      <c r="E6" s="395"/>
      <c r="F6" s="395"/>
      <c r="G6" s="395"/>
      <c r="H6" s="395"/>
      <c r="I6" s="405"/>
      <c r="K6"/>
      <c r="L6"/>
    </row>
    <row r="7" spans="1:12" s="29" customFormat="1" ht="23.25" hidden="1" customHeight="1">
      <c r="A7" s="392"/>
      <c r="B7" s="392"/>
      <c r="C7" s="395"/>
      <c r="D7" s="395"/>
      <c r="E7" s="395"/>
      <c r="F7" s="395"/>
      <c r="G7" s="395"/>
      <c r="H7" s="395"/>
      <c r="I7" s="405"/>
      <c r="K7"/>
      <c r="L7"/>
    </row>
    <row r="8" spans="1:12" s="29" customFormat="1" ht="23.25" hidden="1" customHeight="1">
      <c r="A8" s="392"/>
      <c r="B8" s="392"/>
      <c r="C8" s="395"/>
      <c r="D8" s="395"/>
      <c r="E8" s="395"/>
      <c r="F8" s="395"/>
      <c r="G8" s="395"/>
      <c r="H8" s="395"/>
      <c r="I8" s="405"/>
      <c r="K8"/>
      <c r="L8"/>
    </row>
    <row r="9" spans="1:12" ht="8.25" customHeight="1">
      <c r="A9" s="403"/>
      <c r="B9" s="403"/>
      <c r="C9" s="403"/>
      <c r="D9" s="404"/>
      <c r="E9" s="403"/>
      <c r="F9" s="403"/>
      <c r="G9" s="403"/>
      <c r="H9" s="403"/>
      <c r="I9" s="405"/>
      <c r="J9" s="29"/>
    </row>
    <row r="10" spans="1:12" ht="36" customHeight="1">
      <c r="A10" s="421" t="s">
        <v>3903</v>
      </c>
      <c r="B10" s="421" t="s">
        <v>64</v>
      </c>
      <c r="C10" s="421" t="s">
        <v>23</v>
      </c>
      <c r="D10" s="421" t="s">
        <v>3932</v>
      </c>
      <c r="E10" s="421" t="s">
        <v>159</v>
      </c>
      <c r="F10" s="421" t="s">
        <v>3906</v>
      </c>
      <c r="G10" s="421" t="s">
        <v>4256</v>
      </c>
      <c r="H10" s="422" t="s">
        <v>20</v>
      </c>
      <c r="I10" s="419"/>
    </row>
    <row r="11" spans="1:12">
      <c r="A11" s="391" t="s">
        <v>5763</v>
      </c>
      <c r="B11" s="2">
        <v>1</v>
      </c>
      <c r="C11" t="s">
        <v>5733</v>
      </c>
      <c r="D11"/>
      <c r="E11" s="407"/>
      <c r="F11" s="407"/>
      <c r="G11" s="407"/>
      <c r="H11" t="s">
        <v>5857</v>
      </c>
    </row>
    <row r="12" spans="1:12">
      <c r="A12" s="391"/>
      <c r="C12" t="s">
        <v>5761</v>
      </c>
      <c r="D12" t="s">
        <v>3514</v>
      </c>
      <c r="E12" s="407">
        <v>8.4200000000000017</v>
      </c>
      <c r="F12" s="407">
        <v>8.4079999999999995</v>
      </c>
      <c r="G12" s="407">
        <v>-1.2000000000002231E-2</v>
      </c>
    </row>
    <row r="13" spans="1:12">
      <c r="A13" s="391"/>
      <c r="C13" t="s">
        <v>5762</v>
      </c>
      <c r="D13" t="s">
        <v>3514</v>
      </c>
      <c r="E13" s="407">
        <v>1.3399999999999999</v>
      </c>
      <c r="F13" s="407">
        <v>1.45</v>
      </c>
      <c r="G13" s="407">
        <v>0.1100000000000001</v>
      </c>
    </row>
    <row r="14" spans="1:12">
      <c r="A14" s="391"/>
      <c r="B14" s="2">
        <f>B11+1</f>
        <v>2</v>
      </c>
      <c r="C14" t="s">
        <v>5742</v>
      </c>
      <c r="D14"/>
      <c r="E14" s="407"/>
      <c r="F14" s="407"/>
      <c r="G14" s="407"/>
    </row>
    <row r="15" spans="1:12">
      <c r="A15" s="391"/>
      <c r="C15" t="s">
        <v>5761</v>
      </c>
      <c r="D15" t="s">
        <v>3514</v>
      </c>
      <c r="E15" s="407">
        <v>8.4100000000000019</v>
      </c>
      <c r="F15" s="407">
        <v>8.4019999999999992</v>
      </c>
      <c r="G15" s="407">
        <v>-8.0000000000026716E-3</v>
      </c>
    </row>
    <row r="16" spans="1:12">
      <c r="A16" s="391"/>
      <c r="C16" t="s">
        <v>5762</v>
      </c>
      <c r="D16" t="s">
        <v>3514</v>
      </c>
      <c r="E16" s="407">
        <v>1.3399999999999999</v>
      </c>
      <c r="F16" s="407">
        <v>1.43</v>
      </c>
      <c r="G16" s="407">
        <v>9.000000000000008E-2</v>
      </c>
    </row>
    <row r="17" spans="1:8">
      <c r="A17" s="391"/>
      <c r="B17" s="1076">
        <f t="shared" ref="B17" si="0">B14+1</f>
        <v>3</v>
      </c>
      <c r="C17" t="s">
        <v>5743</v>
      </c>
      <c r="D17"/>
      <c r="E17" s="407"/>
      <c r="F17" s="407"/>
      <c r="G17" s="407"/>
    </row>
    <row r="18" spans="1:8">
      <c r="A18" s="391"/>
      <c r="B18" s="1076"/>
      <c r="C18" t="s">
        <v>5761</v>
      </c>
      <c r="D18" t="s">
        <v>3514</v>
      </c>
      <c r="E18" s="407">
        <v>8.4000000000000021</v>
      </c>
      <c r="F18" s="407">
        <v>8.3989999999999991</v>
      </c>
      <c r="G18" s="407">
        <v>-1.0000000000029985E-3</v>
      </c>
    </row>
    <row r="19" spans="1:8">
      <c r="A19" s="391"/>
      <c r="B19" s="1076"/>
      <c r="C19" t="s">
        <v>5762</v>
      </c>
      <c r="D19" t="s">
        <v>3514</v>
      </c>
      <c r="E19" s="407">
        <v>1.3399999999999999</v>
      </c>
      <c r="F19" s="407">
        <v>1.46</v>
      </c>
      <c r="G19" s="407">
        <v>0.12000000000000011</v>
      </c>
    </row>
    <row r="20" spans="1:8">
      <c r="A20" s="391"/>
      <c r="B20" s="1076">
        <f t="shared" ref="B20" si="1">B17+1</f>
        <v>4</v>
      </c>
      <c r="C20" t="s">
        <v>5744</v>
      </c>
      <c r="D20"/>
      <c r="E20" s="407"/>
      <c r="F20" s="407"/>
      <c r="G20" s="407"/>
    </row>
    <row r="21" spans="1:8">
      <c r="A21" s="391"/>
      <c r="B21" s="1076"/>
      <c r="C21" t="s">
        <v>5761</v>
      </c>
      <c r="D21" s="2" t="s">
        <v>3514</v>
      </c>
      <c r="E21" s="408">
        <v>8.39</v>
      </c>
      <c r="F21" s="408">
        <v>8.39</v>
      </c>
      <c r="G21" s="408">
        <v>0</v>
      </c>
    </row>
    <row r="22" spans="1:8">
      <c r="A22" s="391"/>
      <c r="B22" s="1076"/>
      <c r="C22" t="s">
        <v>5762</v>
      </c>
      <c r="D22" s="2" t="s">
        <v>3514</v>
      </c>
      <c r="E22" s="408">
        <v>1.3399999999999999</v>
      </c>
      <c r="F22" s="408">
        <v>1.44</v>
      </c>
      <c r="G22" s="408">
        <v>0.10000000000000009</v>
      </c>
    </row>
    <row r="23" spans="1:8">
      <c r="A23" s="391"/>
      <c r="B23" s="1076">
        <f t="shared" ref="B23" si="2">B20+1</f>
        <v>5</v>
      </c>
      <c r="C23" t="s">
        <v>5745</v>
      </c>
      <c r="E23" s="408"/>
      <c r="F23" s="408"/>
      <c r="G23" s="408"/>
    </row>
    <row r="24" spans="1:8">
      <c r="A24" s="391"/>
      <c r="B24" s="1076"/>
      <c r="C24" t="s">
        <v>5761</v>
      </c>
      <c r="D24" s="2" t="s">
        <v>3514</v>
      </c>
      <c r="E24" s="408">
        <v>8.39</v>
      </c>
      <c r="F24" s="408">
        <v>8.3919999999999995</v>
      </c>
      <c r="G24" s="408">
        <v>1.9999999999988916E-3</v>
      </c>
    </row>
    <row r="25" spans="1:8">
      <c r="A25" s="391"/>
      <c r="B25" s="1076"/>
      <c r="C25" t="s">
        <v>5762</v>
      </c>
      <c r="D25" s="2" t="s">
        <v>3514</v>
      </c>
      <c r="E25" s="408">
        <v>1.3399999999999999</v>
      </c>
      <c r="F25" s="408">
        <v>1.43</v>
      </c>
      <c r="G25" s="408">
        <v>9.000000000000008E-2</v>
      </c>
    </row>
    <row r="26" spans="1:8">
      <c r="A26" s="644"/>
      <c r="B26" s="1076">
        <f t="shared" ref="B26" si="3">B23+1</f>
        <v>6</v>
      </c>
      <c r="C26" t="s">
        <v>5746</v>
      </c>
      <c r="D26"/>
      <c r="E26" s="407"/>
      <c r="F26" s="407"/>
      <c r="G26" s="407"/>
    </row>
    <row r="27" spans="1:8">
      <c r="A27" s="644"/>
      <c r="B27" s="1076"/>
      <c r="C27" t="s">
        <v>5761</v>
      </c>
      <c r="D27" t="s">
        <v>3514</v>
      </c>
      <c r="E27" s="407">
        <v>8.3800000000000008</v>
      </c>
      <c r="F27" s="407">
        <v>8.375</v>
      </c>
      <c r="G27" s="407">
        <v>-5.0000000000007816E-3</v>
      </c>
    </row>
    <row r="28" spans="1:8">
      <c r="A28" s="644"/>
      <c r="B28" s="1076"/>
      <c r="C28" t="s">
        <v>5762</v>
      </c>
      <c r="D28" t="s">
        <v>3514</v>
      </c>
      <c r="E28" s="407">
        <v>1.3399999999999999</v>
      </c>
      <c r="F28" s="407">
        <v>1.41</v>
      </c>
      <c r="G28" s="407">
        <v>7.0000000000000062E-2</v>
      </c>
    </row>
    <row r="29" spans="1:8">
      <c r="A29" s="644" t="s">
        <v>5764</v>
      </c>
      <c r="B29" s="1076">
        <v>1</v>
      </c>
      <c r="C29" t="s">
        <v>5747</v>
      </c>
      <c r="D29"/>
      <c r="E29" s="407"/>
      <c r="F29" s="407"/>
      <c r="G29" s="407"/>
      <c r="H29" t="s">
        <v>5855</v>
      </c>
    </row>
    <row r="30" spans="1:8">
      <c r="A30" s="644"/>
      <c r="B30" s="1076"/>
      <c r="C30" t="s">
        <v>5761</v>
      </c>
      <c r="D30" t="s">
        <v>3514</v>
      </c>
      <c r="E30" s="407">
        <v>8.370000000000001</v>
      </c>
      <c r="F30" s="407">
        <v>8.3650000000000002</v>
      </c>
      <c r="G30" s="407">
        <v>-5.0000000000007816E-3</v>
      </c>
    </row>
    <row r="31" spans="1:8">
      <c r="A31" s="644"/>
      <c r="B31" s="1076"/>
      <c r="C31" t="s">
        <v>5762</v>
      </c>
      <c r="D31" s="2" t="s">
        <v>3514</v>
      </c>
      <c r="E31" s="408">
        <v>1.3399999999999999</v>
      </c>
      <c r="F31" s="408">
        <v>1.47</v>
      </c>
      <c r="G31" s="408">
        <v>0.13000000000000012</v>
      </c>
    </row>
    <row r="32" spans="1:8">
      <c r="A32" s="644"/>
      <c r="B32" s="1076">
        <f>B29+1</f>
        <v>2</v>
      </c>
      <c r="C32" t="s">
        <v>5748</v>
      </c>
      <c r="E32" s="408"/>
      <c r="F32" s="408"/>
      <c r="G32" s="408"/>
    </row>
    <row r="33" spans="1:8">
      <c r="A33" s="644"/>
      <c r="B33" s="1076"/>
      <c r="C33" t="s">
        <v>5761</v>
      </c>
      <c r="D33" s="2" t="s">
        <v>3514</v>
      </c>
      <c r="E33" s="408">
        <v>8.3600000000000012</v>
      </c>
      <c r="F33" s="408">
        <v>8.3629999999999995</v>
      </c>
      <c r="G33" s="408">
        <v>2.9999999999983373E-3</v>
      </c>
    </row>
    <row r="34" spans="1:8">
      <c r="A34" s="644"/>
      <c r="B34" s="1076"/>
      <c r="C34" t="s">
        <v>5762</v>
      </c>
      <c r="D34" s="2" t="s">
        <v>3514</v>
      </c>
      <c r="E34" s="408">
        <v>1.3399999999999999</v>
      </c>
      <c r="F34" s="408">
        <v>1.44</v>
      </c>
      <c r="G34" s="408">
        <v>0.10000000000000009</v>
      </c>
    </row>
    <row r="35" spans="1:8">
      <c r="A35" s="644"/>
      <c r="B35" s="1076">
        <f t="shared" ref="B35" si="4">B32+1</f>
        <v>3</v>
      </c>
      <c r="C35" t="s">
        <v>5749</v>
      </c>
      <c r="E35" s="408"/>
      <c r="F35" s="408"/>
      <c r="G35" s="408"/>
    </row>
    <row r="36" spans="1:8">
      <c r="A36" s="644"/>
      <c r="B36" s="1076"/>
      <c r="C36" t="s">
        <v>5761</v>
      </c>
      <c r="D36" t="s">
        <v>3514</v>
      </c>
      <c r="E36" s="407">
        <v>7.91</v>
      </c>
      <c r="F36" s="407">
        <v>7.899</v>
      </c>
      <c r="G36" s="407">
        <v>-1.1000000000000121E-2</v>
      </c>
    </row>
    <row r="37" spans="1:8">
      <c r="A37" s="644"/>
      <c r="B37" s="1076"/>
      <c r="C37" t="s">
        <v>5762</v>
      </c>
      <c r="D37" t="s">
        <v>3514</v>
      </c>
      <c r="E37" s="407">
        <v>1.3399999999999999</v>
      </c>
      <c r="F37" s="407">
        <v>1.39</v>
      </c>
      <c r="G37" s="407">
        <v>5.0000000000000044E-2</v>
      </c>
    </row>
    <row r="38" spans="1:8">
      <c r="A38" s="644"/>
      <c r="B38" s="1076">
        <f t="shared" ref="B38" si="5">B35+1</f>
        <v>4</v>
      </c>
      <c r="C38" t="s">
        <v>5750</v>
      </c>
      <c r="D38"/>
      <c r="E38" s="407"/>
      <c r="F38" s="407"/>
      <c r="G38" s="407"/>
    </row>
    <row r="39" spans="1:8">
      <c r="A39" s="644"/>
      <c r="B39" s="1076"/>
      <c r="C39" t="s">
        <v>5761</v>
      </c>
      <c r="D39" t="s">
        <v>3514</v>
      </c>
      <c r="E39" s="407">
        <v>7.9</v>
      </c>
      <c r="F39" s="407">
        <v>7.8929999999999998</v>
      </c>
      <c r="G39" s="407">
        <v>-7.0000000000005613E-3</v>
      </c>
    </row>
    <row r="40" spans="1:8">
      <c r="A40" s="644"/>
      <c r="B40" s="1076"/>
      <c r="C40" t="s">
        <v>5762</v>
      </c>
      <c r="D40" t="s">
        <v>3514</v>
      </c>
      <c r="E40" s="407">
        <v>1.3399999999999999</v>
      </c>
      <c r="F40" s="407">
        <v>1.4</v>
      </c>
      <c r="G40" s="407">
        <v>6.0000000000000053E-2</v>
      </c>
    </row>
    <row r="41" spans="1:8">
      <c r="A41" s="644"/>
      <c r="B41" s="1076">
        <f t="shared" ref="B41" si="6">B38+1</f>
        <v>5</v>
      </c>
      <c r="C41" t="s">
        <v>5751</v>
      </c>
      <c r="E41" s="408"/>
      <c r="F41" s="408"/>
      <c r="G41" s="408"/>
    </row>
    <row r="42" spans="1:8">
      <c r="A42" s="644"/>
      <c r="B42" s="1076"/>
      <c r="C42" t="s">
        <v>5761</v>
      </c>
      <c r="D42" s="2" t="s">
        <v>3514</v>
      </c>
      <c r="E42" s="408">
        <v>7.8899999999999988</v>
      </c>
      <c r="F42" s="408">
        <v>7.875</v>
      </c>
      <c r="G42" s="408">
        <v>-1.4999999999998792E-2</v>
      </c>
    </row>
    <row r="43" spans="1:8">
      <c r="A43" s="644"/>
      <c r="B43" s="1076"/>
      <c r="C43" t="s">
        <v>5762</v>
      </c>
      <c r="D43" s="2" t="s">
        <v>3514</v>
      </c>
      <c r="E43" s="408">
        <v>1.3399999999999999</v>
      </c>
      <c r="F43" s="408">
        <v>1.49</v>
      </c>
      <c r="G43" s="408">
        <v>0.15000000000000013</v>
      </c>
    </row>
    <row r="44" spans="1:8">
      <c r="A44" s="644" t="s">
        <v>5765</v>
      </c>
      <c r="B44" s="1076">
        <v>1</v>
      </c>
      <c r="C44" t="s">
        <v>5752</v>
      </c>
      <c r="E44" s="408"/>
      <c r="F44" s="408"/>
      <c r="G44" s="408"/>
      <c r="H44" t="s">
        <v>5856</v>
      </c>
    </row>
    <row r="45" spans="1:8">
      <c r="A45" s="644"/>
      <c r="B45" s="1076"/>
      <c r="C45" t="s">
        <v>5761</v>
      </c>
      <c r="D45" s="2" t="s">
        <v>3514</v>
      </c>
      <c r="E45" s="408">
        <v>7.879999999999999</v>
      </c>
      <c r="F45" s="408">
        <v>7.8730000000000002</v>
      </c>
      <c r="G45" s="408">
        <v>-6.999999999998785E-3</v>
      </c>
    </row>
    <row r="46" spans="1:8">
      <c r="A46" s="644"/>
      <c r="B46" s="1076"/>
      <c r="C46" t="s">
        <v>5762</v>
      </c>
      <c r="D46" t="s">
        <v>3514</v>
      </c>
      <c r="E46" s="407">
        <v>1.3399999999999999</v>
      </c>
      <c r="F46" s="407">
        <v>1.43</v>
      </c>
      <c r="G46" s="407">
        <v>9.000000000000008E-2</v>
      </c>
    </row>
    <row r="47" spans="1:8">
      <c r="A47" s="644"/>
      <c r="B47" s="1076">
        <f>B44+1</f>
        <v>2</v>
      </c>
      <c r="C47" t="s">
        <v>5753</v>
      </c>
      <c r="D47"/>
      <c r="E47" s="407"/>
      <c r="F47" s="407"/>
      <c r="G47" s="407"/>
    </row>
    <row r="48" spans="1:8">
      <c r="A48" s="644"/>
      <c r="B48" s="1076"/>
      <c r="C48" t="s">
        <v>5761</v>
      </c>
      <c r="D48" t="s">
        <v>3514</v>
      </c>
      <c r="E48" s="407">
        <v>7.8699999999999992</v>
      </c>
      <c r="F48" s="407">
        <v>7.8710000000000004</v>
      </c>
      <c r="G48" s="407">
        <v>1.0000000000012221E-3</v>
      </c>
    </row>
    <row r="49" spans="1:7">
      <c r="A49" s="644"/>
      <c r="B49" s="1076"/>
      <c r="C49" t="s">
        <v>5762</v>
      </c>
      <c r="D49" t="s">
        <v>3514</v>
      </c>
      <c r="E49" s="407">
        <v>1.3399999999999999</v>
      </c>
      <c r="F49" s="407">
        <v>1.45</v>
      </c>
      <c r="G49" s="407">
        <v>0.1100000000000001</v>
      </c>
    </row>
    <row r="50" spans="1:7">
      <c r="A50" s="644"/>
      <c r="B50" s="1076">
        <f t="shared" ref="B50" si="7">B47+1</f>
        <v>3</v>
      </c>
      <c r="C50" t="s">
        <v>5754</v>
      </c>
      <c r="D50"/>
      <c r="E50" s="407"/>
      <c r="F50" s="407"/>
      <c r="G50" s="407"/>
    </row>
    <row r="51" spans="1:7">
      <c r="A51" s="644"/>
      <c r="B51" s="1076"/>
      <c r="C51" t="s">
        <v>5761</v>
      </c>
      <c r="D51" s="2" t="s">
        <v>3514</v>
      </c>
      <c r="E51" s="408">
        <v>7.85</v>
      </c>
      <c r="F51" s="408">
        <v>7.835</v>
      </c>
      <c r="G51" s="408">
        <v>-1.499999999999968E-2</v>
      </c>
    </row>
    <row r="52" spans="1:7">
      <c r="A52" s="644"/>
      <c r="B52" s="1076"/>
      <c r="C52" t="s">
        <v>5762</v>
      </c>
      <c r="D52" s="2" t="s">
        <v>3514</v>
      </c>
      <c r="E52" s="408">
        <v>1.3399999999999999</v>
      </c>
      <c r="F52" s="408">
        <v>1.41</v>
      </c>
      <c r="G52" s="408">
        <v>7.0000000000000062E-2</v>
      </c>
    </row>
    <row r="53" spans="1:7">
      <c r="A53" s="644"/>
      <c r="B53" s="1076">
        <f t="shared" ref="B53" si="8">B50+1</f>
        <v>4</v>
      </c>
      <c r="C53" t="s">
        <v>5755</v>
      </c>
      <c r="E53" s="408"/>
      <c r="F53" s="408"/>
      <c r="G53" s="408"/>
    </row>
    <row r="54" spans="1:7">
      <c r="A54" s="644"/>
      <c r="B54" s="1076"/>
      <c r="C54" t="s">
        <v>5761</v>
      </c>
      <c r="D54" s="2" t="s">
        <v>3514</v>
      </c>
      <c r="E54" s="408">
        <v>7.84</v>
      </c>
      <c r="F54" s="408">
        <v>7.8280000000000003</v>
      </c>
      <c r="G54" s="408">
        <v>-1.1999999999999567E-2</v>
      </c>
    </row>
    <row r="55" spans="1:7">
      <c r="A55" s="644"/>
      <c r="B55" s="1076"/>
      <c r="C55" t="s">
        <v>5762</v>
      </c>
      <c r="D55" s="2" t="s">
        <v>3514</v>
      </c>
      <c r="E55" s="408">
        <v>1.3399999999999999</v>
      </c>
      <c r="F55" s="408">
        <v>1.45</v>
      </c>
      <c r="G55" s="408">
        <v>0.1100000000000001</v>
      </c>
    </row>
    <row r="56" spans="1:7">
      <c r="A56" s="644"/>
      <c r="B56" s="1076">
        <f t="shared" ref="B56" si="9">B53+1</f>
        <v>5</v>
      </c>
      <c r="C56" t="s">
        <v>5756</v>
      </c>
      <c r="D56"/>
      <c r="E56" s="407"/>
      <c r="F56" s="407"/>
      <c r="G56" s="407"/>
    </row>
    <row r="57" spans="1:7">
      <c r="A57" s="644"/>
      <c r="B57" s="1076"/>
      <c r="C57" t="s">
        <v>5761</v>
      </c>
      <c r="D57" t="s">
        <v>3514</v>
      </c>
      <c r="E57" s="407">
        <v>7.84</v>
      </c>
      <c r="F57" s="407">
        <v>7.8410000000000002</v>
      </c>
      <c r="G57" s="407">
        <v>1.000000000000334E-3</v>
      </c>
    </row>
    <row r="58" spans="1:7">
      <c r="A58" s="644"/>
      <c r="B58" s="1076"/>
      <c r="C58" t="s">
        <v>5762</v>
      </c>
      <c r="D58" t="s">
        <v>3514</v>
      </c>
      <c r="E58" s="407">
        <v>1.3399999999999999</v>
      </c>
      <c r="F58" s="407">
        <v>1.44</v>
      </c>
      <c r="G58" s="407">
        <v>0.10000000000000009</v>
      </c>
    </row>
    <row r="59" spans="1:7">
      <c r="A59" s="644"/>
      <c r="B59" s="1076">
        <f t="shared" ref="B59" si="10">B56+1</f>
        <v>6</v>
      </c>
      <c r="C59" t="s">
        <v>5757</v>
      </c>
      <c r="D59"/>
      <c r="E59" s="407"/>
      <c r="F59" s="407"/>
      <c r="G59" s="407"/>
    </row>
    <row r="60" spans="1:7">
      <c r="A60" s="644"/>
      <c r="B60" s="1076"/>
      <c r="C60" t="s">
        <v>5761</v>
      </c>
      <c r="D60" t="s">
        <v>3514</v>
      </c>
      <c r="E60" s="407">
        <v>7.83</v>
      </c>
      <c r="F60" s="407">
        <v>7.827</v>
      </c>
      <c r="G60" s="407">
        <v>-3.0000000000001137E-3</v>
      </c>
    </row>
    <row r="61" spans="1:7">
      <c r="A61" s="644"/>
      <c r="B61" s="1076"/>
      <c r="C61" t="s">
        <v>5762</v>
      </c>
      <c r="D61" s="2" t="s">
        <v>3514</v>
      </c>
      <c r="E61" s="408">
        <v>1.3399999999999999</v>
      </c>
      <c r="F61" s="408">
        <v>1.42</v>
      </c>
      <c r="G61" s="408">
        <v>8.0000000000000071E-2</v>
      </c>
    </row>
    <row r="62" spans="1:7">
      <c r="A62" s="644"/>
      <c r="B62" s="1076"/>
      <c r="E62" s="408"/>
      <c r="F62" s="408"/>
      <c r="G62" s="408"/>
    </row>
    <row r="63" spans="1:7">
      <c r="A63" s="644"/>
      <c r="B63" s="1076"/>
      <c r="E63" s="408"/>
      <c r="F63" s="408"/>
      <c r="G63" s="408"/>
    </row>
    <row r="64" spans="1:7">
      <c r="A64" s="644"/>
      <c r="B64" s="1076"/>
      <c r="E64" s="408"/>
      <c r="F64" s="408"/>
      <c r="G64" s="408"/>
    </row>
    <row r="65" spans="1:7">
      <c r="A65" s="644"/>
      <c r="E65" s="408"/>
      <c r="F65" s="408"/>
      <c r="G65" s="408"/>
    </row>
    <row r="66" spans="1:7">
      <c r="A66" s="644"/>
      <c r="D66"/>
      <c r="E66" s="407"/>
      <c r="F66" s="407"/>
      <c r="G66" s="407"/>
    </row>
    <row r="67" spans="1:7">
      <c r="A67" s="644"/>
      <c r="D67"/>
      <c r="E67" s="407"/>
      <c r="F67" s="407"/>
      <c r="G67" s="407"/>
    </row>
    <row r="68" spans="1:7">
      <c r="A68" s="644"/>
      <c r="D68"/>
      <c r="E68" s="407"/>
      <c r="F68" s="407"/>
      <c r="G68" s="407"/>
    </row>
    <row r="69" spans="1:7">
      <c r="A69" s="644"/>
      <c r="D69"/>
      <c r="E69" s="407"/>
      <c r="F69" s="407"/>
      <c r="G69" s="407"/>
    </row>
    <row r="70" spans="1:7">
      <c r="A70" s="644"/>
      <c r="D70"/>
      <c r="E70" s="407"/>
      <c r="F70" s="407"/>
      <c r="G70" s="407"/>
    </row>
    <row r="71" spans="1:7">
      <c r="A71" s="644"/>
      <c r="E71" s="408"/>
      <c r="F71" s="408"/>
      <c r="G71" s="408"/>
    </row>
    <row r="72" spans="1:7">
      <c r="A72" s="644"/>
      <c r="E72" s="408"/>
      <c r="F72" s="408"/>
      <c r="G72" s="408"/>
    </row>
    <row r="73" spans="1:7">
      <c r="A73" s="644"/>
      <c r="E73" s="408"/>
      <c r="F73" s="408"/>
      <c r="G73" s="408"/>
    </row>
    <row r="74" spans="1:7">
      <c r="A74" s="644"/>
      <c r="E74" s="408"/>
      <c r="F74" s="408"/>
      <c r="G74" s="408"/>
    </row>
    <row r="75" spans="1:7">
      <c r="A75" s="644"/>
      <c r="E75" s="408"/>
      <c r="F75" s="408"/>
      <c r="G75" s="408"/>
    </row>
    <row r="76" spans="1:7">
      <c r="A76" s="644"/>
      <c r="D76"/>
      <c r="E76" s="407"/>
      <c r="F76" s="407"/>
      <c r="G76" s="407"/>
    </row>
    <row r="77" spans="1:7">
      <c r="A77" s="644"/>
      <c r="D77"/>
      <c r="E77" s="407"/>
      <c r="F77" s="407"/>
      <c r="G77" s="407"/>
    </row>
    <row r="78" spans="1:7">
      <c r="A78" s="644"/>
      <c r="D78"/>
      <c r="E78" s="407"/>
      <c r="F78" s="407"/>
      <c r="G78" s="407"/>
    </row>
    <row r="79" spans="1:7">
      <c r="A79" s="644"/>
      <c r="D79"/>
      <c r="E79" s="407"/>
      <c r="F79" s="407"/>
      <c r="G79" s="407"/>
    </row>
    <row r="80" spans="1:7">
      <c r="A80" s="644"/>
      <c r="D80"/>
      <c r="E80" s="407"/>
      <c r="F80" s="407"/>
      <c r="G80" s="407"/>
    </row>
    <row r="81" spans="1:7">
      <c r="A81" s="644"/>
      <c r="E81" s="408"/>
      <c r="F81" s="408"/>
      <c r="G81" s="408"/>
    </row>
    <row r="82" spans="1:7">
      <c r="A82" s="644"/>
      <c r="E82" s="408"/>
      <c r="F82" s="408"/>
      <c r="G82" s="408"/>
    </row>
    <row r="83" spans="1:7">
      <c r="A83" s="644"/>
      <c r="B83" s="1076"/>
      <c r="E83" s="408"/>
      <c r="F83" s="408"/>
      <c r="G83" s="408"/>
    </row>
    <row r="84" spans="1:7">
      <c r="A84" s="644"/>
      <c r="B84" s="1076"/>
      <c r="E84" s="408"/>
      <c r="F84" s="408"/>
      <c r="G84" s="408"/>
    </row>
    <row r="85" spans="1:7">
      <c r="A85" s="644"/>
      <c r="B85" s="1076"/>
      <c r="E85" s="408"/>
      <c r="F85" s="408"/>
      <c r="G85" s="408"/>
    </row>
    <row r="86" spans="1:7">
      <c r="A86" s="644"/>
      <c r="B86" s="1076"/>
      <c r="D86"/>
      <c r="E86" s="407"/>
      <c r="F86" s="407"/>
      <c r="G86" s="407"/>
    </row>
    <row r="87" spans="1:7">
      <c r="A87" s="644"/>
      <c r="B87" s="1076"/>
      <c r="D87"/>
      <c r="E87" s="407"/>
      <c r="F87" s="407"/>
      <c r="G87" s="407"/>
    </row>
    <row r="88" spans="1:7">
      <c r="A88" s="644"/>
      <c r="B88" s="1076"/>
      <c r="D88"/>
      <c r="E88" s="407"/>
      <c r="F88" s="407"/>
      <c r="G88" s="407"/>
    </row>
    <row r="89" spans="1:7">
      <c r="A89" s="644"/>
      <c r="B89" s="1076"/>
      <c r="D89"/>
      <c r="E89" s="407"/>
      <c r="F89" s="407"/>
      <c r="G89" s="407"/>
    </row>
    <row r="90" spans="1:7">
      <c r="A90" s="644"/>
      <c r="B90" s="1076"/>
      <c r="D90"/>
      <c r="E90" s="407"/>
      <c r="F90" s="407"/>
      <c r="G90" s="407"/>
    </row>
    <row r="91" spans="1:7">
      <c r="A91" s="644"/>
      <c r="B91" s="1076"/>
      <c r="E91" s="408"/>
      <c r="F91" s="408"/>
      <c r="G91" s="408"/>
    </row>
    <row r="92" spans="1:7">
      <c r="A92" s="644"/>
      <c r="B92" s="1076"/>
      <c r="E92" s="408"/>
      <c r="F92" s="408"/>
      <c r="G92" s="408"/>
    </row>
    <row r="93" spans="1:7">
      <c r="A93" s="644"/>
      <c r="B93" s="1076"/>
      <c r="E93" s="408"/>
      <c r="F93" s="408"/>
      <c r="G93" s="408"/>
    </row>
    <row r="94" spans="1:7">
      <c r="A94" s="644"/>
      <c r="B94" s="1076"/>
      <c r="E94" s="408"/>
      <c r="F94" s="408"/>
      <c r="G94" s="408"/>
    </row>
    <row r="95" spans="1:7">
      <c r="A95" s="644"/>
      <c r="B95" s="1076"/>
      <c r="E95" s="408"/>
      <c r="F95" s="408"/>
      <c r="G95" s="408"/>
    </row>
    <row r="96" spans="1:7">
      <c r="A96" s="644"/>
      <c r="B96" s="1076"/>
      <c r="D96"/>
      <c r="E96" s="407"/>
      <c r="F96" s="407"/>
      <c r="G96" s="407"/>
    </row>
    <row r="97" spans="1:7">
      <c r="A97" s="644"/>
      <c r="B97" s="1076"/>
      <c r="D97"/>
      <c r="E97" s="407"/>
      <c r="F97" s="407"/>
      <c r="G97" s="407"/>
    </row>
    <row r="98" spans="1:7">
      <c r="A98" s="644"/>
      <c r="B98" s="1076"/>
      <c r="D98"/>
      <c r="E98" s="407"/>
      <c r="F98" s="407"/>
      <c r="G98" s="407"/>
    </row>
    <row r="99" spans="1:7">
      <c r="A99" s="644"/>
      <c r="B99" s="1076"/>
      <c r="D99"/>
      <c r="E99" s="407"/>
      <c r="F99" s="407"/>
      <c r="G99" s="407"/>
    </row>
    <row r="100" spans="1:7">
      <c r="A100" s="644"/>
      <c r="B100" s="1076"/>
      <c r="D100"/>
      <c r="E100" s="407"/>
      <c r="F100" s="407"/>
      <c r="G100" s="407"/>
    </row>
    <row r="101" spans="1:7">
      <c r="A101" s="644"/>
      <c r="B101" s="1076"/>
      <c r="E101" s="408"/>
      <c r="F101" s="408"/>
      <c r="G101" s="408"/>
    </row>
    <row r="102" spans="1:7">
      <c r="A102" s="644"/>
      <c r="B102" s="1076"/>
      <c r="E102" s="408"/>
      <c r="F102" s="408"/>
      <c r="G102" s="408"/>
    </row>
    <row r="103" spans="1:7">
      <c r="A103" s="644"/>
      <c r="B103" s="1076"/>
      <c r="E103" s="408"/>
      <c r="F103" s="408"/>
      <c r="G103" s="408"/>
    </row>
    <row r="104" spans="1:7">
      <c r="A104" s="644"/>
      <c r="B104" s="1076"/>
      <c r="E104" s="408"/>
      <c r="F104" s="408"/>
      <c r="G104" s="408"/>
    </row>
    <row r="105" spans="1:7">
      <c r="A105" s="644"/>
      <c r="B105" s="1076"/>
      <c r="E105" s="408"/>
      <c r="F105" s="408"/>
      <c r="G105" s="408"/>
    </row>
    <row r="106" spans="1:7">
      <c r="A106" s="644"/>
      <c r="B106" s="1076"/>
      <c r="D106"/>
      <c r="E106" s="407"/>
      <c r="F106" s="407"/>
      <c r="G106" s="407"/>
    </row>
    <row r="107" spans="1:7">
      <c r="A107" s="644"/>
      <c r="B107" s="1076"/>
      <c r="D107"/>
      <c r="E107" s="407"/>
      <c r="F107" s="407"/>
      <c r="G107" s="407"/>
    </row>
    <row r="108" spans="1:7">
      <c r="A108" s="644"/>
      <c r="B108" s="1076"/>
      <c r="D108"/>
      <c r="E108" s="407"/>
      <c r="F108" s="407"/>
      <c r="G108" s="407"/>
    </row>
    <row r="109" spans="1:7">
      <c r="A109" s="644"/>
      <c r="B109" s="1076"/>
      <c r="D109"/>
      <c r="E109" s="407"/>
      <c r="F109" s="407"/>
      <c r="G109" s="407"/>
    </row>
    <row r="110" spans="1:7">
      <c r="A110" s="644"/>
      <c r="D110"/>
      <c r="E110" s="407"/>
      <c r="F110" s="407"/>
      <c r="G110" s="407"/>
    </row>
    <row r="111" spans="1:7">
      <c r="A111" s="644"/>
      <c r="E111" s="408"/>
      <c r="F111" s="408"/>
      <c r="G111" s="408"/>
    </row>
    <row r="112" spans="1:7">
      <c r="A112" s="644"/>
      <c r="E112" s="408"/>
      <c r="F112" s="408"/>
      <c r="G112" s="408"/>
    </row>
    <row r="113" spans="1:7">
      <c r="A113" s="644"/>
      <c r="E113" s="408"/>
      <c r="F113" s="408"/>
      <c r="G113" s="408"/>
    </row>
    <row r="114" spans="1:7">
      <c r="A114" s="644"/>
      <c r="E114" s="408"/>
      <c r="F114" s="408"/>
      <c r="G114" s="408"/>
    </row>
    <row r="115" spans="1:7">
      <c r="A115" s="644"/>
      <c r="E115" s="408"/>
      <c r="F115" s="408"/>
      <c r="G115" s="408"/>
    </row>
    <row r="116" spans="1:7">
      <c r="A116" s="391"/>
      <c r="E116" s="408"/>
      <c r="F116" s="408"/>
      <c r="G116" s="408"/>
    </row>
    <row r="117" spans="1:7">
      <c r="A117" s="391"/>
      <c r="E117" s="408"/>
      <c r="F117" s="408"/>
      <c r="G117" s="408"/>
    </row>
    <row r="118" spans="1:7">
      <c r="A118" s="391"/>
      <c r="E118" s="408"/>
      <c r="F118" s="408"/>
      <c r="G118" s="408"/>
    </row>
    <row r="119" spans="1:7">
      <c r="A119" s="391"/>
      <c r="E119" s="408"/>
      <c r="F119" s="408"/>
      <c r="G119" s="408"/>
    </row>
    <row r="120" spans="1:7">
      <c r="A120" s="391"/>
      <c r="E120" s="408"/>
      <c r="F120" s="408"/>
      <c r="G120" s="408"/>
    </row>
    <row r="121" spans="1:7">
      <c r="A121" s="391"/>
      <c r="E121" s="408"/>
      <c r="F121" s="408"/>
      <c r="G121" s="408"/>
    </row>
    <row r="122" spans="1:7">
      <c r="A122" s="391"/>
      <c r="E122" s="408"/>
      <c r="F122" s="408"/>
      <c r="G122" s="408"/>
    </row>
    <row r="123" spans="1:7">
      <c r="A123" s="391"/>
      <c r="E123" s="408"/>
      <c r="F123" s="408"/>
      <c r="G123" s="408"/>
    </row>
    <row r="124" spans="1:7">
      <c r="A124" s="391"/>
      <c r="E124" s="408"/>
      <c r="F124" s="408"/>
      <c r="G124" s="408"/>
    </row>
    <row r="128" spans="1:7">
      <c r="B128" s="1076"/>
    </row>
    <row r="129" spans="2:2">
      <c r="B129" s="1076"/>
    </row>
    <row r="130" spans="2:2">
      <c r="B130" s="1076"/>
    </row>
    <row r="131" spans="2:2">
      <c r="B131" s="1076"/>
    </row>
    <row r="132" spans="2:2">
      <c r="B132" s="1076"/>
    </row>
    <row r="133" spans="2:2">
      <c r="B133" s="1076"/>
    </row>
    <row r="134" spans="2:2">
      <c r="B134" s="1076"/>
    </row>
    <row r="135" spans="2:2">
      <c r="B135" s="1076"/>
    </row>
    <row r="136" spans="2:2">
      <c r="B136" s="1076"/>
    </row>
    <row r="137" spans="2:2">
      <c r="B137" s="1076"/>
    </row>
    <row r="138" spans="2:2">
      <c r="B138" s="1076"/>
    </row>
    <row r="139" spans="2:2">
      <c r="B139" s="1076"/>
    </row>
    <row r="140" spans="2:2">
      <c r="B140" s="1076"/>
    </row>
    <row r="141" spans="2:2">
      <c r="B141" s="1076"/>
    </row>
    <row r="142" spans="2:2">
      <c r="B142" s="1076"/>
    </row>
    <row r="143" spans="2:2">
      <c r="B143" s="1076"/>
    </row>
    <row r="144" spans="2:2">
      <c r="B144" s="1076"/>
    </row>
    <row r="145" spans="2:2">
      <c r="B145" s="1076"/>
    </row>
    <row r="146" spans="2:2">
      <c r="B146" s="1076"/>
    </row>
    <row r="147" spans="2:2">
      <c r="B147" s="1076"/>
    </row>
    <row r="148" spans="2:2">
      <c r="B148" s="1076"/>
    </row>
    <row r="149" spans="2:2">
      <c r="B149" s="1076"/>
    </row>
    <row r="150" spans="2:2">
      <c r="B150" s="1076"/>
    </row>
    <row r="151" spans="2:2">
      <c r="B151" s="1076"/>
    </row>
    <row r="152" spans="2:2">
      <c r="B152" s="1076"/>
    </row>
    <row r="153" spans="2:2">
      <c r="B153" s="1076"/>
    </row>
    <row r="154" spans="2:2">
      <c r="B154" s="1076"/>
    </row>
    <row r="155" spans="2:2">
      <c r="B155" s="1076"/>
    </row>
    <row r="156" spans="2:2">
      <c r="B156" s="1076"/>
    </row>
    <row r="157" spans="2:2">
      <c r="B157" s="1076"/>
    </row>
    <row r="158" spans="2:2">
      <c r="B158" s="1076"/>
    </row>
    <row r="159" spans="2:2">
      <c r="B159" s="1076"/>
    </row>
    <row r="160" spans="2:2">
      <c r="B160" s="1076"/>
    </row>
    <row r="161" spans="2:2">
      <c r="B161" s="1076"/>
    </row>
    <row r="162" spans="2:2">
      <c r="B162" s="1076"/>
    </row>
    <row r="163" spans="2:2">
      <c r="B163" s="1076"/>
    </row>
    <row r="164" spans="2:2">
      <c r="B164" s="1076"/>
    </row>
    <row r="165" spans="2:2">
      <c r="B165" s="1076"/>
    </row>
    <row r="166" spans="2:2">
      <c r="B166" s="1076"/>
    </row>
    <row r="167" spans="2:2">
      <c r="B167" s="1076"/>
    </row>
    <row r="168" spans="2:2">
      <c r="B168" s="1076"/>
    </row>
    <row r="169" spans="2:2">
      <c r="B169" s="1076"/>
    </row>
    <row r="170" spans="2:2">
      <c r="B170" s="1076"/>
    </row>
    <row r="171" spans="2:2">
      <c r="B171" s="1076"/>
    </row>
    <row r="172" spans="2:2">
      <c r="B172" s="1076"/>
    </row>
    <row r="173" spans="2:2">
      <c r="B173" s="1076"/>
    </row>
    <row r="174" spans="2:2">
      <c r="B174" s="1076"/>
    </row>
    <row r="175" spans="2:2">
      <c r="B175" s="1076"/>
    </row>
    <row r="176" spans="2:2">
      <c r="B176" s="1076"/>
    </row>
    <row r="177" spans="2:2">
      <c r="B177" s="1076"/>
    </row>
    <row r="178" spans="2:2">
      <c r="B178" s="1076"/>
    </row>
    <row r="179" spans="2:2">
      <c r="B179" s="1076"/>
    </row>
    <row r="180" spans="2:2">
      <c r="B180" s="1076"/>
    </row>
    <row r="181" spans="2:2">
      <c r="B181" s="1076"/>
    </row>
    <row r="182" spans="2:2">
      <c r="B182" s="1076"/>
    </row>
    <row r="183" spans="2:2">
      <c r="B183" s="1076"/>
    </row>
    <row r="184" spans="2:2">
      <c r="B184" s="1076"/>
    </row>
    <row r="185" spans="2:2">
      <c r="B185" s="1076"/>
    </row>
    <row r="186" spans="2:2">
      <c r="B186" s="1076"/>
    </row>
    <row r="187" spans="2:2">
      <c r="B187" s="1076"/>
    </row>
    <row r="188" spans="2:2">
      <c r="B188" s="1076"/>
    </row>
    <row r="189" spans="2:2">
      <c r="B189" s="1076"/>
    </row>
    <row r="190" spans="2:2">
      <c r="B190" s="1076"/>
    </row>
    <row r="191" spans="2:2">
      <c r="B191" s="1076"/>
    </row>
    <row r="192" spans="2:2">
      <c r="B192" s="1076"/>
    </row>
    <row r="193" spans="2:2">
      <c r="B193" s="1076"/>
    </row>
    <row r="194" spans="2:2">
      <c r="B194" s="1076"/>
    </row>
    <row r="195" spans="2:2">
      <c r="B195" s="1076"/>
    </row>
    <row r="196" spans="2:2">
      <c r="B196" s="1076"/>
    </row>
    <row r="197" spans="2:2">
      <c r="B197" s="1076"/>
    </row>
    <row r="198" spans="2:2">
      <c r="B198" s="1076"/>
    </row>
    <row r="199" spans="2:2">
      <c r="B199" s="1076"/>
    </row>
    <row r="200" spans="2:2">
      <c r="B200" s="1076"/>
    </row>
    <row r="201" spans="2:2">
      <c r="B201" s="1076"/>
    </row>
    <row r="202" spans="2:2">
      <c r="B202" s="1076"/>
    </row>
    <row r="203" spans="2:2">
      <c r="B203" s="1076"/>
    </row>
    <row r="204" spans="2:2">
      <c r="B204" s="1076"/>
    </row>
    <row r="205" spans="2:2">
      <c r="B205" s="1076"/>
    </row>
    <row r="206" spans="2:2">
      <c r="B206" s="1076"/>
    </row>
    <row r="207" spans="2:2">
      <c r="B207" s="1076"/>
    </row>
    <row r="208" spans="2:2">
      <c r="B208" s="1076"/>
    </row>
    <row r="209" spans="2:2">
      <c r="B209" s="1076"/>
    </row>
    <row r="210" spans="2:2">
      <c r="B210" s="1076"/>
    </row>
    <row r="211" spans="2:2">
      <c r="B211" s="1076"/>
    </row>
    <row r="212" spans="2:2">
      <c r="B212" s="1076"/>
    </row>
    <row r="213" spans="2:2">
      <c r="B213" s="1076"/>
    </row>
    <row r="214" spans="2:2">
      <c r="B214" s="1076"/>
    </row>
    <row r="215" spans="2:2">
      <c r="B215" s="1076"/>
    </row>
    <row r="216" spans="2:2">
      <c r="B216" s="1076"/>
    </row>
    <row r="217" spans="2:2">
      <c r="B217" s="1076"/>
    </row>
    <row r="218" spans="2:2">
      <c r="B218" s="1076"/>
    </row>
    <row r="219" spans="2:2">
      <c r="B219" s="1076"/>
    </row>
    <row r="220" spans="2:2">
      <c r="B220" s="1076"/>
    </row>
    <row r="221" spans="2:2">
      <c r="B221" s="1076"/>
    </row>
    <row r="222" spans="2:2">
      <c r="B222" s="1076"/>
    </row>
    <row r="223" spans="2:2">
      <c r="B223" s="1076"/>
    </row>
    <row r="224" spans="2:2">
      <c r="B224" s="1076"/>
    </row>
    <row r="225" spans="2:2">
      <c r="B225" s="1076"/>
    </row>
    <row r="226" spans="2:2">
      <c r="B226" s="1076"/>
    </row>
    <row r="227" spans="2:2">
      <c r="B227" s="1076"/>
    </row>
    <row r="228" spans="2:2">
      <c r="B228" s="1076"/>
    </row>
    <row r="229" spans="2:2">
      <c r="B229" s="1076"/>
    </row>
    <row r="230" spans="2:2">
      <c r="B230" s="1076"/>
    </row>
    <row r="231" spans="2:2">
      <c r="B231" s="1076"/>
    </row>
    <row r="232" spans="2:2">
      <c r="B232" s="1076"/>
    </row>
    <row r="233" spans="2:2">
      <c r="B233" s="1076"/>
    </row>
    <row r="234" spans="2:2">
      <c r="B234" s="1076"/>
    </row>
    <row r="235" spans="2:2">
      <c r="B235" s="1076"/>
    </row>
    <row r="236" spans="2:2">
      <c r="B236" s="1076"/>
    </row>
    <row r="237" spans="2:2">
      <c r="B237" s="1076"/>
    </row>
    <row r="238" spans="2:2">
      <c r="B238" s="1076"/>
    </row>
    <row r="239" spans="2:2">
      <c r="B239" s="1076"/>
    </row>
    <row r="240" spans="2:2">
      <c r="B240" s="1076"/>
    </row>
    <row r="241" spans="2:2">
      <c r="B241" s="1076"/>
    </row>
    <row r="242" spans="2:2">
      <c r="B242" s="1076"/>
    </row>
    <row r="243" spans="2:2">
      <c r="B243" s="1076"/>
    </row>
    <row r="244" spans="2:2">
      <c r="B244" s="1076"/>
    </row>
    <row r="245" spans="2:2">
      <c r="B245" s="1076"/>
    </row>
    <row r="246" spans="2:2">
      <c r="B246" s="1076"/>
    </row>
    <row r="247" spans="2:2">
      <c r="B247" s="1076"/>
    </row>
    <row r="248" spans="2:2">
      <c r="B248" s="1076"/>
    </row>
    <row r="249" spans="2:2">
      <c r="B249" s="1076"/>
    </row>
    <row r="250" spans="2:2">
      <c r="B250" s="1076"/>
    </row>
    <row r="251" spans="2:2">
      <c r="B251" s="1076"/>
    </row>
    <row r="252" spans="2:2">
      <c r="B252" s="1076"/>
    </row>
    <row r="253" spans="2:2">
      <c r="B253" s="1076"/>
    </row>
    <row r="254" spans="2:2">
      <c r="B254" s="1076"/>
    </row>
    <row r="255" spans="2:2">
      <c r="B255" s="1076"/>
    </row>
    <row r="256" spans="2:2">
      <c r="B256" s="1076"/>
    </row>
    <row r="257" spans="2:2">
      <c r="B257" s="1076"/>
    </row>
    <row r="258" spans="2:2">
      <c r="B258" s="1076"/>
    </row>
    <row r="259" spans="2:2">
      <c r="B259" s="1076"/>
    </row>
    <row r="260" spans="2:2">
      <c r="B260" s="1076"/>
    </row>
    <row r="261" spans="2:2">
      <c r="B261" s="1076"/>
    </row>
    <row r="262" spans="2:2">
      <c r="B262" s="1076"/>
    </row>
    <row r="263" spans="2:2">
      <c r="B263" s="1076"/>
    </row>
    <row r="264" spans="2:2">
      <c r="B264" s="1076"/>
    </row>
    <row r="265" spans="2:2">
      <c r="B265" s="1076"/>
    </row>
    <row r="266" spans="2:2">
      <c r="B266" s="1076"/>
    </row>
    <row r="267" spans="2:2">
      <c r="B267" s="1076"/>
    </row>
    <row r="268" spans="2:2">
      <c r="B268" s="1076"/>
    </row>
    <row r="269" spans="2:2">
      <c r="B269" s="1076"/>
    </row>
    <row r="270" spans="2:2">
      <c r="B270" s="1076"/>
    </row>
    <row r="271" spans="2:2">
      <c r="B271" s="1076"/>
    </row>
    <row r="272" spans="2:2">
      <c r="B272" s="1076"/>
    </row>
    <row r="273" spans="2:2">
      <c r="B273" s="1076"/>
    </row>
    <row r="274" spans="2:2">
      <c r="B274" s="1076"/>
    </row>
    <row r="275" spans="2:2">
      <c r="B275" s="1076"/>
    </row>
    <row r="276" spans="2:2">
      <c r="B276" s="1076"/>
    </row>
    <row r="277" spans="2:2">
      <c r="B277" s="1076"/>
    </row>
    <row r="278" spans="2:2">
      <c r="B278" s="1076"/>
    </row>
    <row r="279" spans="2:2">
      <c r="B279" s="1076"/>
    </row>
    <row r="280" spans="2:2">
      <c r="B280" s="1076"/>
    </row>
    <row r="281" spans="2:2">
      <c r="B281" s="1076"/>
    </row>
    <row r="282" spans="2:2">
      <c r="B282" s="1076"/>
    </row>
  </sheetData>
  <mergeCells count="5">
    <mergeCell ref="A3:H3"/>
    <mergeCell ref="A4:H4"/>
    <mergeCell ref="A1:H2"/>
    <mergeCell ref="C5:H5"/>
    <mergeCell ref="A5:B5"/>
  </mergeCells>
  <pageMargins left="0.7" right="0.7" top="0.75" bottom="0.75" header="0.3" footer="0.3"/>
  <drawing r:id="rId1"/>
  <legacyDrawing r:id="rId2"/>
  <controls>
    <mc:AlternateContent xmlns:mc="http://schemas.openxmlformats.org/markup-compatibility/2006">
      <mc:Choice Requires="x14">
        <control shapeId="562178" r:id="rId3" name="CommandButton1">
          <controlPr defaultSize="0" autoLine="0" r:id="rId4">
            <anchor moveWithCells="1">
              <from>
                <xdr:col>0</xdr:col>
                <xdr:colOff>28575</xdr:colOff>
                <xdr:row>4</xdr:row>
                <xdr:rowOff>28575</xdr:rowOff>
              </from>
              <to>
                <xdr:col>1</xdr:col>
                <xdr:colOff>466725</xdr:colOff>
                <xdr:row>4</xdr:row>
                <xdr:rowOff>276225</xdr:rowOff>
              </to>
            </anchor>
          </controlPr>
        </control>
      </mc:Choice>
      <mc:Fallback>
        <control shapeId="562178" r:id="rId3" name="CommandButton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N45"/>
  <sheetViews>
    <sheetView workbookViewId="0">
      <pane xSplit="14" ySplit="10" topLeftCell="O41" activePane="bottomRight" state="frozen"/>
      <selection pane="topRight" activeCell="O1" sqref="O1"/>
      <selection pane="bottomLeft" activeCell="A9" sqref="A9"/>
      <selection pane="bottomRight" activeCell="G14" sqref="G14"/>
    </sheetView>
  </sheetViews>
  <sheetFormatPr defaultColWidth="8.88671875" defaultRowHeight="16.5"/>
  <cols>
    <col min="1" max="1" width="12.33203125" style="2" customWidth="1"/>
    <col min="2" max="2" width="4.21875" style="2" bestFit="1" customWidth="1"/>
    <col min="3" max="3" width="12.109375" customWidth="1"/>
    <col min="4" max="4" width="7" style="2" customWidth="1"/>
    <col min="5" max="7" width="5.88671875" customWidth="1"/>
    <col min="8" max="8" width="7.6640625" customWidth="1"/>
    <col min="9" max="11" width="7" customWidth="1"/>
    <col min="12" max="12" width="7.109375" customWidth="1"/>
    <col min="13" max="13" width="27.6640625" customWidth="1"/>
    <col min="14" max="14" width="1.6640625" bestFit="1" customWidth="1"/>
    <col min="15" max="19" width="8.88671875" customWidth="1"/>
  </cols>
  <sheetData>
    <row r="1" spans="1:14" s="29" customFormat="1" ht="9.75" customHeight="1">
      <c r="A1" s="1380" t="s">
        <v>4247</v>
      </c>
      <c r="B1" s="1381"/>
      <c r="C1" s="1381"/>
      <c r="D1" s="1381"/>
      <c r="E1" s="1381"/>
      <c r="F1" s="1381"/>
      <c r="G1" s="1381"/>
      <c r="H1" s="1381"/>
      <c r="I1" s="1381"/>
      <c r="J1" s="1381"/>
      <c r="K1" s="1381"/>
      <c r="L1" s="1381"/>
      <c r="M1" s="1382"/>
      <c r="N1" s="419" t="s">
        <v>173</v>
      </c>
    </row>
    <row r="2" spans="1:14" s="29" customFormat="1" ht="9.75" customHeight="1">
      <c r="A2" s="1383"/>
      <c r="B2" s="1376"/>
      <c r="C2" s="1376"/>
      <c r="D2" s="1376"/>
      <c r="E2" s="1376"/>
      <c r="F2" s="1376"/>
      <c r="G2" s="1376"/>
      <c r="H2" s="1376"/>
      <c r="I2" s="1376"/>
      <c r="J2" s="1376"/>
      <c r="K2" s="1376"/>
      <c r="L2" s="1376"/>
      <c r="M2" s="1384"/>
      <c r="N2" s="405"/>
    </row>
    <row r="3" spans="1:14"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77"/>
      <c r="H3" s="1377"/>
      <c r="I3" s="1377"/>
      <c r="J3" s="1377"/>
      <c r="K3" s="1377"/>
      <c r="L3" s="1377"/>
      <c r="M3" s="1386"/>
      <c r="N3" s="405"/>
    </row>
    <row r="4" spans="1:14" s="29" customFormat="1" ht="16.5" customHeight="1">
      <c r="A4" s="1387" t="str">
        <f>"Địa điểm XD: "&amp;DDXD</f>
        <v>Địa điểm XD: Huyện Ninh Hải - Tỉnh Ninh Thuận</v>
      </c>
      <c r="B4" s="1388"/>
      <c r="C4" s="1388"/>
      <c r="D4" s="1388"/>
      <c r="E4" s="1388"/>
      <c r="F4" s="1388"/>
      <c r="G4" s="1388"/>
      <c r="H4" s="1388"/>
      <c r="I4" s="1388"/>
      <c r="J4" s="1388"/>
      <c r="K4" s="1388"/>
      <c r="L4" s="1388"/>
      <c r="M4" s="1389"/>
      <c r="N4" s="405"/>
    </row>
    <row r="5" spans="1:14" s="29" customFormat="1" ht="23.25" customHeight="1">
      <c r="A5" s="393"/>
      <c r="B5" s="394"/>
      <c r="C5" s="1398" t="s">
        <v>5854</v>
      </c>
      <c r="D5" s="1399"/>
      <c r="E5" s="1399"/>
      <c r="F5" s="1399"/>
      <c r="G5" s="1399"/>
      <c r="H5" s="1399"/>
      <c r="I5" s="1399"/>
      <c r="J5" s="1399"/>
      <c r="K5" s="1399"/>
      <c r="L5" s="1399"/>
      <c r="M5" s="1400"/>
      <c r="N5" s="405"/>
    </row>
    <row r="6" spans="1:14" s="29" customFormat="1" ht="23.25" hidden="1" customHeight="1">
      <c r="A6" s="392"/>
      <c r="B6" s="411"/>
      <c r="C6" s="395"/>
      <c r="D6" s="395"/>
      <c r="E6" s="412"/>
      <c r="F6" s="412"/>
      <c r="G6" s="412"/>
      <c r="H6" s="412"/>
      <c r="I6" s="412"/>
      <c r="J6" s="412"/>
      <c r="K6" s="412"/>
      <c r="L6" s="412"/>
      <c r="M6" s="395"/>
      <c r="N6" s="405"/>
    </row>
    <row r="7" spans="1:14" s="29" customFormat="1" ht="7.5" customHeight="1">
      <c r="A7" s="413"/>
      <c r="B7" s="414"/>
      <c r="C7" s="415"/>
      <c r="D7" s="415"/>
      <c r="E7" s="416"/>
      <c r="F7" s="416"/>
      <c r="G7" s="416"/>
      <c r="H7" s="416"/>
      <c r="I7" s="416"/>
      <c r="J7" s="416"/>
      <c r="K7" s="416"/>
      <c r="L7" s="416"/>
      <c r="M7" s="415"/>
      <c r="N7" s="405"/>
    </row>
    <row r="8" spans="1:14" ht="16.5" customHeight="1">
      <c r="A8" s="1395" t="s">
        <v>3903</v>
      </c>
      <c r="B8" s="1401" t="s">
        <v>21</v>
      </c>
      <c r="C8" s="1404" t="s">
        <v>4262</v>
      </c>
      <c r="D8" s="1404" t="s">
        <v>4263</v>
      </c>
      <c r="E8" s="1407" t="s">
        <v>159</v>
      </c>
      <c r="F8" s="1408"/>
      <c r="G8" s="1408"/>
      <c r="H8" s="1409"/>
      <c r="I8" s="1407" t="s">
        <v>3906</v>
      </c>
      <c r="J8" s="1408"/>
      <c r="K8" s="1408"/>
      <c r="L8" s="1409"/>
      <c r="M8" s="1404" t="s">
        <v>20</v>
      </c>
      <c r="N8" s="403"/>
    </row>
    <row r="9" spans="1:14" ht="16.5" customHeight="1">
      <c r="A9" s="1396"/>
      <c r="B9" s="1402"/>
      <c r="C9" s="1405"/>
      <c r="D9" s="1405"/>
      <c r="E9" s="1407" t="s">
        <v>4264</v>
      </c>
      <c r="F9" s="1408"/>
      <c r="G9" s="1409"/>
      <c r="H9" s="1404" t="s">
        <v>4265</v>
      </c>
      <c r="I9" s="1407" t="s">
        <v>4264</v>
      </c>
      <c r="J9" s="1408"/>
      <c r="K9" s="1409"/>
      <c r="L9" s="1404" t="s">
        <v>4265</v>
      </c>
      <c r="M9" s="1405"/>
      <c r="N9" s="403"/>
    </row>
    <row r="10" spans="1:14">
      <c r="A10" s="1397"/>
      <c r="B10" s="1403"/>
      <c r="C10" s="1406"/>
      <c r="D10" s="1406"/>
      <c r="E10" s="400" t="s">
        <v>4266</v>
      </c>
      <c r="F10" s="400" t="s">
        <v>4267</v>
      </c>
      <c r="G10" s="401" t="s">
        <v>4268</v>
      </c>
      <c r="H10" s="1406"/>
      <c r="I10" s="400" t="s">
        <v>4266</v>
      </c>
      <c r="J10" s="400" t="s">
        <v>4267</v>
      </c>
      <c r="K10" s="401" t="s">
        <v>4268</v>
      </c>
      <c r="L10" s="1406"/>
      <c r="M10" s="1406"/>
      <c r="N10" s="419"/>
    </row>
    <row r="11" spans="1:14">
      <c r="A11" s="2" t="s">
        <v>4269</v>
      </c>
      <c r="B11">
        <v>1</v>
      </c>
      <c r="C11" t="s">
        <v>4392</v>
      </c>
      <c r="E11" s="273">
        <v>3.4</v>
      </c>
      <c r="F11" s="273">
        <v>3.48</v>
      </c>
      <c r="G11" s="273">
        <v>3.4</v>
      </c>
      <c r="H11">
        <v>8</v>
      </c>
      <c r="I11">
        <v>3.4</v>
      </c>
      <c r="J11">
        <v>3.4820000000000002</v>
      </c>
      <c r="K11">
        <v>3.3940000000000001</v>
      </c>
      <c r="L11">
        <v>8</v>
      </c>
      <c r="M11" t="s">
        <v>4410</v>
      </c>
    </row>
    <row r="12" spans="1:14">
      <c r="B12"/>
      <c r="C12" t="s">
        <v>150</v>
      </c>
      <c r="D12" s="2">
        <v>8.9999999000000006</v>
      </c>
      <c r="E12" s="273" t="s">
        <v>150</v>
      </c>
      <c r="F12" s="273" t="s">
        <v>150</v>
      </c>
      <c r="G12" s="273" t="s">
        <v>150</v>
      </c>
      <c r="H12" t="s">
        <v>150</v>
      </c>
      <c r="I12" t="s">
        <v>150</v>
      </c>
      <c r="J12" t="s">
        <v>150</v>
      </c>
      <c r="K12" t="s">
        <v>150</v>
      </c>
      <c r="L12" t="s">
        <v>150</v>
      </c>
    </row>
    <row r="13" spans="1:14">
      <c r="B13">
        <v>2</v>
      </c>
      <c r="C13" t="s">
        <v>4393</v>
      </c>
      <c r="D13" s="2" t="s">
        <v>150</v>
      </c>
      <c r="E13" s="273">
        <v>3.39</v>
      </c>
      <c r="F13" s="273">
        <v>3.47</v>
      </c>
      <c r="G13" s="273">
        <v>3.39</v>
      </c>
      <c r="H13">
        <v>8</v>
      </c>
      <c r="I13">
        <v>3.3919999999999999</v>
      </c>
      <c r="J13">
        <v>3.4689999999999999</v>
      </c>
      <c r="K13">
        <v>3.395</v>
      </c>
      <c r="L13">
        <v>8</v>
      </c>
    </row>
    <row r="14" spans="1:14">
      <c r="B14" t="s">
        <v>150</v>
      </c>
      <c r="C14" t="s">
        <v>150</v>
      </c>
      <c r="D14" s="2">
        <v>21</v>
      </c>
      <c r="E14" s="273" t="s">
        <v>150</v>
      </c>
      <c r="F14" s="273" t="s">
        <v>150</v>
      </c>
      <c r="G14" s="273" t="s">
        <v>150</v>
      </c>
      <c r="H14" t="s">
        <v>150</v>
      </c>
      <c r="I14" t="s">
        <v>150</v>
      </c>
      <c r="J14" t="s">
        <v>150</v>
      </c>
      <c r="K14" t="s">
        <v>150</v>
      </c>
      <c r="L14" t="s">
        <v>150</v>
      </c>
    </row>
    <row r="15" spans="1:14">
      <c r="B15">
        <v>3</v>
      </c>
      <c r="C15" t="s">
        <v>4394</v>
      </c>
      <c r="D15" s="2" t="s">
        <v>150</v>
      </c>
      <c r="E15" s="273">
        <v>3.38</v>
      </c>
      <c r="F15" s="273">
        <v>3.46</v>
      </c>
      <c r="G15" s="273">
        <v>3.38</v>
      </c>
      <c r="H15">
        <v>8</v>
      </c>
      <c r="I15">
        <v>3.3820000000000001</v>
      </c>
      <c r="J15">
        <v>3.46</v>
      </c>
      <c r="K15">
        <v>3.3820000000000001</v>
      </c>
      <c r="L15">
        <v>8</v>
      </c>
    </row>
    <row r="16" spans="1:14">
      <c r="B16" t="s">
        <v>150</v>
      </c>
      <c r="C16" t="s">
        <v>150</v>
      </c>
      <c r="D16" s="2">
        <v>13</v>
      </c>
      <c r="E16" s="273" t="s">
        <v>150</v>
      </c>
      <c r="F16" s="273" t="s">
        <v>150</v>
      </c>
      <c r="G16" s="273" t="s">
        <v>150</v>
      </c>
      <c r="H16" t="s">
        <v>150</v>
      </c>
      <c r="I16" t="s">
        <v>150</v>
      </c>
      <c r="J16" t="s">
        <v>150</v>
      </c>
      <c r="K16" t="s">
        <v>150</v>
      </c>
      <c r="L16" t="s">
        <v>150</v>
      </c>
    </row>
    <row r="17" spans="2:12">
      <c r="B17">
        <v>4</v>
      </c>
      <c r="C17" t="s">
        <v>4395</v>
      </c>
      <c r="D17" s="2" t="s">
        <v>150</v>
      </c>
      <c r="E17" s="273">
        <v>3.38</v>
      </c>
      <c r="F17" s="273">
        <v>3.46</v>
      </c>
      <c r="G17" s="273">
        <v>3.38</v>
      </c>
      <c r="H17">
        <v>8</v>
      </c>
      <c r="I17">
        <v>3.38</v>
      </c>
      <c r="J17">
        <v>3.4620000000000002</v>
      </c>
      <c r="K17">
        <v>3.3809999999999998</v>
      </c>
      <c r="L17">
        <v>8</v>
      </c>
    </row>
    <row r="18" spans="2:12">
      <c r="B18" t="s">
        <v>150</v>
      </c>
      <c r="C18" t="s">
        <v>150</v>
      </c>
      <c r="D18" s="2">
        <v>9</v>
      </c>
      <c r="E18" s="273" t="s">
        <v>150</v>
      </c>
      <c r="F18" s="273" t="s">
        <v>150</v>
      </c>
      <c r="G18" s="273" t="s">
        <v>150</v>
      </c>
      <c r="H18" t="s">
        <v>150</v>
      </c>
      <c r="I18" t="s">
        <v>150</v>
      </c>
      <c r="J18" t="s">
        <v>150</v>
      </c>
      <c r="K18" t="s">
        <v>150</v>
      </c>
      <c r="L18" t="s">
        <v>150</v>
      </c>
    </row>
    <row r="19" spans="2:12">
      <c r="B19">
        <v>5</v>
      </c>
      <c r="C19" t="s">
        <v>4396</v>
      </c>
      <c r="D19" s="2" t="s">
        <v>150</v>
      </c>
      <c r="E19" s="273">
        <v>3.37</v>
      </c>
      <c r="F19" s="273">
        <v>3.45</v>
      </c>
      <c r="G19" s="273">
        <v>3.37</v>
      </c>
      <c r="H19">
        <v>8</v>
      </c>
      <c r="I19">
        <v>3.3730000000000002</v>
      </c>
      <c r="J19">
        <v>3.452</v>
      </c>
      <c r="K19">
        <v>3.363</v>
      </c>
      <c r="L19">
        <v>8</v>
      </c>
    </row>
    <row r="20" spans="2:12">
      <c r="B20" s="2" t="s">
        <v>150</v>
      </c>
      <c r="C20" t="s">
        <v>150</v>
      </c>
      <c r="D20" s="2">
        <v>9</v>
      </c>
      <c r="E20" t="s">
        <v>150</v>
      </c>
      <c r="F20" t="s">
        <v>150</v>
      </c>
      <c r="G20" t="s">
        <v>150</v>
      </c>
      <c r="H20" t="s">
        <v>150</v>
      </c>
      <c r="I20" t="s">
        <v>150</v>
      </c>
      <c r="J20" t="s">
        <v>150</v>
      </c>
      <c r="K20" t="s">
        <v>150</v>
      </c>
      <c r="L20" t="s">
        <v>150</v>
      </c>
    </row>
    <row r="21" spans="2:12">
      <c r="B21" s="2">
        <v>6</v>
      </c>
      <c r="C21" t="s">
        <v>4397</v>
      </c>
      <c r="D21" s="2" t="s">
        <v>150</v>
      </c>
      <c r="E21">
        <v>3.37</v>
      </c>
      <c r="F21">
        <v>3.45</v>
      </c>
      <c r="G21">
        <v>3.37</v>
      </c>
      <c r="H21">
        <v>8</v>
      </c>
      <c r="I21">
        <v>3.3690000000000002</v>
      </c>
      <c r="J21">
        <v>3.4510000000000001</v>
      </c>
      <c r="K21">
        <v>3.3650000000000002</v>
      </c>
      <c r="L21">
        <v>8</v>
      </c>
    </row>
    <row r="22" spans="2:12">
      <c r="B22" s="2" t="s">
        <v>150</v>
      </c>
      <c r="C22" t="s">
        <v>150</v>
      </c>
      <c r="D22" s="2">
        <v>14</v>
      </c>
      <c r="E22" t="s">
        <v>150</v>
      </c>
      <c r="F22" t="s">
        <v>150</v>
      </c>
      <c r="G22" t="s">
        <v>150</v>
      </c>
      <c r="H22" t="s">
        <v>150</v>
      </c>
      <c r="I22" t="s">
        <v>150</v>
      </c>
      <c r="J22" t="s">
        <v>150</v>
      </c>
      <c r="K22" t="s">
        <v>150</v>
      </c>
      <c r="L22" t="s">
        <v>150</v>
      </c>
    </row>
    <row r="23" spans="2:12">
      <c r="B23" s="2">
        <v>7</v>
      </c>
      <c r="C23" t="s">
        <v>4398</v>
      </c>
      <c r="D23" s="2" t="s">
        <v>150</v>
      </c>
      <c r="E23">
        <v>3.37</v>
      </c>
      <c r="F23">
        <v>3.45</v>
      </c>
      <c r="G23">
        <v>3.37</v>
      </c>
      <c r="H23">
        <v>8</v>
      </c>
      <c r="I23">
        <v>3.371</v>
      </c>
      <c r="J23">
        <v>3.45</v>
      </c>
      <c r="K23">
        <v>3.371</v>
      </c>
      <c r="L23">
        <v>8</v>
      </c>
    </row>
    <row r="24" spans="2:12">
      <c r="B24" s="2" t="s">
        <v>150</v>
      </c>
      <c r="C24" t="s">
        <v>150</v>
      </c>
      <c r="D24" s="2">
        <v>15</v>
      </c>
      <c r="E24" t="s">
        <v>150</v>
      </c>
      <c r="F24" t="s">
        <v>150</v>
      </c>
      <c r="G24" t="s">
        <v>150</v>
      </c>
      <c r="H24" t="s">
        <v>150</v>
      </c>
      <c r="I24" t="s">
        <v>150</v>
      </c>
      <c r="J24" t="s">
        <v>150</v>
      </c>
      <c r="K24" t="s">
        <v>150</v>
      </c>
      <c r="L24" t="s">
        <v>150</v>
      </c>
    </row>
    <row r="25" spans="2:12">
      <c r="B25" s="2">
        <v>8</v>
      </c>
      <c r="C25" t="s">
        <v>4399</v>
      </c>
      <c r="D25" s="2" t="s">
        <v>150</v>
      </c>
      <c r="E25">
        <v>3.36</v>
      </c>
      <c r="F25">
        <v>3.44</v>
      </c>
      <c r="G25">
        <v>3.36</v>
      </c>
      <c r="H25">
        <v>8</v>
      </c>
      <c r="I25">
        <v>3.3580000000000001</v>
      </c>
      <c r="J25">
        <v>3.4430000000000001</v>
      </c>
      <c r="K25">
        <v>3.3639999999999999</v>
      </c>
      <c r="L25">
        <v>8</v>
      </c>
    </row>
    <row r="26" spans="2:12">
      <c r="B26" s="2" t="s">
        <v>150</v>
      </c>
      <c r="C26" t="s">
        <v>150</v>
      </c>
      <c r="D26" s="2">
        <v>16.47</v>
      </c>
      <c r="E26" t="s">
        <v>150</v>
      </c>
      <c r="F26" t="s">
        <v>150</v>
      </c>
      <c r="G26" t="s">
        <v>150</v>
      </c>
      <c r="H26" t="s">
        <v>150</v>
      </c>
      <c r="I26" t="s">
        <v>150</v>
      </c>
      <c r="J26" t="s">
        <v>150</v>
      </c>
      <c r="K26" t="s">
        <v>150</v>
      </c>
      <c r="L26" t="s">
        <v>150</v>
      </c>
    </row>
    <row r="27" spans="2:12">
      <c r="B27" s="2">
        <v>9</v>
      </c>
      <c r="C27" t="s">
        <v>4400</v>
      </c>
      <c r="D27" s="2" t="s">
        <v>150</v>
      </c>
      <c r="E27">
        <v>3.36</v>
      </c>
      <c r="F27">
        <v>3.44</v>
      </c>
      <c r="G27">
        <v>3.36</v>
      </c>
      <c r="H27">
        <v>8</v>
      </c>
      <c r="I27">
        <v>3.3580000000000001</v>
      </c>
      <c r="J27">
        <v>3.4390000000000001</v>
      </c>
      <c r="K27">
        <v>3.3580000000000001</v>
      </c>
      <c r="L27">
        <v>8</v>
      </c>
    </row>
    <row r="28" spans="2:12">
      <c r="B28" s="2" t="s">
        <v>150</v>
      </c>
      <c r="C28" t="s">
        <v>150</v>
      </c>
      <c r="D28" s="2">
        <v>9</v>
      </c>
      <c r="E28" t="s">
        <v>150</v>
      </c>
      <c r="F28" t="s">
        <v>150</v>
      </c>
      <c r="G28" t="s">
        <v>150</v>
      </c>
      <c r="H28" t="s">
        <v>150</v>
      </c>
      <c r="I28" t="s">
        <v>150</v>
      </c>
      <c r="J28" t="s">
        <v>150</v>
      </c>
      <c r="K28" t="s">
        <v>150</v>
      </c>
      <c r="L28" t="s">
        <v>150</v>
      </c>
    </row>
    <row r="29" spans="2:12">
      <c r="B29" s="2">
        <v>10</v>
      </c>
      <c r="C29" t="s">
        <v>4401</v>
      </c>
      <c r="D29" s="2" t="s">
        <v>150</v>
      </c>
      <c r="E29">
        <v>3.36</v>
      </c>
      <c r="F29">
        <v>3.44</v>
      </c>
      <c r="G29">
        <v>3.36</v>
      </c>
      <c r="H29">
        <v>8</v>
      </c>
      <c r="I29">
        <v>3.36</v>
      </c>
      <c r="J29">
        <v>3.4390000000000001</v>
      </c>
      <c r="K29">
        <v>3.36</v>
      </c>
      <c r="L29">
        <v>8</v>
      </c>
    </row>
    <row r="30" spans="2:12">
      <c r="B30" s="2" t="s">
        <v>150</v>
      </c>
      <c r="C30" t="s">
        <v>150</v>
      </c>
      <c r="D30" s="2">
        <v>9</v>
      </c>
      <c r="E30" t="s">
        <v>150</v>
      </c>
      <c r="F30" t="s">
        <v>150</v>
      </c>
      <c r="G30" t="s">
        <v>150</v>
      </c>
      <c r="H30" t="s">
        <v>150</v>
      </c>
      <c r="I30" t="s">
        <v>150</v>
      </c>
      <c r="J30" t="s">
        <v>150</v>
      </c>
      <c r="K30" t="s">
        <v>150</v>
      </c>
      <c r="L30" t="s">
        <v>150</v>
      </c>
    </row>
    <row r="31" spans="2:12">
      <c r="B31" s="2">
        <v>11</v>
      </c>
      <c r="C31" t="s">
        <v>4402</v>
      </c>
      <c r="D31" s="2" t="s">
        <v>150</v>
      </c>
      <c r="E31">
        <v>3.36</v>
      </c>
      <c r="F31">
        <v>3.44</v>
      </c>
      <c r="G31">
        <v>3.36</v>
      </c>
      <c r="H31">
        <v>8</v>
      </c>
      <c r="I31">
        <v>3.359</v>
      </c>
      <c r="J31">
        <v>3.4369999999999998</v>
      </c>
      <c r="K31">
        <v>3.3540000000000001</v>
      </c>
      <c r="L31">
        <v>8</v>
      </c>
    </row>
    <row r="32" spans="2:12">
      <c r="B32" s="2" t="s">
        <v>150</v>
      </c>
      <c r="C32" t="s">
        <v>150</v>
      </c>
      <c r="D32" s="2">
        <v>10.530000000000001</v>
      </c>
      <c r="E32" t="s">
        <v>150</v>
      </c>
      <c r="F32" t="s">
        <v>150</v>
      </c>
      <c r="G32" t="s">
        <v>150</v>
      </c>
      <c r="H32" t="s">
        <v>150</v>
      </c>
      <c r="I32" t="s">
        <v>150</v>
      </c>
      <c r="J32" t="s">
        <v>150</v>
      </c>
      <c r="K32" t="s">
        <v>150</v>
      </c>
      <c r="L32" t="s">
        <v>150</v>
      </c>
    </row>
    <row r="33" spans="2:12">
      <c r="B33" s="2">
        <v>12</v>
      </c>
      <c r="C33" t="s">
        <v>4403</v>
      </c>
      <c r="D33" s="2" t="s">
        <v>150</v>
      </c>
      <c r="E33">
        <v>3.35</v>
      </c>
      <c r="F33">
        <v>3.43</v>
      </c>
      <c r="G33">
        <v>3.35</v>
      </c>
      <c r="H33">
        <v>8</v>
      </c>
      <c r="I33">
        <v>3.351</v>
      </c>
      <c r="J33">
        <v>3.4279999999999999</v>
      </c>
      <c r="K33">
        <v>3.351</v>
      </c>
      <c r="L33">
        <v>8</v>
      </c>
    </row>
    <row r="34" spans="2:12">
      <c r="B34" s="2" t="s">
        <v>150</v>
      </c>
      <c r="C34" t="s">
        <v>150</v>
      </c>
      <c r="D34" s="2">
        <v>21.97</v>
      </c>
      <c r="E34" t="s">
        <v>150</v>
      </c>
      <c r="F34" t="s">
        <v>150</v>
      </c>
      <c r="G34" t="s">
        <v>150</v>
      </c>
      <c r="H34" t="s">
        <v>150</v>
      </c>
      <c r="I34" t="s">
        <v>150</v>
      </c>
      <c r="J34" t="s">
        <v>150</v>
      </c>
      <c r="K34" t="s">
        <v>150</v>
      </c>
      <c r="L34" t="s">
        <v>150</v>
      </c>
    </row>
    <row r="35" spans="2:12">
      <c r="B35" s="2">
        <v>13</v>
      </c>
      <c r="C35" t="s">
        <v>4404</v>
      </c>
      <c r="D35" s="2" t="s">
        <v>150</v>
      </c>
      <c r="E35">
        <v>3.35</v>
      </c>
      <c r="F35">
        <v>3.43</v>
      </c>
      <c r="G35">
        <v>3.35</v>
      </c>
      <c r="H35">
        <v>8</v>
      </c>
      <c r="I35">
        <v>3.351</v>
      </c>
      <c r="J35">
        <v>3.43</v>
      </c>
      <c r="K35">
        <v>3.3519999999999999</v>
      </c>
      <c r="L35">
        <v>8</v>
      </c>
    </row>
    <row r="36" spans="2:12">
      <c r="B36" s="2" t="s">
        <v>150</v>
      </c>
      <c r="C36" t="s">
        <v>150</v>
      </c>
      <c r="D36" s="2">
        <v>12</v>
      </c>
      <c r="E36" t="s">
        <v>150</v>
      </c>
      <c r="F36" t="s">
        <v>150</v>
      </c>
      <c r="G36" t="s">
        <v>150</v>
      </c>
      <c r="H36" t="s">
        <v>150</v>
      </c>
      <c r="I36" t="s">
        <v>150</v>
      </c>
      <c r="J36" t="s">
        <v>150</v>
      </c>
      <c r="K36" t="s">
        <v>150</v>
      </c>
      <c r="L36" t="s">
        <v>150</v>
      </c>
    </row>
    <row r="37" spans="2:12">
      <c r="B37" s="2">
        <v>14</v>
      </c>
      <c r="C37" t="s">
        <v>4405</v>
      </c>
      <c r="D37" s="2" t="s">
        <v>150</v>
      </c>
      <c r="E37">
        <v>3.35</v>
      </c>
      <c r="F37">
        <v>3.43</v>
      </c>
      <c r="G37">
        <v>3.35</v>
      </c>
      <c r="H37">
        <v>8</v>
      </c>
      <c r="I37">
        <v>3.3490000000000002</v>
      </c>
      <c r="J37">
        <v>3.4319999999999999</v>
      </c>
      <c r="K37">
        <v>3.3460000000000001</v>
      </c>
      <c r="L37">
        <v>8</v>
      </c>
    </row>
    <row r="38" spans="2:12">
      <c r="B38" s="2" t="s">
        <v>150</v>
      </c>
      <c r="C38" t="s">
        <v>150</v>
      </c>
      <c r="D38" s="2">
        <v>12</v>
      </c>
      <c r="E38" t="s">
        <v>150</v>
      </c>
      <c r="F38" t="s">
        <v>150</v>
      </c>
      <c r="G38" t="s">
        <v>150</v>
      </c>
      <c r="H38" t="s">
        <v>150</v>
      </c>
      <c r="I38" t="s">
        <v>150</v>
      </c>
      <c r="J38" t="s">
        <v>150</v>
      </c>
      <c r="K38" t="s">
        <v>150</v>
      </c>
      <c r="L38" t="s">
        <v>150</v>
      </c>
    </row>
    <row r="39" spans="2:12">
      <c r="B39" s="2">
        <v>15</v>
      </c>
      <c r="C39" t="s">
        <v>4406</v>
      </c>
      <c r="D39" s="2" t="s">
        <v>150</v>
      </c>
      <c r="E39">
        <v>3.34</v>
      </c>
      <c r="F39">
        <v>3.42</v>
      </c>
      <c r="G39">
        <v>3.34</v>
      </c>
      <c r="H39">
        <v>8</v>
      </c>
      <c r="I39">
        <v>3.339</v>
      </c>
      <c r="J39">
        <v>3.42</v>
      </c>
      <c r="K39">
        <v>3.34</v>
      </c>
      <c r="L39">
        <v>8</v>
      </c>
    </row>
    <row r="40" spans="2:12">
      <c r="B40" s="2" t="s">
        <v>150</v>
      </c>
      <c r="C40" t="s">
        <v>150</v>
      </c>
      <c r="D40" s="2">
        <v>19.03</v>
      </c>
      <c r="E40" t="s">
        <v>150</v>
      </c>
      <c r="F40" t="s">
        <v>150</v>
      </c>
      <c r="G40" t="s">
        <v>150</v>
      </c>
      <c r="H40" t="s">
        <v>150</v>
      </c>
      <c r="I40" t="s">
        <v>150</v>
      </c>
      <c r="J40" t="s">
        <v>150</v>
      </c>
      <c r="K40" t="s">
        <v>150</v>
      </c>
      <c r="L40" t="s">
        <v>150</v>
      </c>
    </row>
    <row r="41" spans="2:12">
      <c r="B41" s="2">
        <v>16</v>
      </c>
      <c r="C41" t="s">
        <v>4407</v>
      </c>
      <c r="D41" s="2" t="s">
        <v>150</v>
      </c>
      <c r="E41">
        <v>3.34</v>
      </c>
      <c r="F41">
        <v>3.42</v>
      </c>
      <c r="G41">
        <v>3.34</v>
      </c>
      <c r="H41">
        <v>8</v>
      </c>
      <c r="I41">
        <v>3.3370000000000002</v>
      </c>
      <c r="J41">
        <v>3.4169999999999998</v>
      </c>
      <c r="K41">
        <v>3.3439999999999999</v>
      </c>
      <c r="L41">
        <v>8</v>
      </c>
    </row>
    <row r="42" spans="2:12">
      <c r="B42" s="2" t="s">
        <v>150</v>
      </c>
      <c r="C42" t="s">
        <v>150</v>
      </c>
      <c r="D42" s="2">
        <v>13.469999999999999</v>
      </c>
      <c r="E42" t="s">
        <v>150</v>
      </c>
      <c r="F42" t="s">
        <v>150</v>
      </c>
      <c r="G42" t="s">
        <v>150</v>
      </c>
      <c r="H42" t="s">
        <v>150</v>
      </c>
      <c r="I42" t="s">
        <v>150</v>
      </c>
      <c r="J42" t="s">
        <v>150</v>
      </c>
      <c r="K42" t="s">
        <v>150</v>
      </c>
      <c r="L42" t="s">
        <v>150</v>
      </c>
    </row>
    <row r="43" spans="2:12">
      <c r="B43" s="2">
        <v>17</v>
      </c>
      <c r="C43" t="s">
        <v>4408</v>
      </c>
      <c r="D43" s="2" t="s">
        <v>150</v>
      </c>
      <c r="E43">
        <v>3.34</v>
      </c>
      <c r="F43">
        <v>3.42</v>
      </c>
      <c r="G43">
        <v>3.34</v>
      </c>
      <c r="H43">
        <v>8</v>
      </c>
      <c r="I43">
        <v>3.3380000000000001</v>
      </c>
      <c r="J43">
        <v>3.4239999999999999</v>
      </c>
      <c r="K43">
        <v>3.3460000000000001</v>
      </c>
      <c r="L43">
        <v>8</v>
      </c>
    </row>
    <row r="44" spans="2:12">
      <c r="B44" s="2" t="s">
        <v>150</v>
      </c>
      <c r="C44" t="s">
        <v>150</v>
      </c>
      <c r="D44" s="2">
        <v>9</v>
      </c>
      <c r="E44" t="s">
        <v>150</v>
      </c>
      <c r="F44" t="s">
        <v>150</v>
      </c>
      <c r="G44" t="s">
        <v>150</v>
      </c>
      <c r="H44" t="s">
        <v>150</v>
      </c>
      <c r="I44" t="s">
        <v>150</v>
      </c>
      <c r="J44" t="s">
        <v>150</v>
      </c>
      <c r="K44" t="s">
        <v>150</v>
      </c>
      <c r="L44" t="s">
        <v>150</v>
      </c>
    </row>
    <row r="45" spans="2:12">
      <c r="B45" s="2">
        <v>18</v>
      </c>
      <c r="C45" t="s">
        <v>4409</v>
      </c>
      <c r="D45" s="2" t="s">
        <v>150</v>
      </c>
      <c r="E45">
        <v>3.34</v>
      </c>
      <c r="F45">
        <v>3.42</v>
      </c>
      <c r="G45">
        <v>3.34</v>
      </c>
      <c r="H45">
        <v>8</v>
      </c>
      <c r="I45">
        <v>3.3380000000000001</v>
      </c>
      <c r="J45">
        <v>3.4169999999999998</v>
      </c>
      <c r="K45">
        <v>3.3319999999999999</v>
      </c>
      <c r="L45">
        <v>8</v>
      </c>
    </row>
  </sheetData>
  <mergeCells count="15">
    <mergeCell ref="A8:A10"/>
    <mergeCell ref="C5:M5"/>
    <mergeCell ref="A1:M2"/>
    <mergeCell ref="A3:M3"/>
    <mergeCell ref="A4:M4"/>
    <mergeCell ref="B8:B10"/>
    <mergeCell ref="C8:C10"/>
    <mergeCell ref="D8:D10"/>
    <mergeCell ref="E8:H8"/>
    <mergeCell ref="I8:L8"/>
    <mergeCell ref="M8:M10"/>
    <mergeCell ref="E9:G9"/>
    <mergeCell ref="H9:H10"/>
    <mergeCell ref="I9:K9"/>
    <mergeCell ref="L9:L10"/>
  </mergeCells>
  <pageMargins left="0.7" right="0.7" top="0.75" bottom="0.75" header="0.3" footer="0.3"/>
  <drawing r:id="rId1"/>
  <legacyDrawing r:id="rId2"/>
  <controls>
    <mc:AlternateContent xmlns:mc="http://schemas.openxmlformats.org/markup-compatibility/2006">
      <mc:Choice Requires="x14">
        <control shapeId="563201" r:id="rId3" name="CommandButton1">
          <controlPr defaultSize="0" autoLine="0" r:id="rId4">
            <anchor moveWithCells="1">
              <from>
                <xdr:col>0</xdr:col>
                <xdr:colOff>9525</xdr:colOff>
                <xdr:row>4</xdr:row>
                <xdr:rowOff>19050</xdr:rowOff>
              </from>
              <to>
                <xdr:col>1</xdr:col>
                <xdr:colOff>323850</xdr:colOff>
                <xdr:row>4</xdr:row>
                <xdr:rowOff>276225</xdr:rowOff>
              </to>
            </anchor>
          </controlPr>
        </control>
      </mc:Choice>
      <mc:Fallback>
        <control shapeId="563201" r:id="rId3" name="CommandButton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Q146"/>
  <sheetViews>
    <sheetView workbookViewId="0">
      <pane xSplit="8" ySplit="10" topLeftCell="I11" activePane="bottomRight" state="frozen"/>
      <selection pane="topRight" activeCell="K1" sqref="K1"/>
      <selection pane="bottomLeft" activeCell="A8" sqref="A8"/>
      <selection pane="bottomRight" activeCell="F19" sqref="F19"/>
    </sheetView>
  </sheetViews>
  <sheetFormatPr defaultColWidth="0" defaultRowHeight="16.5"/>
  <cols>
    <col min="1" max="1" width="11.44140625" style="2" customWidth="1"/>
    <col min="2" max="2" width="5.6640625" style="2" bestFit="1" customWidth="1"/>
    <col min="3" max="3" width="16.6640625" bestFit="1" customWidth="1"/>
    <col min="4" max="4" width="7.5546875" style="2" customWidth="1"/>
    <col min="5" max="5" width="9.77734375" customWidth="1"/>
    <col min="6" max="6" width="9.44140625" customWidth="1"/>
    <col min="7" max="7" width="9.6640625" customWidth="1"/>
    <col min="8" max="8" width="28.21875" customWidth="1"/>
    <col min="9" max="9" width="1.6640625" bestFit="1" customWidth="1"/>
    <col min="10" max="17" width="0" hidden="1" customWidth="1"/>
    <col min="18" max="16384" width="8.88671875" hidden="1"/>
  </cols>
  <sheetData>
    <row r="1" spans="1:12" s="29" customFormat="1">
      <c r="A1" s="1380" t="s">
        <v>4248</v>
      </c>
      <c r="B1" s="1381"/>
      <c r="C1" s="1381"/>
      <c r="D1" s="1381"/>
      <c r="E1" s="1381"/>
      <c r="F1" s="1381"/>
      <c r="G1" s="1381"/>
      <c r="H1" s="1382"/>
      <c r="I1" s="419" t="s">
        <v>173</v>
      </c>
      <c r="K1"/>
      <c r="L1"/>
    </row>
    <row r="2" spans="1:12" s="29" customFormat="1">
      <c r="A2" s="1383"/>
      <c r="B2" s="1376"/>
      <c r="C2" s="1376"/>
      <c r="D2" s="1376"/>
      <c r="E2" s="1376"/>
      <c r="F2" s="1376"/>
      <c r="G2" s="1376"/>
      <c r="H2" s="1384"/>
      <c r="I2" s="405"/>
      <c r="K2"/>
      <c r="L2"/>
    </row>
    <row r="3" spans="1:12"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77"/>
      <c r="H3" s="1386"/>
      <c r="I3" s="405"/>
      <c r="K3"/>
      <c r="L3"/>
    </row>
    <row r="4" spans="1:12" s="29" customFormat="1" ht="16.5" customHeight="1">
      <c r="A4" s="1387" t="str">
        <f>"Địa điểm XD: "&amp;DDXD</f>
        <v>Địa điểm XD: Huyện Ninh Hải - Tỉnh Ninh Thuận</v>
      </c>
      <c r="B4" s="1388"/>
      <c r="C4" s="1388"/>
      <c r="D4" s="1388"/>
      <c r="E4" s="1388"/>
      <c r="F4" s="1388"/>
      <c r="G4" s="1388"/>
      <c r="H4" s="1389"/>
      <c r="I4" s="405"/>
      <c r="K4"/>
      <c r="L4"/>
    </row>
    <row r="5" spans="1:12" s="29" customFormat="1" ht="23.25" customHeight="1">
      <c r="A5" s="1393"/>
      <c r="B5" s="1394"/>
      <c r="C5" s="1390" t="s">
        <v>6213</v>
      </c>
      <c r="D5" s="1391"/>
      <c r="E5" s="1391"/>
      <c r="F5" s="1391"/>
      <c r="G5" s="1391"/>
      <c r="H5" s="1392"/>
      <c r="I5" s="405"/>
      <c r="K5"/>
      <c r="L5"/>
    </row>
    <row r="6" spans="1:12" s="29" customFormat="1" ht="23.25" hidden="1" customHeight="1">
      <c r="A6" s="392"/>
      <c r="B6" s="392"/>
      <c r="C6" s="395"/>
      <c r="D6" s="395"/>
      <c r="E6" s="395"/>
      <c r="F6" s="395"/>
      <c r="G6" s="395"/>
      <c r="H6" s="395"/>
      <c r="I6" s="405"/>
      <c r="K6"/>
      <c r="L6"/>
    </row>
    <row r="7" spans="1:12" ht="8.25" hidden="1" customHeight="1">
      <c r="A7" s="398"/>
      <c r="B7" s="398"/>
      <c r="C7" s="398"/>
      <c r="D7" s="399"/>
      <c r="E7" s="398"/>
      <c r="F7" s="398"/>
      <c r="G7" s="398"/>
      <c r="H7" s="398"/>
      <c r="I7" s="405"/>
      <c r="J7" s="29"/>
    </row>
    <row r="8" spans="1:12" ht="8.25" hidden="1" customHeight="1">
      <c r="A8" s="398"/>
      <c r="B8" s="398"/>
      <c r="C8" s="398"/>
      <c r="D8" s="399"/>
      <c r="E8" s="398"/>
      <c r="F8" s="398"/>
      <c r="G8" s="398"/>
      <c r="H8" s="398"/>
      <c r="I8" s="405"/>
      <c r="J8" s="29"/>
    </row>
    <row r="9" spans="1:12" ht="8.25" customHeight="1">
      <c r="A9" s="403"/>
      <c r="B9" s="403"/>
      <c r="C9" s="403"/>
      <c r="D9" s="404"/>
      <c r="E9" s="403"/>
      <c r="F9" s="403"/>
      <c r="G9" s="403"/>
      <c r="H9" s="403"/>
      <c r="I9" s="405"/>
      <c r="J9" s="29"/>
    </row>
    <row r="10" spans="1:12" ht="36.75" customHeight="1">
      <c r="A10" s="397" t="s">
        <v>3903</v>
      </c>
      <c r="B10" s="397" t="s">
        <v>64</v>
      </c>
      <c r="C10" s="397" t="s">
        <v>23</v>
      </c>
      <c r="D10" s="397" t="s">
        <v>3932</v>
      </c>
      <c r="E10" s="397" t="s">
        <v>159</v>
      </c>
      <c r="F10" s="397" t="s">
        <v>3906</v>
      </c>
      <c r="G10" s="397" t="s">
        <v>4256</v>
      </c>
      <c r="H10" s="397" t="s">
        <v>20</v>
      </c>
      <c r="I10" s="419"/>
    </row>
    <row r="11" spans="1:12">
      <c r="A11" t="s">
        <v>4271</v>
      </c>
      <c r="B11">
        <v>1</v>
      </c>
      <c r="C11" t="s">
        <v>5733</v>
      </c>
      <c r="E11" s="273"/>
      <c r="F11" s="273"/>
      <c r="G11" s="273"/>
      <c r="H11" t="s">
        <v>5858</v>
      </c>
    </row>
    <row r="12" spans="1:12">
      <c r="A12"/>
      <c r="B12"/>
      <c r="C12" s="645" t="s">
        <v>5734</v>
      </c>
      <c r="D12" s="2" t="s">
        <v>3514</v>
      </c>
      <c r="E12" s="273"/>
      <c r="F12" s="273"/>
      <c r="G12" s="273"/>
    </row>
    <row r="13" spans="1:12">
      <c r="A13"/>
      <c r="B13"/>
      <c r="C13" s="645" t="s">
        <v>5736</v>
      </c>
      <c r="E13" s="273">
        <v>9.370000000000001</v>
      </c>
      <c r="F13" s="273">
        <v>9.3729999999999993</v>
      </c>
      <c r="G13" s="273">
        <v>2.9999999999983373E-3</v>
      </c>
    </row>
    <row r="14" spans="1:12">
      <c r="A14"/>
      <c r="B14"/>
      <c r="C14" t="s">
        <v>5737</v>
      </c>
      <c r="E14" s="273">
        <v>9.370000000000001</v>
      </c>
      <c r="F14" s="273">
        <v>9.3740000000000006</v>
      </c>
      <c r="G14" s="273">
        <v>3.9999999999995595E-3</v>
      </c>
    </row>
    <row r="15" spans="1:12">
      <c r="A15"/>
      <c r="B15"/>
      <c r="C15" s="645" t="s">
        <v>5738</v>
      </c>
      <c r="D15" s="2" t="s">
        <v>3514</v>
      </c>
      <c r="E15" s="273"/>
      <c r="F15" s="273"/>
      <c r="G15" s="273"/>
    </row>
    <row r="16" spans="1:12">
      <c r="A16"/>
      <c r="B16"/>
      <c r="C16" s="645" t="s">
        <v>5739</v>
      </c>
      <c r="E16" s="273">
        <v>0.7</v>
      </c>
      <c r="F16" s="273">
        <v>0.7</v>
      </c>
      <c r="G16" s="273">
        <v>0</v>
      </c>
    </row>
    <row r="17" spans="1:7">
      <c r="A17"/>
      <c r="B17"/>
      <c r="C17" t="s">
        <v>5740</v>
      </c>
      <c r="D17"/>
      <c r="E17" s="273">
        <v>0.12</v>
      </c>
      <c r="F17" s="273">
        <v>0.12</v>
      </c>
      <c r="G17" s="273">
        <v>0</v>
      </c>
    </row>
    <row r="18" spans="1:7">
      <c r="A18"/>
      <c r="B18"/>
      <c r="C18" t="s">
        <v>5741</v>
      </c>
      <c r="D18"/>
      <c r="E18" s="273">
        <v>0.12</v>
      </c>
      <c r="F18" s="273">
        <v>0.12</v>
      </c>
      <c r="G18" s="273">
        <v>0</v>
      </c>
    </row>
    <row r="19" spans="1:7">
      <c r="B19" s="2">
        <f>B11+1</f>
        <v>2</v>
      </c>
      <c r="C19" t="s">
        <v>5742</v>
      </c>
    </row>
    <row r="20" spans="1:7">
      <c r="C20" t="s">
        <v>5734</v>
      </c>
      <c r="D20" s="2" t="s">
        <v>3514</v>
      </c>
    </row>
    <row r="21" spans="1:7">
      <c r="C21" t="s">
        <v>5736</v>
      </c>
      <c r="E21">
        <v>9.3600000000000012</v>
      </c>
      <c r="F21">
        <v>9.3640000000000008</v>
      </c>
      <c r="G21">
        <v>3.9999999999995595E-3</v>
      </c>
    </row>
    <row r="22" spans="1:7">
      <c r="C22" t="s">
        <v>5737</v>
      </c>
      <c r="E22">
        <v>9.3600000000000012</v>
      </c>
      <c r="F22">
        <v>9.3620000000000001</v>
      </c>
      <c r="G22">
        <v>1.9999999999988916E-3</v>
      </c>
    </row>
    <row r="23" spans="1:7">
      <c r="C23" t="s">
        <v>5738</v>
      </c>
      <c r="D23" s="2" t="s">
        <v>3514</v>
      </c>
    </row>
    <row r="24" spans="1:7">
      <c r="C24" t="s">
        <v>5739</v>
      </c>
      <c r="E24">
        <v>0.7</v>
      </c>
      <c r="F24">
        <v>0.7</v>
      </c>
      <c r="G24">
        <v>0</v>
      </c>
    </row>
    <row r="25" spans="1:7">
      <c r="C25" t="s">
        <v>5740</v>
      </c>
      <c r="E25">
        <v>0.12</v>
      </c>
      <c r="F25">
        <v>0.12</v>
      </c>
      <c r="G25">
        <v>0</v>
      </c>
    </row>
    <row r="26" spans="1:7">
      <c r="C26" t="s">
        <v>5741</v>
      </c>
      <c r="E26">
        <v>0.12</v>
      </c>
      <c r="F26">
        <v>0.12</v>
      </c>
      <c r="G26">
        <v>0</v>
      </c>
    </row>
    <row r="27" spans="1:7">
      <c r="B27" s="1076">
        <f t="shared" ref="B27" si="0">B19+1</f>
        <v>3</v>
      </c>
      <c r="C27" t="s">
        <v>5743</v>
      </c>
    </row>
    <row r="28" spans="1:7">
      <c r="B28" s="1076"/>
      <c r="C28" t="s">
        <v>5734</v>
      </c>
      <c r="D28" s="2" t="s">
        <v>3514</v>
      </c>
    </row>
    <row r="29" spans="1:7">
      <c r="B29" s="1076"/>
      <c r="C29" t="s">
        <v>5736</v>
      </c>
      <c r="E29">
        <v>9.3500000000000014</v>
      </c>
      <c r="F29">
        <v>9.35</v>
      </c>
      <c r="G29">
        <v>0</v>
      </c>
    </row>
    <row r="30" spans="1:7">
      <c r="B30" s="1076"/>
      <c r="C30" t="s">
        <v>5737</v>
      </c>
      <c r="E30">
        <v>9.3500000000000014</v>
      </c>
      <c r="F30">
        <v>9.35</v>
      </c>
      <c r="G30">
        <v>0</v>
      </c>
    </row>
    <row r="31" spans="1:7">
      <c r="B31" s="1076"/>
      <c r="C31" t="s">
        <v>5738</v>
      </c>
      <c r="D31" s="2" t="s">
        <v>3514</v>
      </c>
    </row>
    <row r="32" spans="1:7">
      <c r="B32" s="1076"/>
      <c r="C32" t="s">
        <v>5739</v>
      </c>
      <c r="E32">
        <v>0.7</v>
      </c>
      <c r="F32">
        <v>0.7</v>
      </c>
      <c r="G32">
        <v>0</v>
      </c>
    </row>
    <row r="33" spans="2:7">
      <c r="B33" s="1076"/>
      <c r="C33" t="s">
        <v>5740</v>
      </c>
      <c r="E33">
        <v>0.12</v>
      </c>
      <c r="F33">
        <v>0.12</v>
      </c>
      <c r="G33">
        <v>0</v>
      </c>
    </row>
    <row r="34" spans="2:7">
      <c r="B34" s="1076"/>
      <c r="C34" t="s">
        <v>5741</v>
      </c>
      <c r="E34">
        <v>0.12</v>
      </c>
      <c r="F34">
        <v>0.12</v>
      </c>
      <c r="G34">
        <v>0</v>
      </c>
    </row>
    <row r="35" spans="2:7">
      <c r="B35" s="1076">
        <f t="shared" ref="B35" si="1">B27+1</f>
        <v>4</v>
      </c>
      <c r="C35" t="s">
        <v>5744</v>
      </c>
    </row>
    <row r="36" spans="2:7">
      <c r="B36" s="1076"/>
      <c r="C36" t="s">
        <v>5734</v>
      </c>
      <c r="D36" s="2" t="s">
        <v>3514</v>
      </c>
    </row>
    <row r="37" spans="2:7">
      <c r="B37" s="1076"/>
      <c r="C37" t="s">
        <v>5736</v>
      </c>
      <c r="E37">
        <v>9.34</v>
      </c>
      <c r="F37">
        <v>9.3409999999999993</v>
      </c>
      <c r="G37">
        <v>9.9999999999944578E-4</v>
      </c>
    </row>
    <row r="38" spans="2:7">
      <c r="B38" s="1076"/>
      <c r="C38" t="s">
        <v>5737</v>
      </c>
      <c r="E38">
        <v>9.34</v>
      </c>
      <c r="F38">
        <v>9.343</v>
      </c>
      <c r="G38">
        <v>3.0000000000001137E-3</v>
      </c>
    </row>
    <row r="39" spans="2:7">
      <c r="B39" s="1076"/>
      <c r="C39" t="s">
        <v>5738</v>
      </c>
      <c r="D39" s="2" t="s">
        <v>3514</v>
      </c>
    </row>
    <row r="40" spans="2:7">
      <c r="B40" s="1076"/>
      <c r="C40" t="s">
        <v>5739</v>
      </c>
      <c r="E40">
        <v>0.7</v>
      </c>
      <c r="F40">
        <v>0.71</v>
      </c>
      <c r="G40">
        <v>1.0000000000000009E-2</v>
      </c>
    </row>
    <row r="41" spans="2:7">
      <c r="B41" s="1076"/>
      <c r="C41" t="s">
        <v>5740</v>
      </c>
      <c r="E41">
        <v>0.12</v>
      </c>
      <c r="F41">
        <v>0.12</v>
      </c>
      <c r="G41">
        <v>0</v>
      </c>
    </row>
    <row r="42" spans="2:7">
      <c r="B42" s="1076"/>
      <c r="C42" t="s">
        <v>5741</v>
      </c>
      <c r="E42">
        <v>0.12</v>
      </c>
      <c r="F42">
        <v>0.12</v>
      </c>
      <c r="G42">
        <v>0</v>
      </c>
    </row>
    <row r="43" spans="2:7">
      <c r="B43" s="1076">
        <f t="shared" ref="B43" si="2">B35+1</f>
        <v>5</v>
      </c>
      <c r="C43" t="s">
        <v>5745</v>
      </c>
    </row>
    <row r="44" spans="2:7">
      <c r="B44" s="1076"/>
      <c r="C44" t="s">
        <v>5734</v>
      </c>
      <c r="D44" s="2" t="s">
        <v>3514</v>
      </c>
    </row>
    <row r="45" spans="2:7">
      <c r="B45" s="1076"/>
      <c r="C45" t="s">
        <v>5736</v>
      </c>
      <c r="E45">
        <v>9.34</v>
      </c>
      <c r="F45">
        <v>9.343</v>
      </c>
      <c r="G45">
        <v>3.0000000000001137E-3</v>
      </c>
    </row>
    <row r="46" spans="2:7">
      <c r="B46" s="1076"/>
      <c r="C46" t="s">
        <v>5737</v>
      </c>
      <c r="E46">
        <v>9.34</v>
      </c>
      <c r="F46">
        <v>9.343</v>
      </c>
      <c r="G46">
        <v>3.0000000000001137E-3</v>
      </c>
    </row>
    <row r="47" spans="2:7">
      <c r="B47" s="1076"/>
      <c r="C47" t="s">
        <v>5738</v>
      </c>
      <c r="D47" s="2" t="s">
        <v>3514</v>
      </c>
    </row>
    <row r="48" spans="2:7">
      <c r="B48" s="1076"/>
      <c r="C48" t="s">
        <v>5739</v>
      </c>
      <c r="E48">
        <v>0.7</v>
      </c>
      <c r="F48">
        <v>0.71</v>
      </c>
      <c r="G48">
        <v>1.0000000000000009E-2</v>
      </c>
    </row>
    <row r="49" spans="1:8">
      <c r="B49" s="1076"/>
      <c r="C49" t="s">
        <v>5740</v>
      </c>
      <c r="E49">
        <v>0.12</v>
      </c>
      <c r="F49">
        <v>0.12</v>
      </c>
      <c r="G49">
        <v>0</v>
      </c>
    </row>
    <row r="50" spans="1:8">
      <c r="B50" s="1076"/>
      <c r="C50" t="s">
        <v>5741</v>
      </c>
      <c r="E50">
        <v>0.12</v>
      </c>
      <c r="F50">
        <v>0.12</v>
      </c>
      <c r="G50">
        <v>0</v>
      </c>
    </row>
    <row r="51" spans="1:8">
      <c r="B51" s="1076">
        <f t="shared" ref="B51" si="3">B43+1</f>
        <v>6</v>
      </c>
      <c r="C51" t="s">
        <v>5746</v>
      </c>
    </row>
    <row r="52" spans="1:8">
      <c r="B52" s="1076"/>
      <c r="C52" t="s">
        <v>5734</v>
      </c>
      <c r="D52" s="2" t="s">
        <v>3514</v>
      </c>
    </row>
    <row r="53" spans="1:8">
      <c r="B53" s="1076"/>
      <c r="C53" t="s">
        <v>5736</v>
      </c>
      <c r="E53">
        <v>9.33</v>
      </c>
      <c r="F53">
        <v>9.33</v>
      </c>
      <c r="G53">
        <v>0</v>
      </c>
    </row>
    <row r="54" spans="1:8">
      <c r="B54" s="1076"/>
      <c r="C54" t="s">
        <v>5737</v>
      </c>
      <c r="E54">
        <v>9.33</v>
      </c>
      <c r="F54">
        <v>9.33</v>
      </c>
      <c r="G54">
        <v>0</v>
      </c>
    </row>
    <row r="55" spans="1:8">
      <c r="B55" s="1076"/>
      <c r="C55" t="s">
        <v>5738</v>
      </c>
      <c r="D55" s="2" t="s">
        <v>3514</v>
      </c>
    </row>
    <row r="56" spans="1:8">
      <c r="B56" s="1076"/>
      <c r="C56" t="s">
        <v>5739</v>
      </c>
      <c r="E56">
        <v>0.7</v>
      </c>
      <c r="F56">
        <v>0.71</v>
      </c>
      <c r="G56">
        <v>1.0000000000000009E-2</v>
      </c>
    </row>
    <row r="57" spans="1:8">
      <c r="B57" s="1076"/>
      <c r="C57" t="s">
        <v>5740</v>
      </c>
      <c r="E57">
        <v>0.12</v>
      </c>
      <c r="F57">
        <v>0.12</v>
      </c>
      <c r="G57">
        <v>0</v>
      </c>
    </row>
    <row r="58" spans="1:8">
      <c r="B58" s="1076"/>
      <c r="C58" t="s">
        <v>5741</v>
      </c>
      <c r="E58">
        <v>0.12</v>
      </c>
      <c r="F58">
        <v>0.12</v>
      </c>
      <c r="G58">
        <v>0</v>
      </c>
    </row>
    <row r="59" spans="1:8">
      <c r="A59" s="2" t="s">
        <v>5766</v>
      </c>
      <c r="B59" s="2">
        <v>1</v>
      </c>
      <c r="C59" t="s">
        <v>5747</v>
      </c>
      <c r="H59" t="s">
        <v>5859</v>
      </c>
    </row>
    <row r="60" spans="1:8">
      <c r="C60" t="s">
        <v>5734</v>
      </c>
      <c r="D60" s="2" t="s">
        <v>3514</v>
      </c>
    </row>
    <row r="61" spans="1:8">
      <c r="C61" t="s">
        <v>5736</v>
      </c>
      <c r="E61">
        <v>9.32</v>
      </c>
      <c r="F61">
        <v>9.3209999999999997</v>
      </c>
      <c r="G61">
        <v>9.9999999999944578E-4</v>
      </c>
    </row>
    <row r="62" spans="1:8">
      <c r="C62" t="s">
        <v>5737</v>
      </c>
      <c r="E62">
        <v>9.32</v>
      </c>
      <c r="F62">
        <v>9.3230000000000004</v>
      </c>
      <c r="G62">
        <v>3.0000000000001137E-3</v>
      </c>
    </row>
    <row r="63" spans="1:8">
      <c r="C63" t="s">
        <v>5738</v>
      </c>
      <c r="D63" s="2" t="s">
        <v>3514</v>
      </c>
    </row>
    <row r="64" spans="1:8">
      <c r="C64" t="s">
        <v>5739</v>
      </c>
      <c r="E64">
        <v>0.7</v>
      </c>
      <c r="F64">
        <v>0.7</v>
      </c>
      <c r="G64">
        <v>0</v>
      </c>
    </row>
    <row r="65" spans="2:7">
      <c r="C65" t="s">
        <v>5740</v>
      </c>
      <c r="E65">
        <v>0.12</v>
      </c>
      <c r="F65">
        <v>0.12</v>
      </c>
      <c r="G65">
        <v>0</v>
      </c>
    </row>
    <row r="66" spans="2:7">
      <c r="C66" t="s">
        <v>5741</v>
      </c>
      <c r="E66">
        <v>0.12</v>
      </c>
      <c r="F66">
        <v>0.12</v>
      </c>
      <c r="G66">
        <v>0</v>
      </c>
    </row>
    <row r="67" spans="2:7">
      <c r="B67" s="2">
        <f>B59+1</f>
        <v>2</v>
      </c>
      <c r="C67" t="s">
        <v>5748</v>
      </c>
    </row>
    <row r="68" spans="2:7">
      <c r="C68" t="s">
        <v>5734</v>
      </c>
      <c r="D68" s="2" t="s">
        <v>3514</v>
      </c>
    </row>
    <row r="69" spans="2:7">
      <c r="C69" t="s">
        <v>5736</v>
      </c>
      <c r="E69">
        <v>9.31</v>
      </c>
      <c r="F69">
        <v>9.3140000000000001</v>
      </c>
      <c r="G69">
        <v>3.9999999999995595E-3</v>
      </c>
    </row>
    <row r="70" spans="2:7">
      <c r="C70" t="s">
        <v>5737</v>
      </c>
      <c r="E70">
        <v>9.31</v>
      </c>
      <c r="F70">
        <v>9.3130000000000006</v>
      </c>
      <c r="G70">
        <v>3.0000000000001137E-3</v>
      </c>
    </row>
    <row r="71" spans="2:7">
      <c r="C71" t="s">
        <v>5738</v>
      </c>
      <c r="D71" s="2" t="s">
        <v>3514</v>
      </c>
    </row>
    <row r="72" spans="2:7">
      <c r="C72" t="s">
        <v>5739</v>
      </c>
      <c r="E72">
        <v>0.7</v>
      </c>
      <c r="F72">
        <v>0.7</v>
      </c>
      <c r="G72">
        <v>0</v>
      </c>
    </row>
    <row r="73" spans="2:7">
      <c r="C73" t="s">
        <v>5740</v>
      </c>
      <c r="E73">
        <v>0.12</v>
      </c>
      <c r="F73">
        <v>0.12</v>
      </c>
      <c r="G73">
        <v>0</v>
      </c>
    </row>
    <row r="74" spans="2:7">
      <c r="C74" t="s">
        <v>5741</v>
      </c>
      <c r="E74">
        <v>0.12</v>
      </c>
      <c r="F74">
        <v>0.12</v>
      </c>
      <c r="G74">
        <v>0</v>
      </c>
    </row>
    <row r="75" spans="2:7">
      <c r="B75" s="1076">
        <f t="shared" ref="B75" si="4">B67+1</f>
        <v>3</v>
      </c>
      <c r="C75" t="s">
        <v>5749</v>
      </c>
    </row>
    <row r="76" spans="2:7">
      <c r="B76" s="1076"/>
      <c r="C76" t="s">
        <v>5734</v>
      </c>
      <c r="D76" s="2" t="s">
        <v>3514</v>
      </c>
    </row>
    <row r="77" spans="2:7">
      <c r="B77" s="1076"/>
      <c r="C77" t="s">
        <v>5736</v>
      </c>
      <c r="E77">
        <v>8.8600000000000012</v>
      </c>
      <c r="F77">
        <v>8.8610000000000007</v>
      </c>
      <c r="G77">
        <v>9.9999999999944578E-4</v>
      </c>
    </row>
    <row r="78" spans="2:7">
      <c r="B78" s="1076"/>
      <c r="C78" t="s">
        <v>5737</v>
      </c>
      <c r="E78">
        <v>8.8600000000000012</v>
      </c>
      <c r="F78">
        <v>8.8620000000000001</v>
      </c>
      <c r="G78">
        <v>1.9999999999988916E-3</v>
      </c>
    </row>
    <row r="79" spans="2:7">
      <c r="B79" s="1076"/>
      <c r="C79" t="s">
        <v>5738</v>
      </c>
      <c r="D79" s="2" t="s">
        <v>3514</v>
      </c>
    </row>
    <row r="80" spans="2:7">
      <c r="B80" s="1076"/>
      <c r="C80" t="s">
        <v>5739</v>
      </c>
      <c r="E80">
        <v>0.7</v>
      </c>
      <c r="F80">
        <v>0.7</v>
      </c>
      <c r="G80">
        <v>0</v>
      </c>
    </row>
    <row r="81" spans="2:7">
      <c r="B81" s="1076"/>
      <c r="C81" t="s">
        <v>5740</v>
      </c>
      <c r="E81">
        <v>0.12</v>
      </c>
      <c r="F81">
        <v>0.12</v>
      </c>
      <c r="G81">
        <v>0</v>
      </c>
    </row>
    <row r="82" spans="2:7">
      <c r="B82" s="1076"/>
      <c r="C82" t="s">
        <v>5741</v>
      </c>
      <c r="E82">
        <v>0.12</v>
      </c>
      <c r="F82">
        <v>0.12</v>
      </c>
      <c r="G82">
        <v>0</v>
      </c>
    </row>
    <row r="83" spans="2:7">
      <c r="B83" s="1076">
        <f t="shared" ref="B83" si="5">B75+1</f>
        <v>4</v>
      </c>
      <c r="C83" t="s">
        <v>5750</v>
      </c>
    </row>
    <row r="84" spans="2:7">
      <c r="B84" s="1076"/>
      <c r="C84" t="s">
        <v>5734</v>
      </c>
      <c r="D84" s="2" t="s">
        <v>3514</v>
      </c>
    </row>
    <row r="85" spans="2:7">
      <c r="B85" s="1076"/>
      <c r="C85" t="s">
        <v>5736</v>
      </c>
      <c r="E85">
        <v>8.8500000000000014</v>
      </c>
      <c r="F85">
        <v>8.8510000000000009</v>
      </c>
      <c r="G85">
        <v>9.9999999999944578E-4</v>
      </c>
    </row>
    <row r="86" spans="2:7">
      <c r="B86" s="1076"/>
      <c r="C86" t="s">
        <v>5737</v>
      </c>
      <c r="E86">
        <v>8.8500000000000014</v>
      </c>
      <c r="F86">
        <v>8.8510000000000009</v>
      </c>
      <c r="G86">
        <v>9.9999999999944578E-4</v>
      </c>
    </row>
    <row r="87" spans="2:7">
      <c r="B87" s="1076"/>
      <c r="C87" t="s">
        <v>5738</v>
      </c>
      <c r="D87" s="2" t="s">
        <v>3514</v>
      </c>
    </row>
    <row r="88" spans="2:7">
      <c r="B88" s="1076"/>
      <c r="C88" t="s">
        <v>5739</v>
      </c>
      <c r="E88">
        <v>0.7</v>
      </c>
      <c r="F88">
        <v>0.7</v>
      </c>
      <c r="G88">
        <v>0</v>
      </c>
    </row>
    <row r="89" spans="2:7">
      <c r="B89" s="1076"/>
      <c r="C89" t="s">
        <v>5740</v>
      </c>
      <c r="E89">
        <v>0.12</v>
      </c>
      <c r="F89">
        <v>0.12</v>
      </c>
      <c r="G89">
        <v>0</v>
      </c>
    </row>
    <row r="90" spans="2:7">
      <c r="B90" s="1076"/>
      <c r="C90" t="s">
        <v>5741</v>
      </c>
      <c r="E90">
        <v>0.12</v>
      </c>
      <c r="F90">
        <v>0.12</v>
      </c>
      <c r="G90">
        <v>0</v>
      </c>
    </row>
    <row r="91" spans="2:7">
      <c r="B91" s="1076">
        <f t="shared" ref="B91" si="6">B83+1</f>
        <v>5</v>
      </c>
      <c r="C91" t="s">
        <v>5751</v>
      </c>
    </row>
    <row r="92" spans="2:7">
      <c r="B92" s="1076"/>
      <c r="C92" t="s">
        <v>5734</v>
      </c>
      <c r="D92" s="2" t="s">
        <v>3514</v>
      </c>
    </row>
    <row r="93" spans="2:7">
      <c r="B93" s="1076"/>
      <c r="C93" t="s">
        <v>5736</v>
      </c>
      <c r="E93">
        <v>8.84</v>
      </c>
      <c r="F93">
        <v>8.8409999999999993</v>
      </c>
      <c r="G93">
        <v>9.9999999999944578E-4</v>
      </c>
    </row>
    <row r="94" spans="2:7">
      <c r="B94" s="1076"/>
      <c r="C94" t="s">
        <v>5737</v>
      </c>
      <c r="E94">
        <v>8.84</v>
      </c>
      <c r="F94">
        <v>8.843</v>
      </c>
      <c r="G94">
        <v>3.0000000000001137E-3</v>
      </c>
    </row>
    <row r="95" spans="2:7">
      <c r="B95" s="1076"/>
      <c r="C95" t="s">
        <v>5738</v>
      </c>
      <c r="D95" s="2" t="s">
        <v>3514</v>
      </c>
    </row>
    <row r="96" spans="2:7">
      <c r="B96" s="1076"/>
      <c r="C96" t="s">
        <v>5739</v>
      </c>
      <c r="E96">
        <v>0.7</v>
      </c>
      <c r="F96">
        <v>0.7</v>
      </c>
      <c r="G96">
        <v>0</v>
      </c>
    </row>
    <row r="97" spans="1:8">
      <c r="B97" s="1076"/>
      <c r="C97" t="s">
        <v>5740</v>
      </c>
      <c r="E97">
        <v>0.12</v>
      </c>
      <c r="F97">
        <v>0.12</v>
      </c>
      <c r="G97">
        <v>0</v>
      </c>
    </row>
    <row r="98" spans="1:8">
      <c r="B98" s="1076"/>
      <c r="C98" t="s">
        <v>5741</v>
      </c>
      <c r="E98">
        <v>0.12</v>
      </c>
      <c r="F98">
        <v>0.12</v>
      </c>
      <c r="G98">
        <v>0</v>
      </c>
    </row>
    <row r="99" spans="1:8">
      <c r="A99" s="2" t="s">
        <v>5767</v>
      </c>
      <c r="B99" s="2">
        <v>1</v>
      </c>
      <c r="C99" t="s">
        <v>5752</v>
      </c>
      <c r="H99" t="s">
        <v>5860</v>
      </c>
    </row>
    <row r="100" spans="1:8">
      <c r="C100" t="s">
        <v>5734</v>
      </c>
      <c r="D100" s="2" t="s">
        <v>3514</v>
      </c>
    </row>
    <row r="101" spans="1:8">
      <c r="C101" t="s">
        <v>5736</v>
      </c>
      <c r="E101">
        <v>8.83</v>
      </c>
      <c r="F101">
        <v>8.8309999999999995</v>
      </c>
      <c r="G101">
        <v>9.9999999999944578E-4</v>
      </c>
    </row>
    <row r="102" spans="1:8">
      <c r="C102" t="s">
        <v>5737</v>
      </c>
      <c r="E102">
        <v>8.83</v>
      </c>
      <c r="F102">
        <v>8.8309999999999995</v>
      </c>
      <c r="G102">
        <v>9.9999999999944578E-4</v>
      </c>
    </row>
    <row r="103" spans="1:8">
      <c r="C103" t="s">
        <v>5738</v>
      </c>
      <c r="D103" s="2" t="s">
        <v>3514</v>
      </c>
    </row>
    <row r="104" spans="1:8">
      <c r="C104" t="s">
        <v>5739</v>
      </c>
      <c r="E104">
        <v>0.7</v>
      </c>
      <c r="F104">
        <v>0.71</v>
      </c>
      <c r="G104">
        <v>1.0000000000000009E-2</v>
      </c>
    </row>
    <row r="105" spans="1:8">
      <c r="C105" t="s">
        <v>5740</v>
      </c>
      <c r="E105">
        <v>0.12</v>
      </c>
      <c r="F105">
        <v>0.12</v>
      </c>
      <c r="G105">
        <v>0</v>
      </c>
    </row>
    <row r="106" spans="1:8">
      <c r="C106" t="s">
        <v>5741</v>
      </c>
      <c r="E106">
        <v>0.12</v>
      </c>
      <c r="F106">
        <v>0.12</v>
      </c>
      <c r="G106">
        <v>0</v>
      </c>
    </row>
    <row r="107" spans="1:8">
      <c r="B107" s="2">
        <f>B99+1</f>
        <v>2</v>
      </c>
      <c r="C107" t="s">
        <v>5753</v>
      </c>
    </row>
    <row r="108" spans="1:8">
      <c r="C108" t="s">
        <v>5734</v>
      </c>
      <c r="D108" s="2" t="s">
        <v>3514</v>
      </c>
    </row>
    <row r="109" spans="1:8">
      <c r="C109" t="s">
        <v>5736</v>
      </c>
      <c r="E109">
        <v>8.82</v>
      </c>
      <c r="F109">
        <v>8.8249999999999993</v>
      </c>
      <c r="G109">
        <v>4.9999999999990052E-3</v>
      </c>
    </row>
    <row r="110" spans="1:8">
      <c r="C110" t="s">
        <v>5737</v>
      </c>
      <c r="E110">
        <v>8.82</v>
      </c>
      <c r="F110">
        <v>8.8249999999999993</v>
      </c>
      <c r="G110">
        <v>4.9999999999990052E-3</v>
      </c>
    </row>
    <row r="111" spans="1:8">
      <c r="C111" t="s">
        <v>5738</v>
      </c>
      <c r="D111" s="2" t="s">
        <v>3514</v>
      </c>
    </row>
    <row r="112" spans="1:8">
      <c r="C112" t="s">
        <v>5739</v>
      </c>
      <c r="E112">
        <v>0.7</v>
      </c>
      <c r="F112">
        <v>0.71</v>
      </c>
      <c r="G112">
        <v>1.0000000000000009E-2</v>
      </c>
    </row>
    <row r="113" spans="2:7">
      <c r="C113" t="s">
        <v>5740</v>
      </c>
      <c r="E113">
        <v>0.12</v>
      </c>
      <c r="F113">
        <v>0.12</v>
      </c>
      <c r="G113">
        <v>0</v>
      </c>
    </row>
    <row r="114" spans="2:7">
      <c r="C114" t="s">
        <v>5741</v>
      </c>
      <c r="E114">
        <v>0.12</v>
      </c>
      <c r="F114">
        <v>0.12</v>
      </c>
      <c r="G114">
        <v>0</v>
      </c>
    </row>
    <row r="115" spans="2:7">
      <c r="B115" s="1076">
        <f t="shared" ref="B115" si="7">B107+1</f>
        <v>3</v>
      </c>
      <c r="C115" t="s">
        <v>5754</v>
      </c>
    </row>
    <row r="116" spans="2:7">
      <c r="B116" s="1076"/>
      <c r="C116" t="s">
        <v>5734</v>
      </c>
      <c r="D116" s="2" t="s">
        <v>3514</v>
      </c>
    </row>
    <row r="117" spans="2:7">
      <c r="B117" s="1076"/>
      <c r="C117" t="s">
        <v>5736</v>
      </c>
      <c r="E117">
        <v>8.8000000000000007</v>
      </c>
      <c r="F117">
        <v>8.8040000000000003</v>
      </c>
      <c r="G117">
        <v>3.9999999999995595E-3</v>
      </c>
    </row>
    <row r="118" spans="2:7">
      <c r="B118" s="1076"/>
      <c r="C118" t="s">
        <v>5737</v>
      </c>
      <c r="E118">
        <v>8.8000000000000007</v>
      </c>
      <c r="F118">
        <v>8.8049999999999997</v>
      </c>
      <c r="G118">
        <v>4.9999999999990052E-3</v>
      </c>
    </row>
    <row r="119" spans="2:7">
      <c r="B119" s="1076"/>
      <c r="C119" t="s">
        <v>5738</v>
      </c>
      <c r="D119" s="2" t="s">
        <v>3514</v>
      </c>
    </row>
    <row r="120" spans="2:7">
      <c r="B120" s="1076"/>
      <c r="C120" t="s">
        <v>5739</v>
      </c>
      <c r="E120">
        <v>0.7</v>
      </c>
      <c r="F120">
        <v>0.7</v>
      </c>
      <c r="G120">
        <v>0</v>
      </c>
    </row>
    <row r="121" spans="2:7">
      <c r="B121" s="1076"/>
      <c r="C121" t="s">
        <v>5740</v>
      </c>
      <c r="E121">
        <v>0.12</v>
      </c>
      <c r="F121">
        <v>0.12</v>
      </c>
      <c r="G121">
        <v>0</v>
      </c>
    </row>
    <row r="122" spans="2:7">
      <c r="B122" s="1076"/>
      <c r="C122" t="s">
        <v>5741</v>
      </c>
      <c r="E122">
        <v>0.12</v>
      </c>
      <c r="F122">
        <v>0.12</v>
      </c>
      <c r="G122">
        <v>0</v>
      </c>
    </row>
    <row r="123" spans="2:7">
      <c r="B123" s="1076">
        <f t="shared" ref="B123" si="8">B115+1</f>
        <v>4</v>
      </c>
      <c r="C123" t="s">
        <v>5755</v>
      </c>
    </row>
    <row r="124" spans="2:7">
      <c r="B124" s="1076"/>
      <c r="C124" t="s">
        <v>5734</v>
      </c>
      <c r="D124" s="2" t="s">
        <v>3514</v>
      </c>
    </row>
    <row r="125" spans="2:7">
      <c r="B125" s="1076"/>
      <c r="C125" t="s">
        <v>5736</v>
      </c>
      <c r="E125">
        <v>8.7900000000000009</v>
      </c>
      <c r="F125">
        <v>8.7919999999999998</v>
      </c>
      <c r="G125">
        <v>1.9999999999988916E-3</v>
      </c>
    </row>
    <row r="126" spans="2:7">
      <c r="B126" s="1076"/>
      <c r="C126" t="s">
        <v>5737</v>
      </c>
      <c r="E126">
        <v>8.7900000000000009</v>
      </c>
      <c r="F126">
        <v>8.7940000000000005</v>
      </c>
      <c r="G126">
        <v>3.9999999999995595E-3</v>
      </c>
    </row>
    <row r="127" spans="2:7">
      <c r="B127" s="1076"/>
      <c r="C127" t="s">
        <v>5738</v>
      </c>
      <c r="D127" s="2" t="s">
        <v>3514</v>
      </c>
    </row>
    <row r="128" spans="2:7">
      <c r="B128" s="1076"/>
      <c r="C128" t="s">
        <v>5739</v>
      </c>
      <c r="E128">
        <v>0.7</v>
      </c>
      <c r="F128">
        <v>0.7</v>
      </c>
      <c r="G128">
        <v>0</v>
      </c>
    </row>
    <row r="129" spans="2:7">
      <c r="B129" s="1076"/>
      <c r="C129" t="s">
        <v>5740</v>
      </c>
      <c r="E129">
        <v>0.12</v>
      </c>
      <c r="F129">
        <v>0.12</v>
      </c>
      <c r="G129">
        <v>0</v>
      </c>
    </row>
    <row r="130" spans="2:7">
      <c r="B130" s="1076"/>
      <c r="C130" t="s">
        <v>5741</v>
      </c>
      <c r="E130">
        <v>0.12</v>
      </c>
      <c r="F130">
        <v>0.12</v>
      </c>
      <c r="G130">
        <v>0</v>
      </c>
    </row>
    <row r="131" spans="2:7">
      <c r="B131" s="1076">
        <f t="shared" ref="B131" si="9">B123+1</f>
        <v>5</v>
      </c>
      <c r="C131" t="s">
        <v>5756</v>
      </c>
    </row>
    <row r="132" spans="2:7">
      <c r="B132" s="1076"/>
      <c r="C132" t="s">
        <v>5734</v>
      </c>
      <c r="D132" s="2" t="s">
        <v>3514</v>
      </c>
    </row>
    <row r="133" spans="2:7">
      <c r="B133" s="1076"/>
      <c r="C133" t="s">
        <v>5736</v>
      </c>
      <c r="E133">
        <v>8.7900000000000009</v>
      </c>
      <c r="F133">
        <v>8.7940000000000005</v>
      </c>
      <c r="G133">
        <v>3.9999999999995595E-3</v>
      </c>
    </row>
    <row r="134" spans="2:7">
      <c r="B134" s="1076"/>
      <c r="C134" t="s">
        <v>5737</v>
      </c>
      <c r="E134">
        <v>8.7900000000000009</v>
      </c>
      <c r="F134">
        <v>8.7940000000000005</v>
      </c>
      <c r="G134">
        <v>3.9999999999995595E-3</v>
      </c>
    </row>
    <row r="135" spans="2:7">
      <c r="B135" s="1076"/>
      <c r="C135" t="s">
        <v>5738</v>
      </c>
      <c r="D135" s="2" t="s">
        <v>3514</v>
      </c>
    </row>
    <row r="136" spans="2:7">
      <c r="B136" s="1076"/>
      <c r="C136" t="s">
        <v>5739</v>
      </c>
      <c r="E136">
        <v>0.7</v>
      </c>
      <c r="F136">
        <v>0.7</v>
      </c>
      <c r="G136">
        <v>0</v>
      </c>
    </row>
    <row r="137" spans="2:7">
      <c r="B137" s="1076"/>
      <c r="C137" t="s">
        <v>5740</v>
      </c>
      <c r="E137">
        <v>0.12</v>
      </c>
      <c r="F137">
        <v>0.12</v>
      </c>
      <c r="G137">
        <v>0</v>
      </c>
    </row>
    <row r="138" spans="2:7">
      <c r="B138" s="1076"/>
      <c r="C138" t="s">
        <v>5741</v>
      </c>
      <c r="E138">
        <v>0.12</v>
      </c>
      <c r="F138">
        <v>0.12</v>
      </c>
      <c r="G138">
        <v>0</v>
      </c>
    </row>
    <row r="139" spans="2:7">
      <c r="B139" s="1076">
        <f t="shared" ref="B139" si="10">B131+1</f>
        <v>6</v>
      </c>
      <c r="C139" t="s">
        <v>5757</v>
      </c>
    </row>
    <row r="140" spans="2:7">
      <c r="B140" s="1076"/>
      <c r="C140" t="s">
        <v>5734</v>
      </c>
      <c r="D140" s="2" t="s">
        <v>3514</v>
      </c>
    </row>
    <row r="141" spans="2:7">
      <c r="B141" s="1076"/>
      <c r="C141" t="s">
        <v>5736</v>
      </c>
      <c r="E141">
        <v>8.7800000000000011</v>
      </c>
      <c r="F141">
        <v>8.7840000000000007</v>
      </c>
      <c r="G141">
        <v>3.9999999999995595E-3</v>
      </c>
    </row>
    <row r="142" spans="2:7">
      <c r="B142" s="1076"/>
      <c r="C142" t="s">
        <v>5737</v>
      </c>
      <c r="E142">
        <v>8.7800000000000011</v>
      </c>
      <c r="F142">
        <v>8.7840000000000007</v>
      </c>
      <c r="G142">
        <v>3.9999999999995595E-3</v>
      </c>
    </row>
    <row r="143" spans="2:7">
      <c r="B143" s="1076"/>
      <c r="C143" t="s">
        <v>5738</v>
      </c>
      <c r="D143" s="2" t="s">
        <v>3514</v>
      </c>
    </row>
    <row r="144" spans="2:7">
      <c r="B144" s="1076"/>
      <c r="C144" t="s">
        <v>5739</v>
      </c>
      <c r="E144">
        <v>0.7</v>
      </c>
      <c r="F144">
        <v>0.7</v>
      </c>
      <c r="G144">
        <v>0</v>
      </c>
    </row>
    <row r="145" spans="2:7">
      <c r="B145" s="1076"/>
      <c r="C145" t="s">
        <v>5740</v>
      </c>
      <c r="E145">
        <v>0.12</v>
      </c>
      <c r="F145">
        <v>0.12</v>
      </c>
      <c r="G145">
        <v>0</v>
      </c>
    </row>
    <row r="146" spans="2:7">
      <c r="B146" s="1076"/>
      <c r="C146" t="s">
        <v>5741</v>
      </c>
      <c r="E146">
        <v>0.12</v>
      </c>
      <c r="F146">
        <v>0.13</v>
      </c>
      <c r="G146">
        <v>1.0000000000000009E-2</v>
      </c>
    </row>
  </sheetData>
  <mergeCells count="5">
    <mergeCell ref="C5:H5"/>
    <mergeCell ref="A5:B5"/>
    <mergeCell ref="A1:H2"/>
    <mergeCell ref="A3:H3"/>
    <mergeCell ref="A4:H4"/>
  </mergeCells>
  <pageMargins left="0.7" right="0.7" top="0.75" bottom="0.75" header="0.3" footer="0.3"/>
  <drawing r:id="rId1"/>
  <legacyDrawing r:id="rId2"/>
  <controls>
    <mc:AlternateContent xmlns:mc="http://schemas.openxmlformats.org/markup-compatibility/2006">
      <mc:Choice Requires="x14">
        <control shapeId="564225" r:id="rId3" name="CommandButton1">
          <controlPr defaultSize="0" autoLine="0" r:id="rId4">
            <anchor moveWithCells="1">
              <from>
                <xdr:col>0</xdr:col>
                <xdr:colOff>47625</xdr:colOff>
                <xdr:row>4</xdr:row>
                <xdr:rowOff>19050</xdr:rowOff>
              </from>
              <to>
                <xdr:col>1</xdr:col>
                <xdr:colOff>466725</xdr:colOff>
                <xdr:row>4</xdr:row>
                <xdr:rowOff>276225</xdr:rowOff>
              </to>
            </anchor>
          </controlPr>
        </control>
      </mc:Choice>
      <mc:Fallback>
        <control shapeId="564225" r:id="rId3" name="CommandButton1"/>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17"/>
  <sheetViews>
    <sheetView workbookViewId="0">
      <pane xSplit="15" ySplit="10" topLeftCell="P11" activePane="bottomRight" state="frozen"/>
      <selection pane="topRight" activeCell="O1" sqref="O1"/>
      <selection pane="bottomLeft" activeCell="A11" sqref="A11"/>
      <selection pane="bottomRight" activeCell="N11" sqref="N11"/>
    </sheetView>
  </sheetViews>
  <sheetFormatPr defaultColWidth="0" defaultRowHeight="16.5"/>
  <cols>
    <col min="1" max="1" width="15" style="2" bestFit="1" customWidth="1"/>
    <col min="2" max="2" width="5.21875" style="2" bestFit="1" customWidth="1"/>
    <col min="3" max="3" width="6.109375" customWidth="1"/>
    <col min="4" max="4" width="7.5546875" style="2" customWidth="1"/>
    <col min="5" max="5" width="7" bestFit="1" customWidth="1"/>
    <col min="6" max="6" width="7.109375" bestFit="1" customWidth="1"/>
    <col min="7" max="7" width="6.77734375" customWidth="1"/>
    <col min="8" max="8" width="6.21875" customWidth="1"/>
    <col min="9" max="9" width="7.21875" customWidth="1"/>
    <col min="10" max="13" width="8.88671875" customWidth="1"/>
    <col min="14" max="14" width="22.21875" customWidth="1"/>
    <col min="15" max="15" width="3" bestFit="1" customWidth="1"/>
    <col min="16" max="16384" width="8.88671875" hidden="1"/>
  </cols>
  <sheetData>
    <row r="1" spans="1:17" s="29" customFormat="1" ht="16.5" customHeight="1">
      <c r="A1" s="1380" t="s">
        <v>4249</v>
      </c>
      <c r="B1" s="1381"/>
      <c r="C1" s="1381"/>
      <c r="D1" s="1381"/>
      <c r="E1" s="1381"/>
      <c r="F1" s="1381"/>
      <c r="G1" s="1381"/>
      <c r="H1" s="1381"/>
      <c r="I1" s="1381"/>
      <c r="J1" s="1381"/>
      <c r="K1" s="1381"/>
      <c r="L1" s="1381"/>
      <c r="M1" s="1381"/>
      <c r="N1" s="1382"/>
      <c r="O1" s="419" t="s">
        <v>173</v>
      </c>
      <c r="P1"/>
      <c r="Q1"/>
    </row>
    <row r="2" spans="1:17" s="29" customFormat="1" ht="16.5" customHeight="1">
      <c r="A2" s="1383"/>
      <c r="B2" s="1376"/>
      <c r="C2" s="1376"/>
      <c r="D2" s="1376"/>
      <c r="E2" s="1376"/>
      <c r="F2" s="1376"/>
      <c r="G2" s="1376"/>
      <c r="H2" s="1376"/>
      <c r="I2" s="1376"/>
      <c r="J2" s="1376"/>
      <c r="K2" s="1376"/>
      <c r="L2" s="1376"/>
      <c r="M2" s="1376"/>
      <c r="N2" s="1384"/>
      <c r="O2" s="405"/>
      <c r="P2"/>
      <c r="Q2"/>
    </row>
    <row r="3" spans="1:17"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77"/>
      <c r="H3" s="1377"/>
      <c r="I3" s="1377"/>
      <c r="J3" s="1377"/>
      <c r="K3" s="1377"/>
      <c r="L3" s="1377"/>
      <c r="M3" s="1377"/>
      <c r="N3" s="1386"/>
      <c r="O3" s="405"/>
      <c r="P3"/>
      <c r="Q3"/>
    </row>
    <row r="4" spans="1:17" s="29" customFormat="1" ht="16.5" customHeight="1">
      <c r="A4" s="1385" t="str">
        <f>"Địa điểm XD: "&amp;DDXD</f>
        <v>Địa điểm XD: Huyện Ninh Hải - Tỉnh Ninh Thuận</v>
      </c>
      <c r="B4" s="1377"/>
      <c r="C4" s="1377"/>
      <c r="D4" s="1377"/>
      <c r="E4" s="1377"/>
      <c r="F4" s="1377"/>
      <c r="G4" s="1377"/>
      <c r="H4" s="1377"/>
      <c r="I4" s="1377"/>
      <c r="J4" s="1377"/>
      <c r="K4" s="1377"/>
      <c r="L4" s="1377"/>
      <c r="M4" s="1377"/>
      <c r="N4" s="1386"/>
      <c r="O4" s="405"/>
      <c r="P4"/>
      <c r="Q4"/>
    </row>
    <row r="5" spans="1:17" s="29" customFormat="1" ht="7.5" customHeight="1">
      <c r="A5" s="1410"/>
      <c r="B5" s="1411"/>
      <c r="C5" s="1411"/>
      <c r="D5" s="1411"/>
      <c r="E5" s="1411"/>
      <c r="F5" s="1411"/>
      <c r="G5" s="1411"/>
      <c r="H5" s="1411"/>
      <c r="I5" s="1411"/>
      <c r="J5" s="1411"/>
      <c r="K5" s="1411"/>
      <c r="L5" s="1411"/>
      <c r="M5" s="1411"/>
      <c r="N5" s="1412"/>
      <c r="O5" s="405"/>
      <c r="P5"/>
      <c r="Q5"/>
    </row>
    <row r="6" spans="1:17" ht="16.5" customHeight="1">
      <c r="A6" s="403"/>
      <c r="B6" s="403"/>
      <c r="C6" s="403"/>
      <c r="D6" s="404"/>
      <c r="E6" s="403"/>
      <c r="F6" s="403"/>
      <c r="G6" s="403"/>
      <c r="H6" s="403"/>
      <c r="I6" s="403"/>
      <c r="J6" s="403"/>
      <c r="K6" s="403"/>
      <c r="L6" s="403"/>
      <c r="M6" s="403"/>
      <c r="N6" s="405"/>
      <c r="O6" s="405"/>
    </row>
    <row r="7" spans="1:17">
      <c r="A7" s="1416" t="s">
        <v>3903</v>
      </c>
      <c r="B7" s="1413" t="s">
        <v>64</v>
      </c>
      <c r="C7" s="1416" t="s">
        <v>3905</v>
      </c>
      <c r="D7" s="1418" t="s">
        <v>4257</v>
      </c>
      <c r="E7" s="1419" t="s">
        <v>3963</v>
      </c>
      <c r="F7" s="1419"/>
      <c r="G7" s="1419" t="s">
        <v>3907</v>
      </c>
      <c r="H7" s="1419" t="s">
        <v>3908</v>
      </c>
      <c r="I7" s="1419"/>
      <c r="J7" s="1419" t="s">
        <v>4258</v>
      </c>
      <c r="K7" s="1419"/>
      <c r="L7" s="1419" t="s">
        <v>3964</v>
      </c>
      <c r="M7" s="1419"/>
      <c r="N7" s="1419" t="s">
        <v>4270</v>
      </c>
      <c r="O7" s="403"/>
    </row>
    <row r="8" spans="1:17">
      <c r="A8" s="1417"/>
      <c r="B8" s="1414"/>
      <c r="C8" s="1417"/>
      <c r="D8" s="1414"/>
      <c r="E8" s="1417" t="s">
        <v>159</v>
      </c>
      <c r="F8" s="1417" t="s">
        <v>3906</v>
      </c>
      <c r="G8" s="1419"/>
      <c r="H8" s="1417" t="s">
        <v>159</v>
      </c>
      <c r="I8" s="1417" t="s">
        <v>3906</v>
      </c>
      <c r="J8" s="1417" t="s">
        <v>159</v>
      </c>
      <c r="K8" s="1417" t="s">
        <v>3906</v>
      </c>
      <c r="L8" s="1417" t="s">
        <v>159</v>
      </c>
      <c r="M8" s="1417" t="s">
        <v>3906</v>
      </c>
      <c r="N8" s="1419"/>
      <c r="O8" s="403"/>
    </row>
    <row r="9" spans="1:17">
      <c r="A9" s="1417"/>
      <c r="B9" s="1414"/>
      <c r="C9" s="1417"/>
      <c r="D9" s="1414"/>
      <c r="E9" s="1417"/>
      <c r="F9" s="1417"/>
      <c r="G9" s="1419"/>
      <c r="H9" s="1417"/>
      <c r="I9" s="1417"/>
      <c r="J9" s="1417"/>
      <c r="K9" s="1417"/>
      <c r="L9" s="1417"/>
      <c r="M9" s="1417"/>
      <c r="N9" s="1419"/>
      <c r="O9" s="403"/>
    </row>
    <row r="10" spans="1:17">
      <c r="A10" s="1417"/>
      <c r="B10" s="1415"/>
      <c r="C10" s="1417"/>
      <c r="D10" s="1415"/>
      <c r="E10" s="1417"/>
      <c r="F10" s="1417"/>
      <c r="G10" s="1419"/>
      <c r="H10" s="1417"/>
      <c r="I10" s="1417"/>
      <c r="J10" s="1417"/>
      <c r="K10" s="1417"/>
      <c r="L10" s="1417"/>
      <c r="M10" s="1417"/>
      <c r="N10" s="1419"/>
      <c r="O10" s="418"/>
    </row>
    <row r="11" spans="1:17" ht="18.75">
      <c r="A11" s="1128" t="s">
        <v>4272</v>
      </c>
      <c r="B11" s="1128">
        <v>1</v>
      </c>
      <c r="C11" s="1128">
        <v>1</v>
      </c>
      <c r="D11" s="1129">
        <v>10</v>
      </c>
      <c r="E11" s="1129">
        <v>51</v>
      </c>
      <c r="F11" s="1130">
        <f>E11</f>
        <v>51</v>
      </c>
      <c r="G11" s="1128">
        <f>O12</f>
        <v>10</v>
      </c>
      <c r="H11" s="1129">
        <f t="shared" ref="H11:H17" si="0">E11*G11</f>
        <v>510</v>
      </c>
      <c r="I11" s="1129">
        <f t="shared" ref="I11:I17" si="1">F11*G11</f>
        <v>510</v>
      </c>
      <c r="J11" s="1131">
        <v>266</v>
      </c>
      <c r="K11" s="1131">
        <f t="shared" ref="K11:K17" si="2">J11</f>
        <v>266</v>
      </c>
      <c r="L11" s="1131">
        <f t="shared" ref="L11:M13" si="3">H11*J11/1000</f>
        <v>135.66</v>
      </c>
      <c r="M11" s="1131">
        <f t="shared" si="3"/>
        <v>135.66</v>
      </c>
      <c r="N11" s="1132" t="s">
        <v>5861</v>
      </c>
    </row>
    <row r="12" spans="1:17" ht="18.75">
      <c r="A12" s="1128"/>
      <c r="B12" s="1128">
        <f>B11+1</f>
        <v>2</v>
      </c>
      <c r="C12" s="1128">
        <v>2</v>
      </c>
      <c r="D12" s="1129">
        <v>8</v>
      </c>
      <c r="E12" s="1129">
        <v>15</v>
      </c>
      <c r="F12" s="1129">
        <f>E12</f>
        <v>15</v>
      </c>
      <c r="G12" s="1128">
        <f>G11</f>
        <v>10</v>
      </c>
      <c r="H12" s="1129">
        <f t="shared" si="0"/>
        <v>150</v>
      </c>
      <c r="I12" s="1129">
        <f t="shared" si="1"/>
        <v>150</v>
      </c>
      <c r="J12" s="1131">
        <v>1004</v>
      </c>
      <c r="K12" s="1131">
        <f t="shared" si="2"/>
        <v>1004</v>
      </c>
      <c r="L12" s="1131">
        <f t="shared" si="3"/>
        <v>150.6</v>
      </c>
      <c r="M12" s="1131">
        <f t="shared" si="3"/>
        <v>150.6</v>
      </c>
      <c r="N12" s="1133"/>
      <c r="O12" s="410">
        <v>10</v>
      </c>
    </row>
    <row r="13" spans="1:17" ht="18.75">
      <c r="A13" s="1128"/>
      <c r="B13" s="1128">
        <v>3</v>
      </c>
      <c r="C13" s="1128">
        <v>3</v>
      </c>
      <c r="D13" s="1129">
        <v>10</v>
      </c>
      <c r="E13" s="1129">
        <v>50</v>
      </c>
      <c r="F13" s="1130">
        <f>E13</f>
        <v>50</v>
      </c>
      <c r="G13" s="1128">
        <f>G12</f>
        <v>10</v>
      </c>
      <c r="H13" s="1129">
        <f t="shared" si="0"/>
        <v>500</v>
      </c>
      <c r="I13" s="1129">
        <f t="shared" si="1"/>
        <v>500</v>
      </c>
      <c r="J13" s="1131">
        <v>150</v>
      </c>
      <c r="K13" s="1131">
        <f t="shared" si="2"/>
        <v>150</v>
      </c>
      <c r="L13" s="1131">
        <f>H13*J13/1000</f>
        <v>75</v>
      </c>
      <c r="M13" s="1131">
        <f t="shared" si="3"/>
        <v>75</v>
      </c>
      <c r="N13" s="1133"/>
    </row>
    <row r="14" spans="1:17" ht="18.75">
      <c r="A14" s="1128" t="s">
        <v>5729</v>
      </c>
      <c r="B14" s="1128">
        <v>1</v>
      </c>
      <c r="C14" s="1128">
        <v>1</v>
      </c>
      <c r="D14" s="1129">
        <v>14</v>
      </c>
      <c r="E14" s="1129">
        <v>6</v>
      </c>
      <c r="F14" s="1130">
        <f t="shared" ref="F14:F17" si="4">E14</f>
        <v>6</v>
      </c>
      <c r="G14" s="1128">
        <f>O15</f>
        <v>1</v>
      </c>
      <c r="H14" s="1129">
        <f t="shared" si="0"/>
        <v>6</v>
      </c>
      <c r="I14" s="1129">
        <f t="shared" si="1"/>
        <v>6</v>
      </c>
      <c r="J14" s="1131">
        <v>64</v>
      </c>
      <c r="K14" s="1131">
        <f t="shared" si="2"/>
        <v>64</v>
      </c>
      <c r="L14" s="1131">
        <f t="shared" ref="L14:L15" si="5">H14*J14/1000</f>
        <v>0.38400000000000001</v>
      </c>
      <c r="M14" s="1131">
        <f t="shared" ref="M14:M15" si="6">I14*K14/1000</f>
        <v>0.38400000000000001</v>
      </c>
      <c r="N14" s="1132" t="s">
        <v>5730</v>
      </c>
    </row>
    <row r="15" spans="1:17" ht="18.75">
      <c r="A15" s="1128"/>
      <c r="B15" s="1128">
        <f>B14+1</f>
        <v>2</v>
      </c>
      <c r="C15" s="1128">
        <v>2</v>
      </c>
      <c r="D15" s="1129">
        <v>10</v>
      </c>
      <c r="E15" s="1129">
        <v>5</v>
      </c>
      <c r="F15" s="1129">
        <f t="shared" si="4"/>
        <v>5</v>
      </c>
      <c r="G15" s="1128">
        <f>G14</f>
        <v>1</v>
      </c>
      <c r="H15" s="1129">
        <f t="shared" si="0"/>
        <v>5</v>
      </c>
      <c r="I15" s="1129">
        <f t="shared" si="1"/>
        <v>5</v>
      </c>
      <c r="J15" s="1131">
        <v>94</v>
      </c>
      <c r="K15" s="1131">
        <f t="shared" si="2"/>
        <v>94</v>
      </c>
      <c r="L15" s="1131">
        <f t="shared" si="5"/>
        <v>0.47</v>
      </c>
      <c r="M15" s="1131">
        <f t="shared" si="6"/>
        <v>0.47</v>
      </c>
      <c r="N15" s="1133"/>
      <c r="O15" s="410">
        <v>1</v>
      </c>
    </row>
    <row r="16" spans="1:17" ht="18.75">
      <c r="A16" s="1128" t="s">
        <v>5731</v>
      </c>
      <c r="B16" s="1128">
        <v>1</v>
      </c>
      <c r="C16" s="1128">
        <v>1</v>
      </c>
      <c r="D16" s="1129">
        <v>14</v>
      </c>
      <c r="E16" s="1129">
        <v>7</v>
      </c>
      <c r="F16" s="1130">
        <f t="shared" si="4"/>
        <v>7</v>
      </c>
      <c r="G16" s="1128">
        <f>O17</f>
        <v>7</v>
      </c>
      <c r="H16" s="1129">
        <f t="shared" si="0"/>
        <v>49</v>
      </c>
      <c r="I16" s="1129">
        <f t="shared" si="1"/>
        <v>49</v>
      </c>
      <c r="J16" s="1131">
        <v>88</v>
      </c>
      <c r="K16" s="1131">
        <f t="shared" si="2"/>
        <v>88</v>
      </c>
      <c r="L16" s="1131">
        <f t="shared" ref="L16:L17" si="7">H16*J16/1000</f>
        <v>4.3120000000000003</v>
      </c>
      <c r="M16" s="1131">
        <f t="shared" ref="M16:M17" si="8">I16*K16/1000</f>
        <v>4.3120000000000003</v>
      </c>
      <c r="N16" s="1132" t="s">
        <v>5732</v>
      </c>
    </row>
    <row r="17" spans="1:15" ht="18.75">
      <c r="A17" s="1128"/>
      <c r="B17" s="1128">
        <f>B16+1</f>
        <v>2</v>
      </c>
      <c r="C17" s="1128">
        <v>2</v>
      </c>
      <c r="D17" s="1129">
        <v>10</v>
      </c>
      <c r="E17" s="1129">
        <v>7</v>
      </c>
      <c r="F17" s="1129">
        <f t="shared" si="4"/>
        <v>7</v>
      </c>
      <c r="G17" s="1128">
        <f>G16</f>
        <v>7</v>
      </c>
      <c r="H17" s="1129">
        <f t="shared" si="0"/>
        <v>49</v>
      </c>
      <c r="I17" s="1129">
        <f t="shared" si="1"/>
        <v>49</v>
      </c>
      <c r="J17" s="1131">
        <v>94</v>
      </c>
      <c r="K17" s="1131">
        <f t="shared" si="2"/>
        <v>94</v>
      </c>
      <c r="L17" s="1131">
        <f t="shared" si="7"/>
        <v>4.6059999999999999</v>
      </c>
      <c r="M17" s="1131">
        <f t="shared" si="8"/>
        <v>4.6059999999999999</v>
      </c>
      <c r="N17" s="1133"/>
      <c r="O17" s="410">
        <v>7</v>
      </c>
    </row>
  </sheetData>
  <mergeCells count="22">
    <mergeCell ref="K8:K10"/>
    <mergeCell ref="L8:L10"/>
    <mergeCell ref="M8:M10"/>
    <mergeCell ref="H7:I7"/>
    <mergeCell ref="J7:K7"/>
    <mergeCell ref="L7:M7"/>
    <mergeCell ref="A1:N2"/>
    <mergeCell ref="A3:N3"/>
    <mergeCell ref="A4:N4"/>
    <mergeCell ref="A5:N5"/>
    <mergeCell ref="B7:B10"/>
    <mergeCell ref="A7:A10"/>
    <mergeCell ref="C7:C10"/>
    <mergeCell ref="D7:D10"/>
    <mergeCell ref="E7:F7"/>
    <mergeCell ref="G7:G10"/>
    <mergeCell ref="N7:N10"/>
    <mergeCell ref="E8:E10"/>
    <mergeCell ref="F8:F10"/>
    <mergeCell ref="H8:H10"/>
    <mergeCell ref="I8:I10"/>
    <mergeCell ref="J8:J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3"/>
  <dimension ref="A1:Q164"/>
  <sheetViews>
    <sheetView workbookViewId="0">
      <pane xSplit="8" ySplit="10" topLeftCell="I140" activePane="bottomRight" state="frozen"/>
      <selection pane="topRight" activeCell="K1" sqref="K1"/>
      <selection pane="bottomLeft" activeCell="A8" sqref="A8"/>
      <selection pane="bottomRight" activeCell="E143" sqref="E143"/>
    </sheetView>
  </sheetViews>
  <sheetFormatPr defaultColWidth="0" defaultRowHeight="16.5"/>
  <cols>
    <col min="1" max="1" width="15.21875" style="391" customWidth="1"/>
    <col min="2" max="2" width="5.6640625" style="2" bestFit="1" customWidth="1"/>
    <col min="3" max="3" width="24.109375" bestFit="1" customWidth="1"/>
    <col min="4" max="4" width="6.33203125" style="2" bestFit="1" customWidth="1"/>
    <col min="5" max="5" width="9.77734375" style="408" customWidth="1"/>
    <col min="6" max="6" width="9.44140625" style="408" customWidth="1"/>
    <col min="7" max="7" width="9.6640625" style="408" customWidth="1"/>
    <col min="8" max="8" width="25.77734375" customWidth="1"/>
    <col min="9" max="9" width="1.21875" customWidth="1"/>
    <col min="10" max="17" width="0" hidden="1" customWidth="1"/>
    <col min="18" max="16384" width="8.88671875" hidden="1"/>
  </cols>
  <sheetData>
    <row r="1" spans="1:12" s="29" customFormat="1">
      <c r="A1" s="1380" t="s">
        <v>4250</v>
      </c>
      <c r="B1" s="1381"/>
      <c r="C1" s="1381"/>
      <c r="D1" s="1381"/>
      <c r="E1" s="1381"/>
      <c r="F1" s="1381"/>
      <c r="G1" s="1381"/>
      <c r="H1" s="1382"/>
      <c r="I1" s="419" t="s">
        <v>173</v>
      </c>
      <c r="K1"/>
      <c r="L1"/>
    </row>
    <row r="2" spans="1:12" s="29" customFormat="1">
      <c r="A2" s="1383"/>
      <c r="B2" s="1376"/>
      <c r="C2" s="1376"/>
      <c r="D2" s="1376"/>
      <c r="E2" s="1376"/>
      <c r="F2" s="1376"/>
      <c r="G2" s="1376"/>
      <c r="H2" s="1384"/>
      <c r="I2" s="405"/>
      <c r="K2"/>
      <c r="L2"/>
    </row>
    <row r="3" spans="1:12" s="29" customFormat="1" ht="16.5" customHeight="1">
      <c r="A3" s="1385" t="str">
        <f>Tieude1&amp;": "&amp;NDtieude1</f>
        <v>Công trình: Gia cố nâng cấp kênh Bà Xoài từ K0+300÷K0+600 - Hệ thống thủy lợi Nha Trinh, huyện Ninh Hải, tỉnh Ninh Thuận</v>
      </c>
      <c r="B3" s="1377"/>
      <c r="C3" s="1377"/>
      <c r="D3" s="1377"/>
      <c r="E3" s="1377"/>
      <c r="F3" s="1377"/>
      <c r="G3" s="1377"/>
      <c r="H3" s="1386"/>
      <c r="I3" s="405"/>
      <c r="K3"/>
      <c r="L3"/>
    </row>
    <row r="4" spans="1:12" s="29" customFormat="1" ht="16.5" customHeight="1">
      <c r="A4" s="1387" t="str">
        <f>"Địa điểm XD: "&amp;DDXD</f>
        <v>Địa điểm XD: Huyện Ninh Hải - Tỉnh Ninh Thuận</v>
      </c>
      <c r="B4" s="1388"/>
      <c r="C4" s="1388"/>
      <c r="D4" s="1388"/>
      <c r="E4" s="1388"/>
      <c r="F4" s="1388"/>
      <c r="G4" s="1388"/>
      <c r="H4" s="1389"/>
      <c r="I4" s="405"/>
      <c r="K4"/>
      <c r="L4"/>
    </row>
    <row r="5" spans="1:12" s="29" customFormat="1" ht="23.25" customHeight="1">
      <c r="A5" s="1393"/>
      <c r="B5" s="1394"/>
      <c r="C5" s="1420" t="s">
        <v>5854</v>
      </c>
      <c r="D5" s="1421"/>
      <c r="E5" s="1421"/>
      <c r="F5" s="1421"/>
      <c r="G5" s="1421"/>
      <c r="H5" s="1422"/>
      <c r="I5" s="405"/>
      <c r="K5"/>
      <c r="L5"/>
    </row>
    <row r="6" spans="1:12" s="29" customFormat="1" ht="23.25" hidden="1" customHeight="1">
      <c r="A6" s="392"/>
      <c r="B6" s="392"/>
      <c r="C6" s="417"/>
      <c r="D6" s="417"/>
      <c r="E6" s="417"/>
      <c r="F6" s="417"/>
      <c r="G6" s="417"/>
      <c r="H6" s="417"/>
      <c r="I6" s="405"/>
      <c r="K6"/>
      <c r="L6"/>
    </row>
    <row r="7" spans="1:12" s="29" customFormat="1" ht="23.25" hidden="1" customHeight="1">
      <c r="A7" s="392"/>
      <c r="B7" s="392"/>
      <c r="C7" s="417"/>
      <c r="D7" s="417"/>
      <c r="E7" s="417"/>
      <c r="F7" s="417"/>
      <c r="G7" s="417"/>
      <c r="H7" s="417"/>
      <c r="I7" s="405"/>
      <c r="K7"/>
      <c r="L7"/>
    </row>
    <row r="8" spans="1:12" s="29" customFormat="1" ht="23.25" hidden="1" customHeight="1">
      <c r="A8" s="392"/>
      <c r="B8" s="392"/>
      <c r="C8" s="417"/>
      <c r="D8" s="417"/>
      <c r="E8" s="417"/>
      <c r="F8" s="417"/>
      <c r="G8" s="417"/>
      <c r="H8" s="417"/>
      <c r="I8" s="405"/>
      <c r="K8"/>
      <c r="L8"/>
    </row>
    <row r="9" spans="1:12" ht="9" customHeight="1">
      <c r="A9" s="409"/>
      <c r="B9" s="403"/>
      <c r="C9" s="403"/>
      <c r="D9" s="404"/>
      <c r="E9" s="406"/>
      <c r="F9" s="406"/>
      <c r="G9" s="406"/>
      <c r="H9" s="403"/>
      <c r="I9" s="405"/>
      <c r="J9" s="29"/>
    </row>
    <row r="10" spans="1:12" ht="30.75" customHeight="1">
      <c r="A10" s="421" t="s">
        <v>3903</v>
      </c>
      <c r="B10" s="421" t="s">
        <v>64</v>
      </c>
      <c r="C10" s="421" t="s">
        <v>23</v>
      </c>
      <c r="D10" s="421" t="s">
        <v>3932</v>
      </c>
      <c r="E10" s="423" t="s">
        <v>159</v>
      </c>
      <c r="F10" s="423" t="s">
        <v>3906</v>
      </c>
      <c r="G10" s="423" t="s">
        <v>4256</v>
      </c>
      <c r="H10" s="422" t="s">
        <v>20</v>
      </c>
      <c r="I10" s="418"/>
    </row>
    <row r="11" spans="1:12">
      <c r="A11" s="1077" t="s">
        <v>5758</v>
      </c>
      <c r="B11" s="1076">
        <v>1</v>
      </c>
      <c r="C11" t="s">
        <v>5733</v>
      </c>
      <c r="D11"/>
      <c r="E11" s="407"/>
      <c r="F11" s="407"/>
      <c r="G11" s="407"/>
      <c r="H11" t="s">
        <v>5862</v>
      </c>
    </row>
    <row r="12" spans="1:12">
      <c r="A12" s="1077"/>
      <c r="B12" s="1076"/>
      <c r="C12" t="s">
        <v>5734</v>
      </c>
      <c r="D12" t="s">
        <v>3514</v>
      </c>
      <c r="E12" s="407"/>
      <c r="F12" s="407"/>
      <c r="G12" s="407"/>
    </row>
    <row r="13" spans="1:12">
      <c r="A13" s="1077"/>
      <c r="B13" s="1076"/>
      <c r="C13" t="s">
        <v>5735</v>
      </c>
      <c r="D13"/>
      <c r="E13" s="407">
        <v>8.57</v>
      </c>
      <c r="F13" s="407">
        <v>8.5749999999999993</v>
      </c>
      <c r="G13" s="407">
        <v>4.9999999999990052E-3</v>
      </c>
    </row>
    <row r="14" spans="1:12">
      <c r="A14" s="1077"/>
      <c r="B14" s="1076"/>
      <c r="C14" t="s">
        <v>5736</v>
      </c>
      <c r="D14"/>
      <c r="E14" s="407">
        <v>9.370000000000001</v>
      </c>
      <c r="F14" s="407">
        <v>9.3710000000000004</v>
      </c>
      <c r="G14" s="407">
        <v>9.9999999999944578E-4</v>
      </c>
    </row>
    <row r="15" spans="1:12">
      <c r="A15" s="1077"/>
      <c r="B15" s="1076"/>
      <c r="C15" t="s">
        <v>5737</v>
      </c>
      <c r="D15"/>
      <c r="E15" s="407">
        <v>9.370000000000001</v>
      </c>
      <c r="F15" s="407">
        <v>9.3699999999999992</v>
      </c>
      <c r="G15" s="407">
        <v>0</v>
      </c>
    </row>
    <row r="16" spans="1:12">
      <c r="A16" s="1077"/>
      <c r="B16" s="1076"/>
      <c r="C16" t="s">
        <v>5738</v>
      </c>
      <c r="D16" t="s">
        <v>3514</v>
      </c>
      <c r="E16" s="407"/>
      <c r="F16" s="407"/>
      <c r="G16" s="407"/>
    </row>
    <row r="17" spans="1:7">
      <c r="A17" s="1077"/>
      <c r="B17" s="1076"/>
      <c r="C17" t="s">
        <v>5739</v>
      </c>
      <c r="D17"/>
      <c r="E17" s="407">
        <v>0.7</v>
      </c>
      <c r="F17" s="407">
        <v>0.71</v>
      </c>
      <c r="G17" s="407">
        <v>1.0000000000000009E-2</v>
      </c>
    </row>
    <row r="18" spans="1:7">
      <c r="A18" s="1077"/>
      <c r="B18" s="1076"/>
      <c r="C18" t="s">
        <v>5740</v>
      </c>
      <c r="D18"/>
      <c r="E18" s="407">
        <v>0.12</v>
      </c>
      <c r="F18" s="407">
        <v>0.14000000000000001</v>
      </c>
      <c r="G18" s="407">
        <v>2.0000000000000018E-2</v>
      </c>
    </row>
    <row r="19" spans="1:7">
      <c r="A19" s="1077"/>
      <c r="B19" s="1076"/>
      <c r="C19" t="s">
        <v>5741</v>
      </c>
      <c r="D19"/>
      <c r="E19" s="407">
        <v>0.12</v>
      </c>
      <c r="F19" s="407">
        <v>0.13</v>
      </c>
      <c r="G19" s="407">
        <v>1.0000000000000009E-2</v>
      </c>
    </row>
    <row r="20" spans="1:7">
      <c r="A20" s="1077"/>
      <c r="B20" s="1076">
        <f>B11+1</f>
        <v>2</v>
      </c>
      <c r="C20" t="s">
        <v>5742</v>
      </c>
      <c r="D20"/>
      <c r="E20" s="407"/>
      <c r="F20" s="407"/>
      <c r="G20" s="407"/>
    </row>
    <row r="21" spans="1:7">
      <c r="A21" s="1077"/>
      <c r="B21" s="1076"/>
      <c r="C21" t="s">
        <v>5734</v>
      </c>
      <c r="D21" s="1076" t="s">
        <v>3514</v>
      </c>
    </row>
    <row r="22" spans="1:7">
      <c r="A22" s="1077"/>
      <c r="B22" s="1076"/>
      <c r="C22" t="s">
        <v>5735</v>
      </c>
      <c r="D22" s="1076"/>
      <c r="E22" s="408">
        <v>8.56</v>
      </c>
      <c r="F22" s="408">
        <v>8.5640000000000001</v>
      </c>
      <c r="G22" s="408">
        <v>3.9999999999995595E-3</v>
      </c>
    </row>
    <row r="23" spans="1:7">
      <c r="A23" s="1077"/>
      <c r="B23" s="1076"/>
      <c r="C23" t="s">
        <v>5736</v>
      </c>
      <c r="D23" s="1076"/>
      <c r="E23" s="408">
        <v>9.3600000000000012</v>
      </c>
      <c r="F23" s="408">
        <v>9.3620000000000001</v>
      </c>
      <c r="G23" s="408">
        <v>1.9999999999988916E-3</v>
      </c>
    </row>
    <row r="24" spans="1:7">
      <c r="A24" s="1077"/>
      <c r="B24" s="1076"/>
      <c r="C24" t="s">
        <v>5737</v>
      </c>
      <c r="D24" s="1076"/>
      <c r="E24" s="408">
        <v>9.3600000000000012</v>
      </c>
      <c r="F24" s="408">
        <v>9.3620000000000001</v>
      </c>
      <c r="G24" s="408">
        <v>1.9999999999988916E-3</v>
      </c>
    </row>
    <row r="25" spans="1:7">
      <c r="A25" s="1077"/>
      <c r="B25" s="1076"/>
      <c r="C25" t="s">
        <v>5738</v>
      </c>
      <c r="D25" s="1076" t="s">
        <v>3514</v>
      </c>
    </row>
    <row r="26" spans="1:7">
      <c r="A26" s="1077"/>
      <c r="B26" s="1076"/>
      <c r="C26" t="s">
        <v>5739</v>
      </c>
      <c r="D26"/>
      <c r="E26" s="407">
        <v>0.7</v>
      </c>
      <c r="F26" s="407">
        <v>0.71</v>
      </c>
      <c r="G26" s="407">
        <v>1.0000000000000009E-2</v>
      </c>
    </row>
    <row r="27" spans="1:7">
      <c r="A27" s="1077"/>
      <c r="B27" s="1076"/>
      <c r="C27" t="s">
        <v>5740</v>
      </c>
      <c r="D27"/>
      <c r="E27" s="407">
        <v>0.12</v>
      </c>
      <c r="F27" s="407">
        <v>0.12</v>
      </c>
      <c r="G27" s="407">
        <v>0</v>
      </c>
    </row>
    <row r="28" spans="1:7">
      <c r="A28" s="1077"/>
      <c r="B28" s="1076"/>
      <c r="C28" t="s">
        <v>5741</v>
      </c>
      <c r="D28"/>
      <c r="E28" s="407">
        <v>0.12</v>
      </c>
      <c r="F28" s="407">
        <v>0.13</v>
      </c>
      <c r="G28" s="407">
        <v>1.0000000000000009E-2</v>
      </c>
    </row>
    <row r="29" spans="1:7">
      <c r="A29" s="1077"/>
      <c r="B29" s="1076">
        <f t="shared" ref="B29" si="0">B20+1</f>
        <v>3</v>
      </c>
      <c r="C29" t="s">
        <v>5743</v>
      </c>
      <c r="D29"/>
      <c r="E29" s="407"/>
      <c r="F29" s="407"/>
      <c r="G29" s="407"/>
    </row>
    <row r="30" spans="1:7">
      <c r="A30" s="1077"/>
      <c r="B30" s="1076"/>
      <c r="C30" t="s">
        <v>5734</v>
      </c>
      <c r="D30" t="s">
        <v>3514</v>
      </c>
      <c r="E30" s="407"/>
      <c r="F30" s="407"/>
      <c r="G30" s="407"/>
    </row>
    <row r="31" spans="1:7">
      <c r="A31" s="1077"/>
      <c r="B31" s="1076"/>
      <c r="C31" t="s">
        <v>5735</v>
      </c>
      <c r="D31" s="1076"/>
      <c r="E31" s="408">
        <v>8.5500000000000007</v>
      </c>
      <c r="F31" s="408">
        <v>8.5500000000000007</v>
      </c>
      <c r="G31" s="408">
        <v>0</v>
      </c>
    </row>
    <row r="32" spans="1:7">
      <c r="A32" s="1077"/>
      <c r="B32" s="1076"/>
      <c r="C32" t="s">
        <v>5736</v>
      </c>
      <c r="D32" s="1076"/>
      <c r="E32" s="408">
        <v>9.3500000000000014</v>
      </c>
      <c r="F32" s="408">
        <v>9.3539999999999992</v>
      </c>
      <c r="G32" s="408">
        <v>3.9999999999977831E-3</v>
      </c>
    </row>
    <row r="33" spans="1:7">
      <c r="A33" s="1077"/>
      <c r="B33" s="1076"/>
      <c r="C33" t="s">
        <v>5737</v>
      </c>
      <c r="D33" s="1076"/>
      <c r="E33" s="408">
        <v>9.3500000000000014</v>
      </c>
      <c r="F33" s="408">
        <v>9.3510000000000009</v>
      </c>
      <c r="G33" s="408">
        <v>9.9999999999944578E-4</v>
      </c>
    </row>
    <row r="34" spans="1:7">
      <c r="A34" s="1077"/>
      <c r="B34" s="1076"/>
      <c r="C34" t="s">
        <v>5738</v>
      </c>
      <c r="D34" s="1076" t="s">
        <v>3514</v>
      </c>
    </row>
    <row r="35" spans="1:7">
      <c r="A35" s="1077"/>
      <c r="B35" s="1076"/>
      <c r="C35" t="s">
        <v>5739</v>
      </c>
      <c r="D35" s="1076"/>
      <c r="E35" s="408">
        <v>0.7</v>
      </c>
      <c r="F35" s="408">
        <v>0.72</v>
      </c>
      <c r="G35" s="408">
        <v>2.0000000000000018E-2</v>
      </c>
    </row>
    <row r="36" spans="1:7">
      <c r="A36" s="1077"/>
      <c r="B36" s="1076"/>
      <c r="C36" t="s">
        <v>5740</v>
      </c>
      <c r="D36"/>
      <c r="E36" s="407">
        <v>0.12</v>
      </c>
      <c r="F36" s="407">
        <v>0.13</v>
      </c>
      <c r="G36" s="407">
        <v>1.0000000000000009E-2</v>
      </c>
    </row>
    <row r="37" spans="1:7">
      <c r="A37" s="1077"/>
      <c r="B37" s="1076"/>
      <c r="C37" t="s">
        <v>5741</v>
      </c>
      <c r="D37"/>
      <c r="E37" s="407">
        <v>0.12</v>
      </c>
      <c r="F37" s="407">
        <v>0.13</v>
      </c>
      <c r="G37" s="407">
        <v>1.0000000000000009E-2</v>
      </c>
    </row>
    <row r="38" spans="1:7">
      <c r="A38" s="1077"/>
      <c r="B38" s="1076">
        <f t="shared" ref="B38" si="1">B29+1</f>
        <v>4</v>
      </c>
      <c r="C38" t="s">
        <v>5744</v>
      </c>
      <c r="D38"/>
      <c r="E38" s="407"/>
      <c r="F38" s="407"/>
      <c r="G38" s="407"/>
    </row>
    <row r="39" spans="1:7">
      <c r="A39" s="1077"/>
      <c r="B39" s="1076"/>
      <c r="C39" t="s">
        <v>5734</v>
      </c>
      <c r="D39" t="s">
        <v>3514</v>
      </c>
      <c r="E39" s="407"/>
      <c r="F39" s="407"/>
      <c r="G39" s="407"/>
    </row>
    <row r="40" spans="1:7">
      <c r="A40" s="1077"/>
      <c r="B40" s="1076"/>
      <c r="C40" t="s">
        <v>5735</v>
      </c>
      <c r="D40"/>
      <c r="E40" s="407">
        <v>8.5399999999999991</v>
      </c>
      <c r="F40" s="407">
        <v>8.5429999999999993</v>
      </c>
      <c r="G40" s="407">
        <v>3.0000000000001137E-3</v>
      </c>
    </row>
    <row r="41" spans="1:7">
      <c r="A41" s="1077"/>
      <c r="B41" s="1076"/>
      <c r="C41" t="s">
        <v>5736</v>
      </c>
      <c r="D41" s="1076"/>
      <c r="E41" s="408">
        <v>9.34</v>
      </c>
      <c r="F41" s="408">
        <v>9.3409999999999993</v>
      </c>
      <c r="G41" s="408">
        <v>9.9999999999944578E-4</v>
      </c>
    </row>
    <row r="42" spans="1:7">
      <c r="A42" s="1077"/>
      <c r="B42" s="1076"/>
      <c r="C42" t="s">
        <v>5737</v>
      </c>
      <c r="D42" s="1076"/>
      <c r="E42" s="408">
        <v>9.34</v>
      </c>
      <c r="F42" s="408">
        <v>9.3409999999999993</v>
      </c>
      <c r="G42" s="408">
        <v>9.9999999999944578E-4</v>
      </c>
    </row>
    <row r="43" spans="1:7">
      <c r="A43" s="1077"/>
      <c r="B43" s="1076"/>
      <c r="C43" t="s">
        <v>5738</v>
      </c>
      <c r="D43" s="1076" t="s">
        <v>3514</v>
      </c>
    </row>
    <row r="44" spans="1:7">
      <c r="A44" s="1077"/>
      <c r="B44" s="1076"/>
      <c r="C44" t="s">
        <v>5739</v>
      </c>
      <c r="D44" s="1076"/>
      <c r="E44" s="408">
        <v>0.7</v>
      </c>
      <c r="F44" s="408">
        <v>0.72</v>
      </c>
      <c r="G44" s="408">
        <v>2.0000000000000018E-2</v>
      </c>
    </row>
    <row r="45" spans="1:7">
      <c r="A45" s="1077"/>
      <c r="B45" s="1076"/>
      <c r="C45" t="s">
        <v>5740</v>
      </c>
      <c r="D45" s="1076"/>
      <c r="E45" s="408">
        <v>0.12</v>
      </c>
      <c r="F45" s="408">
        <v>0.13</v>
      </c>
      <c r="G45" s="408">
        <v>1.0000000000000009E-2</v>
      </c>
    </row>
    <row r="46" spans="1:7">
      <c r="A46" s="1077"/>
      <c r="B46" s="1076"/>
      <c r="C46" t="s">
        <v>5741</v>
      </c>
      <c r="D46"/>
      <c r="E46" s="407">
        <v>0.12</v>
      </c>
      <c r="F46" s="407">
        <v>0.13</v>
      </c>
      <c r="G46" s="407">
        <v>1.0000000000000009E-2</v>
      </c>
    </row>
    <row r="47" spans="1:7">
      <c r="A47" s="1077"/>
      <c r="B47" s="1076">
        <f t="shared" ref="B47" si="2">B38+1</f>
        <v>5</v>
      </c>
      <c r="C47" t="s">
        <v>5745</v>
      </c>
      <c r="D47"/>
      <c r="E47" s="407"/>
      <c r="F47" s="407"/>
      <c r="G47" s="407"/>
    </row>
    <row r="48" spans="1:7">
      <c r="A48" s="1077"/>
      <c r="B48" s="1076"/>
      <c r="C48" t="s">
        <v>5734</v>
      </c>
      <c r="D48" t="s">
        <v>3514</v>
      </c>
      <c r="E48" s="407"/>
      <c r="F48" s="407"/>
      <c r="G48" s="407"/>
    </row>
    <row r="49" spans="1:7">
      <c r="A49" s="1077"/>
      <c r="B49" s="1076"/>
      <c r="C49" t="s">
        <v>5735</v>
      </c>
      <c r="D49"/>
      <c r="E49" s="407">
        <v>8.5399999999999991</v>
      </c>
      <c r="F49" s="407">
        <v>8.5419999999999998</v>
      </c>
      <c r="G49" s="407">
        <v>2.0000000000006679E-3</v>
      </c>
    </row>
    <row r="50" spans="1:7">
      <c r="A50" s="1077"/>
      <c r="B50" s="1076"/>
      <c r="C50" t="s">
        <v>5736</v>
      </c>
      <c r="D50"/>
      <c r="E50" s="407">
        <v>9.34</v>
      </c>
      <c r="F50" s="407">
        <v>9.3439999999999994</v>
      </c>
      <c r="G50" s="407">
        <v>3.9999999999995595E-3</v>
      </c>
    </row>
    <row r="51" spans="1:7">
      <c r="A51" s="1077"/>
      <c r="B51" s="1076"/>
      <c r="C51" t="s">
        <v>5737</v>
      </c>
      <c r="D51" s="1076"/>
      <c r="E51" s="408">
        <v>9.34</v>
      </c>
      <c r="F51" s="408">
        <v>9.34</v>
      </c>
      <c r="G51" s="408">
        <v>0</v>
      </c>
    </row>
    <row r="52" spans="1:7">
      <c r="A52" s="1077"/>
      <c r="B52" s="1076"/>
      <c r="C52" t="s">
        <v>5738</v>
      </c>
      <c r="D52" s="1076" t="s">
        <v>3514</v>
      </c>
    </row>
    <row r="53" spans="1:7">
      <c r="A53" s="1077"/>
      <c r="B53" s="1076"/>
      <c r="C53" t="s">
        <v>5739</v>
      </c>
      <c r="D53" s="1076"/>
      <c r="E53" s="408">
        <v>0.7</v>
      </c>
      <c r="F53" s="408">
        <v>0.71</v>
      </c>
      <c r="G53" s="408">
        <v>1.0000000000000009E-2</v>
      </c>
    </row>
    <row r="54" spans="1:7">
      <c r="A54" s="1077"/>
      <c r="B54" s="1076"/>
      <c r="C54" t="s">
        <v>5740</v>
      </c>
      <c r="D54" s="1076"/>
      <c r="E54" s="408">
        <v>0.12</v>
      </c>
      <c r="F54" s="408">
        <v>0.14000000000000001</v>
      </c>
      <c r="G54" s="408">
        <v>2.0000000000000018E-2</v>
      </c>
    </row>
    <row r="55" spans="1:7">
      <c r="A55" s="1077"/>
      <c r="B55" s="1076"/>
      <c r="C55" t="s">
        <v>5741</v>
      </c>
      <c r="D55" s="1076"/>
      <c r="E55" s="408">
        <v>0.12</v>
      </c>
      <c r="F55" s="408">
        <v>0.13</v>
      </c>
      <c r="G55" s="408">
        <v>1.0000000000000009E-2</v>
      </c>
    </row>
    <row r="56" spans="1:7">
      <c r="A56" s="1077"/>
      <c r="B56" s="1076">
        <f t="shared" ref="B56" si="3">B47+1</f>
        <v>6</v>
      </c>
      <c r="C56" t="s">
        <v>5746</v>
      </c>
      <c r="D56"/>
      <c r="E56" s="407"/>
      <c r="F56" s="407"/>
      <c r="G56" s="407"/>
    </row>
    <row r="57" spans="1:7">
      <c r="A57" s="1077"/>
      <c r="B57" s="1076"/>
      <c r="C57" t="s">
        <v>5734</v>
      </c>
      <c r="D57" t="s">
        <v>3514</v>
      </c>
      <c r="E57" s="407"/>
      <c r="F57" s="407"/>
      <c r="G57" s="407"/>
    </row>
    <row r="58" spans="1:7">
      <c r="A58" s="1077"/>
      <c r="B58" s="1076"/>
      <c r="C58" t="s">
        <v>5735</v>
      </c>
      <c r="D58"/>
      <c r="E58" s="407">
        <v>8.5299999999999994</v>
      </c>
      <c r="F58" s="407">
        <v>8.5310000000000006</v>
      </c>
      <c r="G58" s="407">
        <v>1.0000000000012221E-3</v>
      </c>
    </row>
    <row r="59" spans="1:7">
      <c r="A59" s="1077"/>
      <c r="B59" s="1076"/>
      <c r="C59" t="s">
        <v>5736</v>
      </c>
      <c r="D59"/>
      <c r="E59" s="407">
        <v>9.33</v>
      </c>
      <c r="F59" s="407">
        <v>9.3350000000000009</v>
      </c>
      <c r="G59" s="407">
        <v>5.0000000000007816E-3</v>
      </c>
    </row>
    <row r="60" spans="1:7">
      <c r="A60" s="1077"/>
      <c r="B60" s="1076"/>
      <c r="C60" t="s">
        <v>5737</v>
      </c>
      <c r="D60"/>
      <c r="E60" s="407">
        <v>9.33</v>
      </c>
      <c r="F60" s="407">
        <v>9.3339999999999996</v>
      </c>
      <c r="G60" s="407">
        <v>3.9999999999995595E-3</v>
      </c>
    </row>
    <row r="61" spans="1:7">
      <c r="A61" s="1077"/>
      <c r="B61" s="1076"/>
      <c r="C61" t="s">
        <v>5738</v>
      </c>
      <c r="D61" s="1076" t="s">
        <v>3514</v>
      </c>
    </row>
    <row r="62" spans="1:7">
      <c r="A62" s="1077"/>
      <c r="B62" s="1076"/>
      <c r="C62" t="s">
        <v>5739</v>
      </c>
      <c r="D62" s="1076"/>
      <c r="E62" s="408">
        <v>0.7</v>
      </c>
      <c r="F62" s="408">
        <v>0.71</v>
      </c>
      <c r="G62" s="408">
        <v>1.0000000000000009E-2</v>
      </c>
    </row>
    <row r="63" spans="1:7">
      <c r="A63" s="1077"/>
      <c r="B63" s="1076"/>
      <c r="C63" t="s">
        <v>5740</v>
      </c>
      <c r="D63" s="1076"/>
      <c r="E63" s="408">
        <v>0.12</v>
      </c>
      <c r="F63" s="408">
        <v>0.13</v>
      </c>
      <c r="G63" s="408">
        <v>1.0000000000000009E-2</v>
      </c>
    </row>
    <row r="64" spans="1:7">
      <c r="A64" s="1077"/>
      <c r="B64" s="1076"/>
      <c r="C64" t="s">
        <v>5741</v>
      </c>
      <c r="D64" s="1076"/>
      <c r="E64" s="408">
        <v>0.12</v>
      </c>
      <c r="F64" s="408">
        <v>0.12</v>
      </c>
      <c r="G64" s="408">
        <v>0</v>
      </c>
    </row>
    <row r="65" spans="1:8">
      <c r="A65" s="1077" t="s">
        <v>5759</v>
      </c>
      <c r="B65" s="1076">
        <v>1</v>
      </c>
      <c r="C65" t="s">
        <v>5747</v>
      </c>
      <c r="D65" s="1076"/>
      <c r="H65" t="s">
        <v>5863</v>
      </c>
    </row>
    <row r="66" spans="1:8">
      <c r="A66" s="1077"/>
      <c r="B66" s="1076"/>
      <c r="C66" t="s">
        <v>5734</v>
      </c>
      <c r="D66" t="s">
        <v>3514</v>
      </c>
      <c r="E66" s="407"/>
      <c r="F66" s="407"/>
      <c r="G66" s="407"/>
    </row>
    <row r="67" spans="1:8">
      <c r="A67" s="1077"/>
      <c r="B67" s="1076"/>
      <c r="C67" t="s">
        <v>5735</v>
      </c>
      <c r="D67"/>
      <c r="E67" s="407">
        <v>8.52</v>
      </c>
      <c r="F67" s="407">
        <v>8.5220000000000002</v>
      </c>
      <c r="G67" s="407">
        <v>2.0000000000006679E-3</v>
      </c>
    </row>
    <row r="68" spans="1:8">
      <c r="A68" s="1077"/>
      <c r="B68" s="1076"/>
      <c r="C68" t="s">
        <v>5736</v>
      </c>
      <c r="D68"/>
      <c r="E68" s="407">
        <v>9.32</v>
      </c>
      <c r="F68" s="407">
        <v>9.3209999999999997</v>
      </c>
      <c r="G68" s="407">
        <v>9.9999999999944578E-4</v>
      </c>
    </row>
    <row r="69" spans="1:8">
      <c r="A69" s="1077"/>
      <c r="B69" s="1076"/>
      <c r="C69" t="s">
        <v>5737</v>
      </c>
      <c r="D69"/>
      <c r="E69" s="407">
        <v>9.32</v>
      </c>
      <c r="F69" s="407">
        <v>9.3230000000000004</v>
      </c>
      <c r="G69" s="407">
        <v>3.0000000000001137E-3</v>
      </c>
    </row>
    <row r="70" spans="1:8">
      <c r="A70" s="1077"/>
      <c r="B70" s="1076"/>
      <c r="C70" t="s">
        <v>5738</v>
      </c>
      <c r="D70" t="s">
        <v>3514</v>
      </c>
      <c r="E70" s="407"/>
      <c r="F70" s="407"/>
      <c r="G70" s="407"/>
    </row>
    <row r="71" spans="1:8">
      <c r="A71" s="1077"/>
      <c r="B71" s="1076"/>
      <c r="C71" t="s">
        <v>5739</v>
      </c>
      <c r="D71" s="1076"/>
      <c r="E71" s="408">
        <v>0.7</v>
      </c>
      <c r="F71" s="408">
        <v>0.7</v>
      </c>
      <c r="G71" s="408">
        <v>0</v>
      </c>
    </row>
    <row r="72" spans="1:8">
      <c r="A72" s="1077"/>
      <c r="B72" s="1076"/>
      <c r="C72" t="s">
        <v>5740</v>
      </c>
      <c r="D72" s="1076"/>
      <c r="E72" s="408">
        <v>0.12</v>
      </c>
      <c r="F72" s="408">
        <v>0.13</v>
      </c>
      <c r="G72" s="408">
        <v>1.0000000000000009E-2</v>
      </c>
    </row>
    <row r="73" spans="1:8">
      <c r="A73" s="1077"/>
      <c r="B73" s="1076"/>
      <c r="C73" t="s">
        <v>5741</v>
      </c>
      <c r="D73" s="1076"/>
      <c r="E73" s="408">
        <v>0.12</v>
      </c>
      <c r="F73" s="408">
        <v>0.13</v>
      </c>
      <c r="G73" s="408">
        <v>1.0000000000000009E-2</v>
      </c>
    </row>
    <row r="74" spans="1:8">
      <c r="A74" s="1077"/>
      <c r="B74" s="1076">
        <f>B65+1</f>
        <v>2</v>
      </c>
      <c r="C74" t="s">
        <v>5748</v>
      </c>
      <c r="D74" s="1076"/>
    </row>
    <row r="75" spans="1:8">
      <c r="A75" s="1077"/>
      <c r="B75" s="1076"/>
      <c r="C75" t="s">
        <v>5734</v>
      </c>
      <c r="D75" s="1076" t="s">
        <v>3514</v>
      </c>
    </row>
    <row r="76" spans="1:8">
      <c r="A76" s="1077"/>
      <c r="B76" s="1076"/>
      <c r="C76" t="s">
        <v>5735</v>
      </c>
      <c r="D76"/>
      <c r="E76" s="407">
        <v>8.51</v>
      </c>
      <c r="F76" s="407">
        <v>8.5129999999999999</v>
      </c>
      <c r="G76" s="407">
        <v>3.0000000000001137E-3</v>
      </c>
    </row>
    <row r="77" spans="1:8">
      <c r="A77" s="1077"/>
      <c r="B77" s="1076"/>
      <c r="C77" t="s">
        <v>5736</v>
      </c>
      <c r="D77"/>
      <c r="E77" s="407">
        <v>9.31</v>
      </c>
      <c r="F77" s="407">
        <v>9.3130000000000006</v>
      </c>
      <c r="G77" s="407">
        <v>3.0000000000001137E-3</v>
      </c>
    </row>
    <row r="78" spans="1:8">
      <c r="A78" s="1077"/>
      <c r="B78" s="1076"/>
      <c r="C78" t="s">
        <v>5737</v>
      </c>
      <c r="D78"/>
      <c r="E78" s="407">
        <v>9.31</v>
      </c>
      <c r="F78" s="407">
        <v>9.3149999999999995</v>
      </c>
      <c r="G78" s="407">
        <v>4.9999999999990052E-3</v>
      </c>
    </row>
    <row r="79" spans="1:8">
      <c r="A79" s="1077"/>
      <c r="B79" s="1076"/>
      <c r="C79" t="s">
        <v>5738</v>
      </c>
      <c r="D79" t="s">
        <v>3514</v>
      </c>
      <c r="E79" s="407"/>
      <c r="F79" s="407"/>
      <c r="G79" s="407"/>
    </row>
    <row r="80" spans="1:8">
      <c r="A80" s="1077"/>
      <c r="B80" s="1076"/>
      <c r="C80" t="s">
        <v>5739</v>
      </c>
      <c r="D80"/>
      <c r="E80" s="407">
        <v>0.7</v>
      </c>
      <c r="F80" s="407">
        <v>0.7</v>
      </c>
      <c r="G80" s="407">
        <v>0</v>
      </c>
    </row>
    <row r="81" spans="1:7">
      <c r="A81" s="1077"/>
      <c r="B81" s="1076"/>
      <c r="C81" t="s">
        <v>5740</v>
      </c>
      <c r="D81" s="1076"/>
      <c r="E81" s="408">
        <v>0.12</v>
      </c>
      <c r="F81" s="408">
        <v>0.13</v>
      </c>
      <c r="G81" s="408">
        <v>1.0000000000000009E-2</v>
      </c>
    </row>
    <row r="82" spans="1:7">
      <c r="A82" s="1077"/>
      <c r="B82" s="1076"/>
      <c r="C82" t="s">
        <v>5741</v>
      </c>
      <c r="D82" s="1076"/>
      <c r="E82" s="408">
        <v>0.12</v>
      </c>
      <c r="F82" s="408">
        <v>0.13</v>
      </c>
      <c r="G82" s="408">
        <v>1.0000000000000009E-2</v>
      </c>
    </row>
    <row r="83" spans="1:7">
      <c r="A83" s="1077"/>
      <c r="B83" s="1076">
        <f t="shared" ref="B83" si="4">B74+1</f>
        <v>3</v>
      </c>
      <c r="C83" t="s">
        <v>5749</v>
      </c>
      <c r="D83" s="1076"/>
    </row>
    <row r="84" spans="1:7">
      <c r="A84" s="1077"/>
      <c r="B84" s="1076"/>
      <c r="C84" t="s">
        <v>5734</v>
      </c>
      <c r="D84" s="1076" t="s">
        <v>3514</v>
      </c>
    </row>
    <row r="85" spans="1:7">
      <c r="A85" s="1077"/>
      <c r="B85" s="1076"/>
      <c r="C85" t="s">
        <v>5735</v>
      </c>
      <c r="D85" s="1076"/>
      <c r="E85" s="408">
        <v>8.06</v>
      </c>
      <c r="F85" s="408">
        <v>8.0640000000000001</v>
      </c>
      <c r="G85" s="408">
        <v>3.9999999999995595E-3</v>
      </c>
    </row>
    <row r="86" spans="1:7">
      <c r="A86" s="1077"/>
      <c r="B86" s="1076"/>
      <c r="C86" t="s">
        <v>5736</v>
      </c>
      <c r="D86"/>
      <c r="E86" s="407">
        <v>8.8600000000000012</v>
      </c>
      <c r="F86" s="407">
        <v>8.8629999999999995</v>
      </c>
      <c r="G86" s="407">
        <v>2.9999999999983373E-3</v>
      </c>
    </row>
    <row r="87" spans="1:7">
      <c r="A87" s="1077"/>
      <c r="B87" s="1076"/>
      <c r="C87" t="s">
        <v>5737</v>
      </c>
      <c r="D87"/>
      <c r="E87" s="407">
        <v>8.8600000000000012</v>
      </c>
      <c r="F87" s="407">
        <v>8.8640000000000008</v>
      </c>
      <c r="G87" s="407">
        <v>3.9999999999995595E-3</v>
      </c>
    </row>
    <row r="88" spans="1:7">
      <c r="A88" s="1077"/>
      <c r="B88" s="1076"/>
      <c r="C88" t="s">
        <v>5738</v>
      </c>
      <c r="D88" t="s">
        <v>3514</v>
      </c>
      <c r="E88" s="407"/>
      <c r="F88" s="407"/>
      <c r="G88" s="407"/>
    </row>
    <row r="89" spans="1:7">
      <c r="A89" s="1077"/>
      <c r="B89" s="1076"/>
      <c r="C89" t="s">
        <v>5739</v>
      </c>
      <c r="D89"/>
      <c r="E89" s="407">
        <v>0.7</v>
      </c>
      <c r="F89" s="407">
        <v>0.71</v>
      </c>
      <c r="G89" s="407">
        <v>1.0000000000000009E-2</v>
      </c>
    </row>
    <row r="90" spans="1:7">
      <c r="A90" s="1077"/>
      <c r="B90" s="1076"/>
      <c r="C90" t="s">
        <v>5740</v>
      </c>
      <c r="D90"/>
      <c r="E90" s="407">
        <v>0.12</v>
      </c>
      <c r="F90" s="407">
        <v>0.13</v>
      </c>
      <c r="G90" s="407">
        <v>1.0000000000000009E-2</v>
      </c>
    </row>
    <row r="91" spans="1:7">
      <c r="A91" s="1077"/>
      <c r="B91" s="1076"/>
      <c r="C91" t="s">
        <v>5741</v>
      </c>
      <c r="D91" s="1076"/>
      <c r="E91" s="408">
        <v>0.12</v>
      </c>
      <c r="F91" s="408">
        <v>0.12</v>
      </c>
      <c r="G91" s="408">
        <v>0</v>
      </c>
    </row>
    <row r="92" spans="1:7">
      <c r="A92" s="1077"/>
      <c r="B92" s="1076">
        <f t="shared" ref="B92" si="5">B83+1</f>
        <v>4</v>
      </c>
      <c r="C92" t="s">
        <v>5750</v>
      </c>
      <c r="D92" s="1076"/>
    </row>
    <row r="93" spans="1:7">
      <c r="A93" s="1077"/>
      <c r="B93" s="1076"/>
      <c r="C93" t="s">
        <v>5734</v>
      </c>
      <c r="D93" s="1076" t="s">
        <v>3514</v>
      </c>
    </row>
    <row r="94" spans="1:7">
      <c r="A94" s="1077"/>
      <c r="B94" s="1076"/>
      <c r="C94" t="s">
        <v>5735</v>
      </c>
      <c r="D94" s="1076"/>
      <c r="E94" s="408">
        <v>8.0500000000000007</v>
      </c>
      <c r="F94" s="408">
        <v>8.0519999999999996</v>
      </c>
      <c r="G94" s="408">
        <v>1.9999999999988916E-3</v>
      </c>
    </row>
    <row r="95" spans="1:7">
      <c r="A95" s="1077"/>
      <c r="B95" s="1076"/>
      <c r="C95" t="s">
        <v>5736</v>
      </c>
      <c r="D95" s="1076"/>
      <c r="E95" s="408">
        <v>8.8500000000000014</v>
      </c>
      <c r="F95" s="408">
        <v>8.85</v>
      </c>
      <c r="G95" s="408">
        <v>0</v>
      </c>
    </row>
    <row r="96" spans="1:7">
      <c r="A96" s="1077"/>
      <c r="B96" s="1076"/>
      <c r="C96" t="s">
        <v>5737</v>
      </c>
      <c r="D96"/>
      <c r="E96" s="407">
        <v>8.8500000000000014</v>
      </c>
      <c r="F96" s="407">
        <v>8.8529999999999998</v>
      </c>
      <c r="G96" s="407">
        <v>2.9999999999983373E-3</v>
      </c>
    </row>
    <row r="97" spans="1:8">
      <c r="A97" s="1077"/>
      <c r="B97" s="1076"/>
      <c r="C97" t="s">
        <v>5738</v>
      </c>
      <c r="D97" t="s">
        <v>3514</v>
      </c>
      <c r="E97" s="407"/>
      <c r="F97" s="407"/>
      <c r="G97" s="407"/>
    </row>
    <row r="98" spans="1:8">
      <c r="A98" s="1077"/>
      <c r="B98" s="1076"/>
      <c r="C98" t="s">
        <v>5739</v>
      </c>
      <c r="D98"/>
      <c r="E98" s="407">
        <v>0.7</v>
      </c>
      <c r="F98" s="407">
        <v>0.71</v>
      </c>
      <c r="G98" s="407">
        <v>1.0000000000000009E-2</v>
      </c>
    </row>
    <row r="99" spans="1:8">
      <c r="A99" s="1077"/>
      <c r="B99" s="1076"/>
      <c r="C99" t="s">
        <v>5740</v>
      </c>
      <c r="D99"/>
      <c r="E99" s="407">
        <v>0.12</v>
      </c>
      <c r="F99" s="407">
        <v>0.13</v>
      </c>
      <c r="G99" s="407">
        <v>1.0000000000000009E-2</v>
      </c>
    </row>
    <row r="100" spans="1:8">
      <c r="A100" s="1077"/>
      <c r="B100" s="1076"/>
      <c r="C100" t="s">
        <v>5741</v>
      </c>
      <c r="D100"/>
      <c r="E100" s="407">
        <v>0.12</v>
      </c>
      <c r="F100" s="407">
        <v>0.12</v>
      </c>
      <c r="G100" s="407">
        <v>0</v>
      </c>
    </row>
    <row r="101" spans="1:8">
      <c r="A101" s="1077"/>
      <c r="B101" s="1076">
        <f t="shared" ref="B101" si="6">B92+1</f>
        <v>5</v>
      </c>
      <c r="C101" t="s">
        <v>5751</v>
      </c>
      <c r="D101" s="1076"/>
    </row>
    <row r="102" spans="1:8">
      <c r="A102" s="1077"/>
      <c r="B102" s="1076"/>
      <c r="C102" t="s">
        <v>5734</v>
      </c>
      <c r="D102" s="1076" t="s">
        <v>3514</v>
      </c>
    </row>
    <row r="103" spans="1:8">
      <c r="A103" s="1077"/>
      <c r="B103" s="1076"/>
      <c r="C103" t="s">
        <v>5735</v>
      </c>
      <c r="D103" s="1076"/>
      <c r="E103" s="408">
        <v>8.0399999999999991</v>
      </c>
      <c r="F103" s="408">
        <v>8.0429999999999993</v>
      </c>
      <c r="G103" s="408">
        <v>3.0000000000001137E-3</v>
      </c>
    </row>
    <row r="104" spans="1:8">
      <c r="A104" s="1077"/>
      <c r="B104" s="1076"/>
      <c r="C104" t="s">
        <v>5736</v>
      </c>
      <c r="D104" s="1076"/>
      <c r="E104" s="408">
        <v>8.84</v>
      </c>
      <c r="F104" s="408">
        <v>8.8450000000000006</v>
      </c>
      <c r="G104" s="408">
        <v>5.0000000000007816E-3</v>
      </c>
    </row>
    <row r="105" spans="1:8">
      <c r="A105" s="1077"/>
      <c r="B105" s="1076"/>
      <c r="C105" t="s">
        <v>5737</v>
      </c>
      <c r="D105" s="1076"/>
      <c r="E105" s="408">
        <v>8.84</v>
      </c>
      <c r="F105" s="408">
        <v>8.8439999999999994</v>
      </c>
      <c r="G105" s="408">
        <v>3.9999999999995595E-3</v>
      </c>
    </row>
    <row r="106" spans="1:8">
      <c r="A106" s="1077"/>
      <c r="B106" s="1076"/>
      <c r="C106" t="s">
        <v>5738</v>
      </c>
      <c r="D106" t="s">
        <v>3514</v>
      </c>
      <c r="E106" s="407"/>
      <c r="F106" s="407"/>
      <c r="G106" s="407"/>
    </row>
    <row r="107" spans="1:8">
      <c r="A107" s="1077"/>
      <c r="B107" s="1076"/>
      <c r="C107" t="s">
        <v>5739</v>
      </c>
      <c r="D107"/>
      <c r="E107" s="407">
        <v>0.7</v>
      </c>
      <c r="F107" s="407">
        <v>0.71</v>
      </c>
      <c r="G107" s="407">
        <v>1.0000000000000009E-2</v>
      </c>
    </row>
    <row r="108" spans="1:8">
      <c r="A108" s="1077"/>
      <c r="B108" s="1076"/>
      <c r="C108" t="s">
        <v>5740</v>
      </c>
      <c r="D108"/>
      <c r="E108" s="407">
        <v>0.12</v>
      </c>
      <c r="F108" s="407">
        <v>0.13</v>
      </c>
      <c r="G108" s="407">
        <v>1.0000000000000009E-2</v>
      </c>
    </row>
    <row r="109" spans="1:8">
      <c r="A109" s="1077"/>
      <c r="B109" s="1076"/>
      <c r="C109" t="s">
        <v>5741</v>
      </c>
      <c r="D109"/>
      <c r="E109" s="407">
        <v>0.12</v>
      </c>
      <c r="F109" s="407">
        <v>0.12</v>
      </c>
      <c r="G109" s="407">
        <v>0</v>
      </c>
    </row>
    <row r="110" spans="1:8">
      <c r="A110" s="1077" t="s">
        <v>5760</v>
      </c>
      <c r="B110" s="1076">
        <v>1</v>
      </c>
      <c r="C110" t="s">
        <v>5752</v>
      </c>
      <c r="D110"/>
      <c r="E110" s="407"/>
      <c r="F110" s="407"/>
      <c r="G110" s="407"/>
      <c r="H110" t="s">
        <v>5864</v>
      </c>
    </row>
    <row r="111" spans="1:8">
      <c r="A111" s="1077"/>
      <c r="B111" s="1076"/>
      <c r="C111" t="s">
        <v>5734</v>
      </c>
      <c r="D111" s="1076" t="s">
        <v>3514</v>
      </c>
    </row>
    <row r="112" spans="1:8">
      <c r="A112" s="1077"/>
      <c r="B112" s="1076"/>
      <c r="C112" t="s">
        <v>5735</v>
      </c>
      <c r="D112" s="1076"/>
      <c r="E112" s="408">
        <v>8.0299999999999994</v>
      </c>
      <c r="F112" s="408">
        <v>8.0350000000000001</v>
      </c>
      <c r="G112" s="408">
        <v>5.0000000000007816E-3</v>
      </c>
    </row>
    <row r="113" spans="1:7">
      <c r="A113" s="1077"/>
      <c r="B113" s="1076"/>
      <c r="C113" t="s">
        <v>5736</v>
      </c>
      <c r="D113" s="1076"/>
      <c r="E113" s="408">
        <v>8.83</v>
      </c>
      <c r="F113" s="408">
        <v>8.8330000000000002</v>
      </c>
      <c r="G113" s="408">
        <v>3.0000000000001137E-3</v>
      </c>
    </row>
    <row r="114" spans="1:7">
      <c r="A114" s="1077"/>
      <c r="B114" s="1076"/>
      <c r="C114" t="s">
        <v>5737</v>
      </c>
      <c r="D114" s="1076"/>
      <c r="E114" s="408">
        <v>8.83</v>
      </c>
      <c r="F114" s="408">
        <v>8.8330000000000002</v>
      </c>
      <c r="G114" s="408">
        <v>3.0000000000001137E-3</v>
      </c>
    </row>
    <row r="115" spans="1:7">
      <c r="A115" s="1077"/>
      <c r="B115" s="1076"/>
      <c r="C115" t="s">
        <v>5738</v>
      </c>
      <c r="D115" s="1076" t="s">
        <v>3514</v>
      </c>
    </row>
    <row r="116" spans="1:7">
      <c r="A116" s="1077"/>
      <c r="B116" s="1076"/>
      <c r="C116" t="s">
        <v>5739</v>
      </c>
      <c r="D116" s="1076"/>
      <c r="E116" s="408">
        <v>0.7</v>
      </c>
      <c r="F116" s="408">
        <v>0.7</v>
      </c>
      <c r="G116" s="408">
        <v>0</v>
      </c>
    </row>
    <row r="117" spans="1:7">
      <c r="A117" s="1077"/>
      <c r="B117" s="1076"/>
      <c r="C117" t="s">
        <v>5740</v>
      </c>
      <c r="D117" s="1076"/>
      <c r="E117" s="408">
        <v>0.12</v>
      </c>
      <c r="F117" s="408">
        <v>0.13</v>
      </c>
      <c r="G117" s="408">
        <v>1.0000000000000009E-2</v>
      </c>
    </row>
    <row r="118" spans="1:7">
      <c r="A118" s="1077"/>
      <c r="B118" s="1076"/>
      <c r="C118" t="s">
        <v>5741</v>
      </c>
      <c r="D118" s="1076"/>
      <c r="E118" s="408">
        <v>0.12</v>
      </c>
      <c r="F118" s="408">
        <v>0.12</v>
      </c>
      <c r="G118" s="408">
        <v>0</v>
      </c>
    </row>
    <row r="119" spans="1:7">
      <c r="A119" s="1077"/>
      <c r="B119" s="1076">
        <f>B110+1</f>
        <v>2</v>
      </c>
      <c r="C119" t="s">
        <v>5753</v>
      </c>
      <c r="D119" s="1076"/>
    </row>
    <row r="120" spans="1:7">
      <c r="A120" s="1077"/>
      <c r="B120" s="1076"/>
      <c r="C120" t="s">
        <v>5734</v>
      </c>
      <c r="D120" s="1076" t="s">
        <v>3514</v>
      </c>
    </row>
    <row r="121" spans="1:7">
      <c r="A121" s="1077"/>
      <c r="B121" s="1076"/>
      <c r="C121" t="s">
        <v>5735</v>
      </c>
      <c r="D121" s="1076"/>
      <c r="E121" s="408">
        <v>8.02</v>
      </c>
      <c r="F121" s="408">
        <v>8.0220000000000002</v>
      </c>
      <c r="G121" s="408">
        <v>2.0000000000006679E-3</v>
      </c>
    </row>
    <row r="122" spans="1:7">
      <c r="A122" s="1077"/>
      <c r="B122" s="1076"/>
      <c r="C122" t="s">
        <v>5736</v>
      </c>
      <c r="D122" s="1076"/>
      <c r="E122" s="408">
        <v>8.82</v>
      </c>
      <c r="F122" s="408">
        <v>8.8239999999999998</v>
      </c>
      <c r="G122" s="408">
        <v>3.9999999999995595E-3</v>
      </c>
    </row>
    <row r="123" spans="1:7">
      <c r="A123" s="1077"/>
      <c r="B123" s="1076"/>
      <c r="C123" t="s">
        <v>5737</v>
      </c>
      <c r="D123" s="1076"/>
      <c r="E123" s="408">
        <v>8.82</v>
      </c>
      <c r="F123" s="408">
        <v>8.8249999999999993</v>
      </c>
      <c r="G123" s="408">
        <v>4.9999999999990052E-3</v>
      </c>
    </row>
    <row r="124" spans="1:7">
      <c r="A124" s="1077"/>
      <c r="B124" s="1076"/>
      <c r="C124" t="s">
        <v>5738</v>
      </c>
      <c r="D124" s="1076" t="s">
        <v>3514</v>
      </c>
    </row>
    <row r="125" spans="1:7">
      <c r="A125" s="1076"/>
      <c r="B125" s="1076"/>
      <c r="C125" t="s">
        <v>5739</v>
      </c>
      <c r="D125" s="1076"/>
      <c r="E125">
        <v>0.7</v>
      </c>
      <c r="F125">
        <v>0.71</v>
      </c>
      <c r="G125">
        <v>1.0000000000000009E-2</v>
      </c>
    </row>
    <row r="126" spans="1:7">
      <c r="A126" s="1076"/>
      <c r="B126" s="1076"/>
      <c r="C126" t="s">
        <v>5740</v>
      </c>
      <c r="D126" s="1076"/>
      <c r="E126">
        <v>0.12</v>
      </c>
      <c r="F126">
        <v>0.13</v>
      </c>
      <c r="G126">
        <v>1.0000000000000009E-2</v>
      </c>
    </row>
    <row r="127" spans="1:7">
      <c r="A127" s="1076"/>
      <c r="B127" s="1076"/>
      <c r="C127" t="s">
        <v>5741</v>
      </c>
      <c r="D127" s="1076"/>
      <c r="E127">
        <v>0.12</v>
      </c>
      <c r="F127">
        <v>0.13</v>
      </c>
      <c r="G127">
        <v>1.0000000000000009E-2</v>
      </c>
    </row>
    <row r="128" spans="1:7">
      <c r="A128" s="1076"/>
      <c r="B128" s="1076">
        <f t="shared" ref="B128" si="7">B119+1</f>
        <v>3</v>
      </c>
      <c r="C128" t="s">
        <v>5754</v>
      </c>
      <c r="D128" s="1076"/>
      <c r="E128"/>
      <c r="F128"/>
      <c r="G128"/>
    </row>
    <row r="129" spans="1:7">
      <c r="A129" s="1076"/>
      <c r="B129" s="1076"/>
      <c r="C129" t="s">
        <v>5734</v>
      </c>
      <c r="D129" s="1076" t="s">
        <v>3514</v>
      </c>
      <c r="E129"/>
      <c r="F129"/>
      <c r="G129"/>
    </row>
    <row r="130" spans="1:7">
      <c r="A130" s="1076"/>
      <c r="B130" s="1076"/>
      <c r="C130" t="s">
        <v>5735</v>
      </c>
      <c r="D130" s="1076"/>
      <c r="E130">
        <v>8</v>
      </c>
      <c r="F130">
        <v>8.0039999999999996</v>
      </c>
      <c r="G130">
        <v>3.9999999999995595E-3</v>
      </c>
    </row>
    <row r="131" spans="1:7">
      <c r="A131" s="1076"/>
      <c r="B131" s="1076"/>
      <c r="C131" t="s">
        <v>5736</v>
      </c>
      <c r="D131" s="1076"/>
      <c r="E131">
        <v>8.8000000000000007</v>
      </c>
      <c r="F131">
        <v>8.8000000000000007</v>
      </c>
      <c r="G131">
        <v>0</v>
      </c>
    </row>
    <row r="132" spans="1:7">
      <c r="A132" s="1076"/>
      <c r="B132" s="1076"/>
      <c r="C132" t="s">
        <v>5737</v>
      </c>
      <c r="D132" s="1076"/>
      <c r="E132">
        <v>8.8000000000000007</v>
      </c>
      <c r="F132">
        <v>8.8040000000000003</v>
      </c>
      <c r="G132">
        <v>3.9999999999995595E-3</v>
      </c>
    </row>
    <row r="133" spans="1:7">
      <c r="A133" s="1076"/>
      <c r="B133" s="1076"/>
      <c r="C133" t="s">
        <v>5738</v>
      </c>
      <c r="D133" s="1076" t="s">
        <v>3514</v>
      </c>
      <c r="E133"/>
      <c r="F133"/>
      <c r="G133"/>
    </row>
    <row r="134" spans="1:7">
      <c r="A134" s="1076"/>
      <c r="B134" s="1076"/>
      <c r="C134" t="s">
        <v>5739</v>
      </c>
      <c r="D134" s="1076"/>
      <c r="E134">
        <v>0.7</v>
      </c>
      <c r="F134">
        <v>0.71</v>
      </c>
      <c r="G134">
        <v>1.0000000000000009E-2</v>
      </c>
    </row>
    <row r="135" spans="1:7">
      <c r="A135" s="1076"/>
      <c r="B135" s="1076"/>
      <c r="C135" t="s">
        <v>5740</v>
      </c>
      <c r="D135" s="1076"/>
      <c r="E135">
        <v>0.12</v>
      </c>
      <c r="F135">
        <v>0.13</v>
      </c>
      <c r="G135">
        <v>1.0000000000000009E-2</v>
      </c>
    </row>
    <row r="136" spans="1:7">
      <c r="A136" s="1076"/>
      <c r="B136" s="1076"/>
      <c r="C136" t="s">
        <v>5741</v>
      </c>
      <c r="D136" s="1076"/>
      <c r="E136">
        <v>0.12</v>
      </c>
      <c r="F136">
        <v>0.12</v>
      </c>
      <c r="G136">
        <v>0</v>
      </c>
    </row>
    <row r="137" spans="1:7">
      <c r="A137" s="1076"/>
      <c r="B137" s="1076">
        <f t="shared" ref="B137" si="8">B128+1</f>
        <v>4</v>
      </c>
      <c r="C137" t="s">
        <v>5755</v>
      </c>
      <c r="D137" s="1076"/>
      <c r="E137"/>
      <c r="F137"/>
      <c r="G137"/>
    </row>
    <row r="138" spans="1:7">
      <c r="A138" s="1076"/>
      <c r="B138" s="1076"/>
      <c r="C138" t="s">
        <v>5734</v>
      </c>
      <c r="D138" s="1076" t="s">
        <v>3514</v>
      </c>
      <c r="E138"/>
      <c r="F138"/>
      <c r="G138"/>
    </row>
    <row r="139" spans="1:7">
      <c r="A139" s="1076"/>
      <c r="B139" s="1076"/>
      <c r="C139" t="s">
        <v>5735</v>
      </c>
      <c r="D139" s="1076"/>
      <c r="E139">
        <v>7.99</v>
      </c>
      <c r="F139">
        <v>7.99</v>
      </c>
      <c r="G139">
        <v>0</v>
      </c>
    </row>
    <row r="140" spans="1:7">
      <c r="A140" s="1076"/>
      <c r="B140" s="1076"/>
      <c r="C140" t="s">
        <v>5736</v>
      </c>
      <c r="D140" s="1076"/>
      <c r="E140">
        <v>8.7900000000000009</v>
      </c>
      <c r="F140">
        <v>8.7919999999999998</v>
      </c>
      <c r="G140">
        <v>1.9999999999988916E-3</v>
      </c>
    </row>
    <row r="141" spans="1:7">
      <c r="A141" s="1076"/>
      <c r="B141" s="1076"/>
      <c r="C141" t="s">
        <v>5737</v>
      </c>
      <c r="D141" s="1076"/>
      <c r="E141">
        <v>8.7900000000000009</v>
      </c>
      <c r="F141">
        <v>8.7940000000000005</v>
      </c>
      <c r="G141">
        <v>3.9999999999995595E-3</v>
      </c>
    </row>
    <row r="142" spans="1:7">
      <c r="A142" s="1076"/>
      <c r="B142" s="1076"/>
      <c r="C142" t="s">
        <v>5738</v>
      </c>
      <c r="D142" s="1076" t="s">
        <v>3514</v>
      </c>
      <c r="E142"/>
      <c r="F142"/>
      <c r="G142"/>
    </row>
    <row r="143" spans="1:7">
      <c r="A143" s="1076"/>
      <c r="B143" s="1076"/>
      <c r="C143" t="s">
        <v>5739</v>
      </c>
      <c r="D143" s="1076"/>
      <c r="E143">
        <v>0.7</v>
      </c>
      <c r="F143">
        <v>0.71</v>
      </c>
      <c r="G143">
        <v>1.0000000000000009E-2</v>
      </c>
    </row>
    <row r="144" spans="1:7">
      <c r="A144" s="1076"/>
      <c r="B144" s="1076"/>
      <c r="C144" t="s">
        <v>5740</v>
      </c>
      <c r="D144" s="1076"/>
      <c r="E144">
        <v>0.12</v>
      </c>
      <c r="F144">
        <v>0.13</v>
      </c>
      <c r="G144">
        <v>1.0000000000000009E-2</v>
      </c>
    </row>
    <row r="145" spans="1:7">
      <c r="A145" s="1076"/>
      <c r="B145" s="1076"/>
      <c r="C145" t="s">
        <v>5741</v>
      </c>
      <c r="D145" s="1076"/>
      <c r="E145">
        <v>0.12</v>
      </c>
      <c r="F145">
        <v>0.13</v>
      </c>
      <c r="G145">
        <v>1.0000000000000009E-2</v>
      </c>
    </row>
    <row r="146" spans="1:7">
      <c r="A146" s="1076"/>
      <c r="B146" s="1076">
        <f t="shared" ref="B146" si="9">B137+1</f>
        <v>5</v>
      </c>
      <c r="C146" t="s">
        <v>5756</v>
      </c>
      <c r="D146" s="1076"/>
      <c r="E146"/>
      <c r="F146"/>
      <c r="G146"/>
    </row>
    <row r="147" spans="1:7">
      <c r="A147" s="1076"/>
      <c r="B147" s="1076"/>
      <c r="C147" t="s">
        <v>5734</v>
      </c>
      <c r="D147" s="1076" t="s">
        <v>3514</v>
      </c>
      <c r="E147"/>
      <c r="F147"/>
      <c r="G147"/>
    </row>
    <row r="148" spans="1:7">
      <c r="A148" s="1076"/>
      <c r="B148" s="1076"/>
      <c r="C148" t="s">
        <v>5735</v>
      </c>
      <c r="D148" s="1076"/>
      <c r="E148">
        <v>7.99</v>
      </c>
      <c r="F148">
        <v>7.9909999999999997</v>
      </c>
      <c r="G148">
        <v>9.9999999999944578E-4</v>
      </c>
    </row>
    <row r="149" spans="1:7">
      <c r="A149" s="1076"/>
      <c r="B149" s="1076"/>
      <c r="C149" t="s">
        <v>5736</v>
      </c>
      <c r="D149" s="1076"/>
      <c r="E149">
        <v>8.7900000000000009</v>
      </c>
      <c r="F149">
        <v>8.7899999999999991</v>
      </c>
      <c r="G149">
        <v>0</v>
      </c>
    </row>
    <row r="150" spans="1:7">
      <c r="A150" s="1076"/>
      <c r="B150" s="1076"/>
      <c r="C150" t="s">
        <v>5737</v>
      </c>
      <c r="D150" s="1076"/>
      <c r="E150">
        <v>8.7900000000000009</v>
      </c>
      <c r="F150">
        <v>8.7940000000000005</v>
      </c>
      <c r="G150">
        <v>3.9999999999995595E-3</v>
      </c>
    </row>
    <row r="151" spans="1:7">
      <c r="A151" s="1076"/>
      <c r="B151" s="1076"/>
      <c r="C151" t="s">
        <v>5738</v>
      </c>
      <c r="D151" s="1076" t="s">
        <v>3514</v>
      </c>
      <c r="E151"/>
      <c r="F151"/>
      <c r="G151"/>
    </row>
    <row r="152" spans="1:7">
      <c r="A152" s="1076"/>
      <c r="B152" s="1076"/>
      <c r="C152" t="s">
        <v>5739</v>
      </c>
      <c r="D152" s="1076"/>
      <c r="E152">
        <v>0.7</v>
      </c>
      <c r="F152">
        <v>0.72</v>
      </c>
      <c r="G152">
        <v>2.0000000000000018E-2</v>
      </c>
    </row>
    <row r="153" spans="1:7">
      <c r="A153" s="1076"/>
      <c r="B153" s="1076"/>
      <c r="C153" t="s">
        <v>5740</v>
      </c>
      <c r="D153" s="1076"/>
      <c r="E153">
        <v>0.12</v>
      </c>
      <c r="F153">
        <v>0.14000000000000001</v>
      </c>
      <c r="G153">
        <v>2.0000000000000018E-2</v>
      </c>
    </row>
    <row r="154" spans="1:7">
      <c r="A154" s="1076"/>
      <c r="B154" s="1076"/>
      <c r="C154" t="s">
        <v>5741</v>
      </c>
      <c r="D154" s="1076"/>
      <c r="E154">
        <v>0.12</v>
      </c>
      <c r="F154">
        <v>0.14000000000000001</v>
      </c>
      <c r="G154">
        <v>2.0000000000000018E-2</v>
      </c>
    </row>
    <row r="155" spans="1:7">
      <c r="A155" s="1076"/>
      <c r="B155" s="1076">
        <f t="shared" ref="B155" si="10">B146+1</f>
        <v>6</v>
      </c>
      <c r="C155" t="s">
        <v>5757</v>
      </c>
      <c r="D155" s="1076"/>
      <c r="E155"/>
      <c r="F155"/>
      <c r="G155"/>
    </row>
    <row r="156" spans="1:7">
      <c r="A156" s="1076"/>
      <c r="B156" s="1076"/>
      <c r="C156" t="s">
        <v>5734</v>
      </c>
      <c r="D156" s="1076" t="s">
        <v>3514</v>
      </c>
      <c r="E156"/>
      <c r="F156"/>
      <c r="G156"/>
    </row>
    <row r="157" spans="1:7">
      <c r="A157" s="1076"/>
      <c r="B157" s="1076"/>
      <c r="C157" t="s">
        <v>5735</v>
      </c>
      <c r="D157" s="1076"/>
      <c r="E157">
        <v>7.98</v>
      </c>
      <c r="F157">
        <v>7.9820000000000002</v>
      </c>
      <c r="G157">
        <v>1.9999999999997797E-3</v>
      </c>
    </row>
    <row r="158" spans="1:7">
      <c r="A158" s="1076"/>
      <c r="B158" s="1076"/>
      <c r="C158" t="s">
        <v>5736</v>
      </c>
      <c r="D158" s="1076"/>
      <c r="E158">
        <v>8.7800000000000011</v>
      </c>
      <c r="F158">
        <v>8.7810000000000006</v>
      </c>
      <c r="G158">
        <v>9.9999999999944578E-4</v>
      </c>
    </row>
    <row r="159" spans="1:7">
      <c r="A159" s="1076"/>
      <c r="B159" s="1076"/>
      <c r="C159" t="s">
        <v>5737</v>
      </c>
      <c r="D159" s="1076"/>
      <c r="E159">
        <v>8.7800000000000011</v>
      </c>
      <c r="F159">
        <v>8.7829999999999995</v>
      </c>
      <c r="G159">
        <v>2.9999999999983373E-3</v>
      </c>
    </row>
    <row r="160" spans="1:7">
      <c r="A160" s="1076"/>
      <c r="B160" s="1076"/>
      <c r="C160" t="s">
        <v>5738</v>
      </c>
      <c r="D160" s="1076" t="s">
        <v>3514</v>
      </c>
      <c r="E160"/>
      <c r="F160"/>
      <c r="G160"/>
    </row>
    <row r="161" spans="1:7">
      <c r="A161" s="1076"/>
      <c r="B161" s="1076"/>
      <c r="C161" t="s">
        <v>5739</v>
      </c>
      <c r="D161" s="1076"/>
      <c r="E161">
        <v>0.7</v>
      </c>
      <c r="F161">
        <v>0.7</v>
      </c>
      <c r="G161">
        <v>0</v>
      </c>
    </row>
    <row r="162" spans="1:7">
      <c r="A162" s="1076"/>
      <c r="B162" s="1076"/>
      <c r="C162" t="s">
        <v>5740</v>
      </c>
      <c r="D162" s="1076"/>
      <c r="E162">
        <v>0.12</v>
      </c>
      <c r="F162">
        <v>0.13</v>
      </c>
      <c r="G162">
        <v>1.0000000000000009E-2</v>
      </c>
    </row>
    <row r="163" spans="1:7">
      <c r="A163" s="1076"/>
      <c r="B163" s="1076"/>
      <c r="C163" t="s">
        <v>5741</v>
      </c>
      <c r="D163" s="1076"/>
      <c r="E163">
        <v>0.12</v>
      </c>
      <c r="F163">
        <v>0.12</v>
      </c>
      <c r="G163">
        <v>0</v>
      </c>
    </row>
    <row r="164" spans="1:7">
      <c r="A164" s="1076"/>
      <c r="B164" s="1076"/>
      <c r="D164" s="1076"/>
      <c r="E164"/>
      <c r="F164"/>
      <c r="G164"/>
    </row>
  </sheetData>
  <mergeCells count="5">
    <mergeCell ref="A1:H2"/>
    <mergeCell ref="A3:H3"/>
    <mergeCell ref="A4:H4"/>
    <mergeCell ref="A5:B5"/>
    <mergeCell ref="C5:H5"/>
  </mergeCells>
  <pageMargins left="0.7" right="0.7" top="0.75" bottom="0.75" header="0.3" footer="0.3"/>
  <drawing r:id="rId1"/>
  <legacyDrawing r:id="rId2"/>
  <controls>
    <mc:AlternateContent xmlns:mc="http://schemas.openxmlformats.org/markup-compatibility/2006">
      <mc:Choice Requires="x14">
        <control shapeId="566273" r:id="rId3" name="CommandButton1">
          <controlPr defaultSize="0" autoLine="0" autoPict="0" r:id="rId4">
            <anchor moveWithCells="1">
              <from>
                <xdr:col>0</xdr:col>
                <xdr:colOff>38100</xdr:colOff>
                <xdr:row>4</xdr:row>
                <xdr:rowOff>19050</xdr:rowOff>
              </from>
              <to>
                <xdr:col>1</xdr:col>
                <xdr:colOff>438150</xdr:colOff>
                <xdr:row>4</xdr:row>
                <xdr:rowOff>285750</xdr:rowOff>
              </to>
            </anchor>
          </controlPr>
        </control>
      </mc:Choice>
      <mc:Fallback>
        <control shapeId="566273" r:id="rId3"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E53"/>
  <sheetViews>
    <sheetView showGridLines="0" zoomScaleNormal="100" workbookViewId="0">
      <pane xSplit="3" ySplit="2" topLeftCell="D40" activePane="bottomRight" state="frozen"/>
      <selection activeCell="C2312" sqref="C2312"/>
      <selection pane="topRight" activeCell="C2312" sqref="C2312"/>
      <selection pane="bottomLeft" activeCell="C2312" sqref="C2312"/>
      <selection pane="bottomRight" activeCell="C24" sqref="C24"/>
    </sheetView>
  </sheetViews>
  <sheetFormatPr defaultColWidth="0" defaultRowHeight="16.5"/>
  <cols>
    <col min="1" max="1" width="16.33203125" style="37" customWidth="1"/>
    <col min="2" max="2" width="79" style="30" customWidth="1"/>
    <col min="3" max="3" width="40.109375" style="92" customWidth="1"/>
    <col min="4" max="16384" width="8.88671875" style="30" hidden="1"/>
  </cols>
  <sheetData>
    <row r="1" spans="1:3" ht="25.5">
      <c r="A1" s="1316" t="s">
        <v>25</v>
      </c>
      <c r="B1" s="1316"/>
      <c r="C1" s="1316"/>
    </row>
    <row r="2" spans="1:3">
      <c r="A2" s="36" t="s">
        <v>22</v>
      </c>
      <c r="B2" s="36" t="s">
        <v>81</v>
      </c>
      <c r="C2" s="36" t="s">
        <v>315</v>
      </c>
    </row>
    <row r="3" spans="1:3" s="192" customFormat="1" ht="33">
      <c r="A3" s="190" t="s">
        <v>83</v>
      </c>
      <c r="B3" s="191" t="s">
        <v>84</v>
      </c>
      <c r="C3" s="191" t="s">
        <v>345</v>
      </c>
    </row>
    <row r="4" spans="1:3" s="192" customFormat="1">
      <c r="A4" s="190" t="s">
        <v>85</v>
      </c>
      <c r="B4" s="191" t="s">
        <v>86</v>
      </c>
      <c r="C4" s="191"/>
    </row>
    <row r="5" spans="1:3" s="89" customFormat="1">
      <c r="A5" s="829" t="s">
        <v>3844</v>
      </c>
      <c r="B5" s="830" t="s">
        <v>3845</v>
      </c>
      <c r="C5" s="830"/>
    </row>
    <row r="6" spans="1:3" s="192" customFormat="1">
      <c r="A6" s="190" t="s">
        <v>90</v>
      </c>
      <c r="B6" s="191" t="s">
        <v>69</v>
      </c>
      <c r="C6" s="191" t="s">
        <v>316</v>
      </c>
    </row>
    <row r="7" spans="1:3" s="192" customFormat="1">
      <c r="A7" s="190" t="s">
        <v>212</v>
      </c>
      <c r="B7" s="191" t="s">
        <v>213</v>
      </c>
      <c r="C7" s="191" t="s">
        <v>317</v>
      </c>
    </row>
    <row r="8" spans="1:3" s="192" customFormat="1">
      <c r="A8" s="190" t="s">
        <v>88</v>
      </c>
      <c r="B8" s="191" t="s">
        <v>89</v>
      </c>
      <c r="C8" s="191" t="s">
        <v>317</v>
      </c>
    </row>
    <row r="9" spans="1:3" s="192" customFormat="1">
      <c r="A9" s="190" t="s">
        <v>214</v>
      </c>
      <c r="B9" s="191" t="s">
        <v>215</v>
      </c>
      <c r="C9" s="191" t="s">
        <v>317</v>
      </c>
    </row>
    <row r="10" spans="1:3" s="192" customFormat="1">
      <c r="A10" s="190" t="s">
        <v>111</v>
      </c>
      <c r="B10" s="191" t="s">
        <v>73</v>
      </c>
      <c r="C10" s="191" t="s">
        <v>318</v>
      </c>
    </row>
    <row r="11" spans="1:3" s="192" customFormat="1">
      <c r="A11" s="190" t="s">
        <v>128</v>
      </c>
      <c r="B11" s="191" t="s">
        <v>75</v>
      </c>
      <c r="C11" s="191" t="s">
        <v>325</v>
      </c>
    </row>
    <row r="12" spans="1:3" s="192" customFormat="1">
      <c r="A12" s="190" t="s">
        <v>112</v>
      </c>
      <c r="B12" s="191" t="s">
        <v>113</v>
      </c>
      <c r="C12" s="191" t="s">
        <v>216</v>
      </c>
    </row>
    <row r="13" spans="1:3" s="192" customFormat="1" ht="33">
      <c r="A13" s="190" t="s">
        <v>114</v>
      </c>
      <c r="B13" s="191" t="s">
        <v>76</v>
      </c>
      <c r="C13" s="191" t="s">
        <v>216</v>
      </c>
    </row>
    <row r="14" spans="1:3" s="192" customFormat="1">
      <c r="A14" s="190" t="s">
        <v>115</v>
      </c>
      <c r="B14" s="191" t="s">
        <v>77</v>
      </c>
      <c r="C14" s="191" t="s">
        <v>216</v>
      </c>
    </row>
    <row r="15" spans="1:3" s="192" customFormat="1">
      <c r="A15" s="190" t="s">
        <v>126</v>
      </c>
      <c r="B15" s="191" t="s">
        <v>74</v>
      </c>
      <c r="C15" s="191" t="s">
        <v>216</v>
      </c>
    </row>
    <row r="16" spans="1:3" s="192" customFormat="1">
      <c r="A16" s="190" t="s">
        <v>91</v>
      </c>
      <c r="B16" s="191" t="s">
        <v>70</v>
      </c>
      <c r="C16" s="191" t="s">
        <v>319</v>
      </c>
    </row>
    <row r="17" spans="1:3" s="192" customFormat="1">
      <c r="A17" s="190" t="s">
        <v>92</v>
      </c>
      <c r="B17" s="191" t="s">
        <v>93</v>
      </c>
      <c r="C17" s="191" t="s">
        <v>319</v>
      </c>
    </row>
    <row r="18" spans="1:3" s="192" customFormat="1">
      <c r="A18" s="190" t="s">
        <v>94</v>
      </c>
      <c r="B18" s="191" t="s">
        <v>71</v>
      </c>
      <c r="C18" s="191" t="s">
        <v>319</v>
      </c>
    </row>
    <row r="19" spans="1:3" s="192" customFormat="1">
      <c r="A19" s="190" t="s">
        <v>95</v>
      </c>
      <c r="B19" s="191" t="s">
        <v>78</v>
      </c>
      <c r="C19" s="191" t="s">
        <v>320</v>
      </c>
    </row>
    <row r="20" spans="1:3" s="192" customFormat="1">
      <c r="A20" s="190" t="s">
        <v>104</v>
      </c>
      <c r="B20" s="191" t="s">
        <v>87</v>
      </c>
      <c r="C20" s="191" t="s">
        <v>321</v>
      </c>
    </row>
    <row r="21" spans="1:3" s="192" customFormat="1">
      <c r="A21" s="190" t="s">
        <v>96</v>
      </c>
      <c r="B21" s="191" t="s">
        <v>97</v>
      </c>
      <c r="C21" s="191" t="s">
        <v>321</v>
      </c>
    </row>
    <row r="22" spans="1:3" s="192" customFormat="1">
      <c r="A22" s="190" t="s">
        <v>98</v>
      </c>
      <c r="B22" s="191" t="s">
        <v>99</v>
      </c>
      <c r="C22" s="191" t="s">
        <v>321</v>
      </c>
    </row>
    <row r="23" spans="1:3" s="192" customFormat="1">
      <c r="A23" s="190" t="s">
        <v>100</v>
      </c>
      <c r="B23" s="191" t="s">
        <v>101</v>
      </c>
      <c r="C23" s="191" t="s">
        <v>321</v>
      </c>
    </row>
    <row r="24" spans="1:3" s="192" customFormat="1">
      <c r="A24" s="190" t="s">
        <v>5414</v>
      </c>
      <c r="B24" s="191" t="s">
        <v>5415</v>
      </c>
      <c r="C24" s="191" t="s">
        <v>321</v>
      </c>
    </row>
    <row r="25" spans="1:3" s="192" customFormat="1">
      <c r="A25" s="190" t="s">
        <v>102</v>
      </c>
      <c r="B25" s="191" t="s">
        <v>103</v>
      </c>
      <c r="C25" s="191" t="s">
        <v>322</v>
      </c>
    </row>
    <row r="26" spans="1:3" s="192" customFormat="1">
      <c r="A26" s="190" t="s">
        <v>105</v>
      </c>
      <c r="B26" s="191" t="s">
        <v>106</v>
      </c>
      <c r="C26" s="191" t="s">
        <v>322</v>
      </c>
    </row>
    <row r="27" spans="1:3" s="192" customFormat="1">
      <c r="A27" s="190" t="s">
        <v>107</v>
      </c>
      <c r="B27" s="191" t="s">
        <v>108</v>
      </c>
      <c r="C27" s="191" t="s">
        <v>322</v>
      </c>
    </row>
    <row r="28" spans="1:3" s="192" customFormat="1">
      <c r="A28" s="190" t="s">
        <v>109</v>
      </c>
      <c r="B28" s="191" t="s">
        <v>110</v>
      </c>
      <c r="C28" s="191" t="s">
        <v>322</v>
      </c>
    </row>
    <row r="29" spans="1:3" s="192" customFormat="1" ht="33">
      <c r="A29" s="190" t="s">
        <v>116</v>
      </c>
      <c r="B29" s="191" t="s">
        <v>79</v>
      </c>
      <c r="C29" s="191" t="s">
        <v>320</v>
      </c>
    </row>
    <row r="30" spans="1:3" s="192" customFormat="1" ht="33">
      <c r="A30" s="190" t="s">
        <v>117</v>
      </c>
      <c r="B30" s="191" t="s">
        <v>80</v>
      </c>
      <c r="C30" s="191" t="s">
        <v>320</v>
      </c>
    </row>
    <row r="31" spans="1:3" s="192" customFormat="1" ht="33">
      <c r="A31" s="190" t="s">
        <v>118</v>
      </c>
      <c r="B31" s="191" t="s">
        <v>119</v>
      </c>
      <c r="C31" s="191" t="s">
        <v>320</v>
      </c>
    </row>
    <row r="32" spans="1:3" s="192" customFormat="1">
      <c r="A32" s="190" t="s">
        <v>131</v>
      </c>
      <c r="B32" s="191" t="s">
        <v>132</v>
      </c>
      <c r="C32" s="191" t="s">
        <v>320</v>
      </c>
    </row>
    <row r="33" spans="1:5" s="192" customFormat="1">
      <c r="A33" s="190" t="s">
        <v>120</v>
      </c>
      <c r="B33" s="191" t="s">
        <v>121</v>
      </c>
      <c r="C33" s="191" t="s">
        <v>323</v>
      </c>
    </row>
    <row r="34" spans="1:5" s="192" customFormat="1" ht="33">
      <c r="A34" s="190" t="s">
        <v>122</v>
      </c>
      <c r="B34" s="191" t="s">
        <v>123</v>
      </c>
      <c r="C34" s="191" t="s">
        <v>323</v>
      </c>
    </row>
    <row r="35" spans="1:5" s="192" customFormat="1" ht="33">
      <c r="A35" s="190" t="s">
        <v>124</v>
      </c>
      <c r="B35" s="191" t="s">
        <v>125</v>
      </c>
      <c r="C35" s="191" t="s">
        <v>323</v>
      </c>
      <c r="E35" s="192" t="s">
        <v>409</v>
      </c>
    </row>
    <row r="36" spans="1:5" s="192" customFormat="1">
      <c r="A36" s="190" t="s">
        <v>337</v>
      </c>
      <c r="B36" s="191" t="s">
        <v>336</v>
      </c>
      <c r="C36" s="191" t="s">
        <v>68</v>
      </c>
      <c r="E36" s="192" t="s">
        <v>204</v>
      </c>
    </row>
    <row r="37" spans="1:5" s="192" customFormat="1">
      <c r="A37" s="190" t="s">
        <v>338</v>
      </c>
      <c r="B37" s="191" t="s">
        <v>339</v>
      </c>
      <c r="C37" s="191" t="s">
        <v>68</v>
      </c>
      <c r="E37" s="192" t="s">
        <v>202</v>
      </c>
    </row>
    <row r="38" spans="1:5" s="192" customFormat="1">
      <c r="A38" s="190" t="s">
        <v>127</v>
      </c>
      <c r="B38" s="191" t="s">
        <v>72</v>
      </c>
      <c r="C38" s="191" t="s">
        <v>324</v>
      </c>
      <c r="E38" s="192" t="s">
        <v>203</v>
      </c>
    </row>
    <row r="39" spans="1:5" s="192" customFormat="1" ht="33">
      <c r="A39" s="190" t="s">
        <v>129</v>
      </c>
      <c r="B39" s="191" t="s">
        <v>130</v>
      </c>
      <c r="C39" s="191" t="s">
        <v>68</v>
      </c>
      <c r="E39" s="192" t="s">
        <v>412</v>
      </c>
    </row>
    <row r="40" spans="1:5" s="192" customFormat="1">
      <c r="A40" s="190" t="s">
        <v>344</v>
      </c>
      <c r="B40" s="191" t="s">
        <v>340</v>
      </c>
      <c r="C40" s="191" t="s">
        <v>341</v>
      </c>
      <c r="E40" s="192" t="s">
        <v>410</v>
      </c>
    </row>
    <row r="41" spans="1:5" s="192" customFormat="1" ht="33">
      <c r="A41" s="190" t="s">
        <v>343</v>
      </c>
      <c r="B41" s="191" t="s">
        <v>342</v>
      </c>
      <c r="C41" s="191" t="s">
        <v>341</v>
      </c>
    </row>
    <row r="42" spans="1:5" s="192" customFormat="1">
      <c r="A42" s="190" t="s">
        <v>327</v>
      </c>
      <c r="B42" s="831" t="s">
        <v>331</v>
      </c>
      <c r="C42" s="191" t="s">
        <v>152</v>
      </c>
    </row>
    <row r="43" spans="1:5" s="192" customFormat="1">
      <c r="A43" s="832" t="s">
        <v>328</v>
      </c>
      <c r="B43" s="831" t="s">
        <v>326</v>
      </c>
      <c r="C43" s="191" t="s">
        <v>152</v>
      </c>
    </row>
    <row r="44" spans="1:5" s="192" customFormat="1">
      <c r="A44" s="832" t="s">
        <v>330</v>
      </c>
      <c r="B44" s="831" t="s">
        <v>329</v>
      </c>
      <c r="C44" s="191" t="s">
        <v>152</v>
      </c>
    </row>
    <row r="45" spans="1:5" s="192" customFormat="1">
      <c r="A45" s="832" t="s">
        <v>333</v>
      </c>
      <c r="B45" s="833" t="s">
        <v>332</v>
      </c>
      <c r="C45" s="191" t="s">
        <v>152</v>
      </c>
    </row>
    <row r="46" spans="1:5" s="192" customFormat="1">
      <c r="A46" s="832" t="s">
        <v>335</v>
      </c>
      <c r="B46" s="833" t="s">
        <v>334</v>
      </c>
      <c r="C46" s="191" t="s">
        <v>152</v>
      </c>
    </row>
    <row r="47" spans="1:5" s="192" customFormat="1">
      <c r="A47" s="832" t="s">
        <v>347</v>
      </c>
      <c r="B47" s="833" t="s">
        <v>348</v>
      </c>
      <c r="C47" s="191" t="s">
        <v>152</v>
      </c>
    </row>
    <row r="48" spans="1:5" s="192" customFormat="1">
      <c r="A48" s="832" t="s">
        <v>349</v>
      </c>
      <c r="B48" s="833" t="s">
        <v>350</v>
      </c>
      <c r="C48" s="191" t="s">
        <v>152</v>
      </c>
    </row>
    <row r="49" spans="1:3" s="192" customFormat="1">
      <c r="A49" s="832" t="s">
        <v>351</v>
      </c>
      <c r="B49" s="833" t="s">
        <v>352</v>
      </c>
      <c r="C49" s="191" t="s">
        <v>152</v>
      </c>
    </row>
    <row r="50" spans="1:3" s="192" customFormat="1">
      <c r="A50" s="832" t="s">
        <v>353</v>
      </c>
      <c r="B50" s="833" t="s">
        <v>354</v>
      </c>
      <c r="C50" s="191" t="s">
        <v>152</v>
      </c>
    </row>
    <row r="51" spans="1:3" s="192" customFormat="1">
      <c r="A51" s="832" t="s">
        <v>3882</v>
      </c>
      <c r="B51" s="833" t="s">
        <v>3883</v>
      </c>
      <c r="C51" s="842"/>
    </row>
    <row r="52" spans="1:3" s="192" customFormat="1">
      <c r="A52" s="832" t="s">
        <v>3884</v>
      </c>
      <c r="B52" s="833" t="s">
        <v>3885</v>
      </c>
      <c r="C52" s="842"/>
    </row>
    <row r="53" spans="1:3" s="192" customFormat="1">
      <c r="A53" s="832" t="s">
        <v>3886</v>
      </c>
      <c r="B53" s="833" t="s">
        <v>3887</v>
      </c>
      <c r="C53" s="842"/>
    </row>
  </sheetData>
  <mergeCells count="1">
    <mergeCell ref="A1:C1"/>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0000"/>
  </sheetPr>
  <dimension ref="A1:XFC425"/>
  <sheetViews>
    <sheetView workbookViewId="0">
      <pane xSplit="10" ySplit="4" topLeftCell="K23" activePane="bottomRight" state="frozen"/>
      <selection activeCell="C16" sqref="C16"/>
      <selection pane="topRight" activeCell="C16" sqref="C16"/>
      <selection pane="bottomLeft" activeCell="C16" sqref="C16"/>
      <selection pane="bottomRight" activeCell="H32" sqref="H32"/>
    </sheetView>
  </sheetViews>
  <sheetFormatPr defaultColWidth="0" defaultRowHeight="16.5"/>
  <cols>
    <col min="1" max="1" width="10.109375" style="124" bestFit="1" customWidth="1"/>
    <col min="2" max="2" width="8.44140625" style="2" bestFit="1" customWidth="1"/>
    <col min="3" max="3" width="9.77734375" style="2" customWidth="1"/>
    <col min="4" max="4" width="10.21875" style="2" customWidth="1"/>
    <col min="5" max="5" width="9.5546875" style="2" bestFit="1" customWidth="1"/>
    <col min="6" max="6" width="26.5546875" bestFit="1" customWidth="1"/>
    <col min="7" max="7" width="13.44140625" bestFit="1" customWidth="1"/>
    <col min="8" max="8" width="10.6640625" style="2" customWidth="1"/>
    <col min="9" max="256" width="8.88671875" hidden="1"/>
    <col min="257" max="257" width="7.88671875" hidden="1"/>
    <col min="258" max="258" width="13.5546875" hidden="1"/>
    <col min="259" max="259" width="7.21875" hidden="1"/>
    <col min="260" max="260" width="11" hidden="1"/>
    <col min="261" max="261" width="16.33203125" hidden="1"/>
    <col min="262" max="262" width="15.21875" hidden="1"/>
    <col min="263" max="263" width="21.88671875" hidden="1"/>
    <col min="264" max="512" width="8.88671875" hidden="1"/>
    <col min="513" max="513" width="7.88671875" hidden="1"/>
    <col min="514" max="514" width="13.5546875" hidden="1"/>
    <col min="515" max="515" width="7.21875" hidden="1"/>
    <col min="516" max="516" width="11" hidden="1"/>
    <col min="517" max="517" width="16.33203125" hidden="1"/>
    <col min="518" max="518" width="15.21875" hidden="1"/>
    <col min="519" max="519" width="21.88671875" hidden="1"/>
    <col min="520" max="768" width="8.88671875" hidden="1"/>
    <col min="769" max="769" width="7.88671875" hidden="1"/>
    <col min="770" max="770" width="13.5546875" hidden="1"/>
    <col min="771" max="771" width="7.21875" hidden="1"/>
    <col min="772" max="772" width="11" hidden="1"/>
    <col min="773" max="773" width="16.33203125" hidden="1"/>
    <col min="774" max="774" width="15.21875" hidden="1"/>
    <col min="775" max="775" width="21.88671875" hidden="1"/>
    <col min="776" max="1024" width="8.88671875" hidden="1"/>
    <col min="1025" max="1025" width="7.88671875" hidden="1"/>
    <col min="1026" max="1026" width="13.5546875" hidden="1"/>
    <col min="1027" max="1027" width="7.21875" hidden="1"/>
    <col min="1028" max="1028" width="11" hidden="1"/>
    <col min="1029" max="1029" width="16.33203125" hidden="1"/>
    <col min="1030" max="1030" width="15.21875" hidden="1"/>
    <col min="1031" max="1031" width="21.88671875" hidden="1"/>
    <col min="1032" max="1280" width="8.88671875" hidden="1"/>
    <col min="1281" max="1281" width="7.88671875" hidden="1"/>
    <col min="1282" max="1282" width="13.5546875" hidden="1"/>
    <col min="1283" max="1283" width="7.21875" hidden="1"/>
    <col min="1284" max="1284" width="11" hidden="1"/>
    <col min="1285" max="1285" width="16.33203125" hidden="1"/>
    <col min="1286" max="1286" width="15.21875" hidden="1"/>
    <col min="1287" max="1287" width="21.88671875" hidden="1"/>
    <col min="1288" max="1536" width="8.88671875" hidden="1"/>
    <col min="1537" max="1537" width="7.88671875" hidden="1"/>
    <col min="1538" max="1538" width="13.5546875" hidden="1"/>
    <col min="1539" max="1539" width="7.21875" hidden="1"/>
    <col min="1540" max="1540" width="11" hidden="1"/>
    <col min="1541" max="1541" width="16.33203125" hidden="1"/>
    <col min="1542" max="1542" width="15.21875" hidden="1"/>
    <col min="1543" max="1543" width="21.88671875" hidden="1"/>
    <col min="1544" max="1792" width="8.88671875" hidden="1"/>
    <col min="1793" max="1793" width="7.88671875" hidden="1"/>
    <col min="1794" max="1794" width="13.5546875" hidden="1"/>
    <col min="1795" max="1795" width="7.21875" hidden="1"/>
    <col min="1796" max="1796" width="11" hidden="1"/>
    <col min="1797" max="1797" width="16.33203125" hidden="1"/>
    <col min="1798" max="1798" width="15.21875" hidden="1"/>
    <col min="1799" max="1799" width="21.88671875" hidden="1"/>
    <col min="1800" max="2048" width="8.88671875" hidden="1"/>
    <col min="2049" max="2049" width="7.88671875" hidden="1"/>
    <col min="2050" max="2050" width="13.5546875" hidden="1"/>
    <col min="2051" max="2051" width="7.21875" hidden="1"/>
    <col min="2052" max="2052" width="11" hidden="1"/>
    <col min="2053" max="2053" width="16.33203125" hidden="1"/>
    <col min="2054" max="2054" width="15.21875" hidden="1"/>
    <col min="2055" max="2055" width="21.88671875" hidden="1"/>
    <col min="2056" max="2304" width="8.88671875" hidden="1"/>
    <col min="2305" max="2305" width="7.88671875" hidden="1"/>
    <col min="2306" max="2306" width="13.5546875" hidden="1"/>
    <col min="2307" max="2307" width="7.21875" hidden="1"/>
    <col min="2308" max="2308" width="11" hidden="1"/>
    <col min="2309" max="2309" width="16.33203125" hidden="1"/>
    <col min="2310" max="2310" width="15.21875" hidden="1"/>
    <col min="2311" max="2311" width="21.88671875" hidden="1"/>
    <col min="2312" max="2560" width="8.88671875" hidden="1"/>
    <col min="2561" max="2561" width="7.88671875" hidden="1"/>
    <col min="2562" max="2562" width="13.5546875" hidden="1"/>
    <col min="2563" max="2563" width="7.21875" hidden="1"/>
    <col min="2564" max="2564" width="11" hidden="1"/>
    <col min="2565" max="2565" width="16.33203125" hidden="1"/>
    <col min="2566" max="2566" width="15.21875" hidden="1"/>
    <col min="2567" max="2567" width="21.88671875" hidden="1"/>
    <col min="2568" max="2816" width="8.88671875" hidden="1"/>
    <col min="2817" max="2817" width="7.88671875" hidden="1"/>
    <col min="2818" max="2818" width="13.5546875" hidden="1"/>
    <col min="2819" max="2819" width="7.21875" hidden="1"/>
    <col min="2820" max="2820" width="11" hidden="1"/>
    <col min="2821" max="2821" width="16.33203125" hidden="1"/>
    <col min="2822" max="2822" width="15.21875" hidden="1"/>
    <col min="2823" max="2823" width="21.88671875" hidden="1"/>
    <col min="2824" max="3072" width="8.88671875" hidden="1"/>
    <col min="3073" max="3073" width="7.88671875" hidden="1"/>
    <col min="3074" max="3074" width="13.5546875" hidden="1"/>
    <col min="3075" max="3075" width="7.21875" hidden="1"/>
    <col min="3076" max="3076" width="11" hidden="1"/>
    <col min="3077" max="3077" width="16.33203125" hidden="1"/>
    <col min="3078" max="3078" width="15.21875" hidden="1"/>
    <col min="3079" max="3079" width="21.88671875" hidden="1"/>
    <col min="3080" max="3328" width="8.88671875" hidden="1"/>
    <col min="3329" max="3329" width="7.88671875" hidden="1"/>
    <col min="3330" max="3330" width="13.5546875" hidden="1"/>
    <col min="3331" max="3331" width="7.21875" hidden="1"/>
    <col min="3332" max="3332" width="11" hidden="1"/>
    <col min="3333" max="3333" width="16.33203125" hidden="1"/>
    <col min="3334" max="3334" width="15.21875" hidden="1"/>
    <col min="3335" max="3335" width="21.88671875" hidden="1"/>
    <col min="3336" max="3584" width="8.88671875" hidden="1"/>
    <col min="3585" max="3585" width="7.88671875" hidden="1"/>
    <col min="3586" max="3586" width="13.5546875" hidden="1"/>
    <col min="3587" max="3587" width="7.21875" hidden="1"/>
    <col min="3588" max="3588" width="11" hidden="1"/>
    <col min="3589" max="3589" width="16.33203125" hidden="1"/>
    <col min="3590" max="3590" width="15.21875" hidden="1"/>
    <col min="3591" max="3591" width="21.88671875" hidden="1"/>
    <col min="3592" max="3840" width="8.88671875" hidden="1"/>
    <col min="3841" max="3841" width="7.88671875" hidden="1"/>
    <col min="3842" max="3842" width="13.5546875" hidden="1"/>
    <col min="3843" max="3843" width="7.21875" hidden="1"/>
    <col min="3844" max="3844" width="11" hidden="1"/>
    <col min="3845" max="3845" width="16.33203125" hidden="1"/>
    <col min="3846" max="3846" width="15.21875" hidden="1"/>
    <col min="3847" max="3847" width="21.88671875" hidden="1"/>
    <col min="3848" max="4096" width="8.88671875" hidden="1"/>
    <col min="4097" max="4097" width="7.88671875" hidden="1"/>
    <col min="4098" max="4098" width="13.5546875" hidden="1"/>
    <col min="4099" max="4099" width="7.21875" hidden="1"/>
    <col min="4100" max="4100" width="11" hidden="1"/>
    <col min="4101" max="4101" width="16.33203125" hidden="1"/>
    <col min="4102" max="4102" width="15.21875" hidden="1"/>
    <col min="4103" max="4103" width="21.88671875" hidden="1"/>
    <col min="4104" max="4352" width="8.88671875" hidden="1"/>
    <col min="4353" max="4353" width="7.88671875" hidden="1"/>
    <col min="4354" max="4354" width="13.5546875" hidden="1"/>
    <col min="4355" max="4355" width="7.21875" hidden="1"/>
    <col min="4356" max="4356" width="11" hidden="1"/>
    <col min="4357" max="4357" width="16.33203125" hidden="1"/>
    <col min="4358" max="4358" width="15.21875" hidden="1"/>
    <col min="4359" max="4359" width="21.88671875" hidden="1"/>
    <col min="4360" max="4608" width="8.88671875" hidden="1"/>
    <col min="4609" max="4609" width="7.88671875" hidden="1"/>
    <col min="4610" max="4610" width="13.5546875" hidden="1"/>
    <col min="4611" max="4611" width="7.21875" hidden="1"/>
    <col min="4612" max="4612" width="11" hidden="1"/>
    <col min="4613" max="4613" width="16.33203125" hidden="1"/>
    <col min="4614" max="4614" width="15.21875" hidden="1"/>
    <col min="4615" max="4615" width="21.88671875" hidden="1"/>
    <col min="4616" max="4864" width="8.88671875" hidden="1"/>
    <col min="4865" max="4865" width="7.88671875" hidden="1"/>
    <col min="4866" max="4866" width="13.5546875" hidden="1"/>
    <col min="4867" max="4867" width="7.21875" hidden="1"/>
    <col min="4868" max="4868" width="11" hidden="1"/>
    <col min="4869" max="4869" width="16.33203125" hidden="1"/>
    <col min="4870" max="4870" width="15.21875" hidden="1"/>
    <col min="4871" max="4871" width="21.88671875" hidden="1"/>
    <col min="4872" max="5120" width="8.88671875" hidden="1"/>
    <col min="5121" max="5121" width="7.88671875" hidden="1"/>
    <col min="5122" max="5122" width="13.5546875" hidden="1"/>
    <col min="5123" max="5123" width="7.21875" hidden="1"/>
    <col min="5124" max="5124" width="11" hidden="1"/>
    <col min="5125" max="5125" width="16.33203125" hidden="1"/>
    <col min="5126" max="5126" width="15.21875" hidden="1"/>
    <col min="5127" max="5127" width="21.88671875" hidden="1"/>
    <col min="5128" max="5376" width="8.88671875" hidden="1"/>
    <col min="5377" max="5377" width="7.88671875" hidden="1"/>
    <col min="5378" max="5378" width="13.5546875" hidden="1"/>
    <col min="5379" max="5379" width="7.21875" hidden="1"/>
    <col min="5380" max="5380" width="11" hidden="1"/>
    <col min="5381" max="5381" width="16.33203125" hidden="1"/>
    <col min="5382" max="5382" width="15.21875" hidden="1"/>
    <col min="5383" max="5383" width="21.88671875" hidden="1"/>
    <col min="5384" max="5632" width="8.88671875" hidden="1"/>
    <col min="5633" max="5633" width="7.88671875" hidden="1"/>
    <col min="5634" max="5634" width="13.5546875" hidden="1"/>
    <col min="5635" max="5635" width="7.21875" hidden="1"/>
    <col min="5636" max="5636" width="11" hidden="1"/>
    <col min="5637" max="5637" width="16.33203125" hidden="1"/>
    <col min="5638" max="5638" width="15.21875" hidden="1"/>
    <col min="5639" max="5639" width="21.88671875" hidden="1"/>
    <col min="5640" max="5888" width="8.88671875" hidden="1"/>
    <col min="5889" max="5889" width="7.88671875" hidden="1"/>
    <col min="5890" max="5890" width="13.5546875" hidden="1"/>
    <col min="5891" max="5891" width="7.21875" hidden="1"/>
    <col min="5892" max="5892" width="11" hidden="1"/>
    <col min="5893" max="5893" width="16.33203125" hidden="1"/>
    <col min="5894" max="5894" width="15.21875" hidden="1"/>
    <col min="5895" max="5895" width="21.88671875" hidden="1"/>
    <col min="5896" max="6144" width="8.88671875" hidden="1"/>
    <col min="6145" max="6145" width="7.88671875" hidden="1"/>
    <col min="6146" max="6146" width="13.5546875" hidden="1"/>
    <col min="6147" max="6147" width="7.21875" hidden="1"/>
    <col min="6148" max="6148" width="11" hidden="1"/>
    <col min="6149" max="6149" width="16.33203125" hidden="1"/>
    <col min="6150" max="6150" width="15.21875" hidden="1"/>
    <col min="6151" max="6151" width="21.88671875" hidden="1"/>
    <col min="6152" max="6400" width="8.88671875" hidden="1"/>
    <col min="6401" max="6401" width="7.88671875" hidden="1"/>
    <col min="6402" max="6402" width="13.5546875" hidden="1"/>
    <col min="6403" max="6403" width="7.21875" hidden="1"/>
    <col min="6404" max="6404" width="11" hidden="1"/>
    <col min="6405" max="6405" width="16.33203125" hidden="1"/>
    <col min="6406" max="6406" width="15.21875" hidden="1"/>
    <col min="6407" max="6407" width="21.88671875" hidden="1"/>
    <col min="6408" max="6656" width="8.88671875" hidden="1"/>
    <col min="6657" max="6657" width="7.88671875" hidden="1"/>
    <col min="6658" max="6658" width="13.5546875" hidden="1"/>
    <col min="6659" max="6659" width="7.21875" hidden="1"/>
    <col min="6660" max="6660" width="11" hidden="1"/>
    <col min="6661" max="6661" width="16.33203125" hidden="1"/>
    <col min="6662" max="6662" width="15.21875" hidden="1"/>
    <col min="6663" max="6663" width="21.88671875" hidden="1"/>
    <col min="6664" max="6912" width="8.88671875" hidden="1"/>
    <col min="6913" max="6913" width="7.88671875" hidden="1"/>
    <col min="6914" max="6914" width="13.5546875" hidden="1"/>
    <col min="6915" max="6915" width="7.21875" hidden="1"/>
    <col min="6916" max="6916" width="11" hidden="1"/>
    <col min="6917" max="6917" width="16.33203125" hidden="1"/>
    <col min="6918" max="6918" width="15.21875" hidden="1"/>
    <col min="6919" max="6919" width="21.88671875" hidden="1"/>
    <col min="6920" max="7168" width="8.88671875" hidden="1"/>
    <col min="7169" max="7169" width="7.88671875" hidden="1"/>
    <col min="7170" max="7170" width="13.5546875" hidden="1"/>
    <col min="7171" max="7171" width="7.21875" hidden="1"/>
    <col min="7172" max="7172" width="11" hidden="1"/>
    <col min="7173" max="7173" width="16.33203125" hidden="1"/>
    <col min="7174" max="7174" width="15.21875" hidden="1"/>
    <col min="7175" max="7175" width="21.88671875" hidden="1"/>
    <col min="7176" max="7424" width="8.88671875" hidden="1"/>
    <col min="7425" max="7425" width="7.88671875" hidden="1"/>
    <col min="7426" max="7426" width="13.5546875" hidden="1"/>
    <col min="7427" max="7427" width="7.21875" hidden="1"/>
    <col min="7428" max="7428" width="11" hidden="1"/>
    <col min="7429" max="7429" width="16.33203125" hidden="1"/>
    <col min="7430" max="7430" width="15.21875" hidden="1"/>
    <col min="7431" max="7431" width="21.88671875" hidden="1"/>
    <col min="7432" max="7680" width="8.88671875" hidden="1"/>
    <col min="7681" max="7681" width="7.88671875" hidden="1"/>
    <col min="7682" max="7682" width="13.5546875" hidden="1"/>
    <col min="7683" max="7683" width="7.21875" hidden="1"/>
    <col min="7684" max="7684" width="11" hidden="1"/>
    <col min="7685" max="7685" width="16.33203125" hidden="1"/>
    <col min="7686" max="7686" width="15.21875" hidden="1"/>
    <col min="7687" max="7687" width="21.88671875" hidden="1"/>
    <col min="7688" max="7936" width="8.88671875" hidden="1"/>
    <col min="7937" max="7937" width="7.88671875" hidden="1"/>
    <col min="7938" max="7938" width="13.5546875" hidden="1"/>
    <col min="7939" max="7939" width="7.21875" hidden="1"/>
    <col min="7940" max="7940" width="11" hidden="1"/>
    <col min="7941" max="7941" width="16.33203125" hidden="1"/>
    <col min="7942" max="7942" width="15.21875" hidden="1"/>
    <col min="7943" max="7943" width="21.88671875" hidden="1"/>
    <col min="7944" max="8192" width="8.88671875" hidden="1"/>
    <col min="8193" max="8193" width="7.88671875" hidden="1"/>
    <col min="8194" max="8194" width="13.5546875" hidden="1"/>
    <col min="8195" max="8195" width="7.21875" hidden="1"/>
    <col min="8196" max="8196" width="11" hidden="1"/>
    <col min="8197" max="8197" width="16.33203125" hidden="1"/>
    <col min="8198" max="8198" width="15.21875" hidden="1"/>
    <col min="8199" max="8199" width="21.88671875" hidden="1"/>
    <col min="8200" max="8448" width="8.88671875" hidden="1"/>
    <col min="8449" max="8449" width="7.88671875" hidden="1"/>
    <col min="8450" max="8450" width="13.5546875" hidden="1"/>
    <col min="8451" max="8451" width="7.21875" hidden="1"/>
    <col min="8452" max="8452" width="11" hidden="1"/>
    <col min="8453" max="8453" width="16.33203125" hidden="1"/>
    <col min="8454" max="8454" width="15.21875" hidden="1"/>
    <col min="8455" max="8455" width="21.88671875" hidden="1"/>
    <col min="8456" max="8704" width="8.88671875" hidden="1"/>
    <col min="8705" max="8705" width="7.88671875" hidden="1"/>
    <col min="8706" max="8706" width="13.5546875" hidden="1"/>
    <col min="8707" max="8707" width="7.21875" hidden="1"/>
    <col min="8708" max="8708" width="11" hidden="1"/>
    <col min="8709" max="8709" width="16.33203125" hidden="1"/>
    <col min="8710" max="8710" width="15.21875" hidden="1"/>
    <col min="8711" max="8711" width="21.88671875" hidden="1"/>
    <col min="8712" max="8960" width="8.88671875" hidden="1"/>
    <col min="8961" max="8961" width="7.88671875" hidden="1"/>
    <col min="8962" max="8962" width="13.5546875" hidden="1"/>
    <col min="8963" max="8963" width="7.21875" hidden="1"/>
    <col min="8964" max="8964" width="11" hidden="1"/>
    <col min="8965" max="8965" width="16.33203125" hidden="1"/>
    <col min="8966" max="8966" width="15.21875" hidden="1"/>
    <col min="8967" max="8967" width="21.88671875" hidden="1"/>
    <col min="8968" max="9216" width="8.88671875" hidden="1"/>
    <col min="9217" max="9217" width="7.88671875" hidden="1"/>
    <col min="9218" max="9218" width="13.5546875" hidden="1"/>
    <col min="9219" max="9219" width="7.21875" hidden="1"/>
    <col min="9220" max="9220" width="11" hidden="1"/>
    <col min="9221" max="9221" width="16.33203125" hidden="1"/>
    <col min="9222" max="9222" width="15.21875" hidden="1"/>
    <col min="9223" max="9223" width="21.88671875" hidden="1"/>
    <col min="9224" max="9472" width="8.88671875" hidden="1"/>
    <col min="9473" max="9473" width="7.88671875" hidden="1"/>
    <col min="9474" max="9474" width="13.5546875" hidden="1"/>
    <col min="9475" max="9475" width="7.21875" hidden="1"/>
    <col min="9476" max="9476" width="11" hidden="1"/>
    <col min="9477" max="9477" width="16.33203125" hidden="1"/>
    <col min="9478" max="9478" width="15.21875" hidden="1"/>
    <col min="9479" max="9479" width="21.88671875" hidden="1"/>
    <col min="9480" max="9728" width="8.88671875" hidden="1"/>
    <col min="9729" max="9729" width="7.88671875" hidden="1"/>
    <col min="9730" max="9730" width="13.5546875" hidden="1"/>
    <col min="9731" max="9731" width="7.21875" hidden="1"/>
    <col min="9732" max="9732" width="11" hidden="1"/>
    <col min="9733" max="9733" width="16.33203125" hidden="1"/>
    <col min="9734" max="9734" width="15.21875" hidden="1"/>
    <col min="9735" max="9735" width="21.88671875" hidden="1"/>
    <col min="9736" max="9984" width="8.88671875" hidden="1"/>
    <col min="9985" max="9985" width="7.88671875" hidden="1"/>
    <col min="9986" max="9986" width="13.5546875" hidden="1"/>
    <col min="9987" max="9987" width="7.21875" hidden="1"/>
    <col min="9988" max="9988" width="11" hidden="1"/>
    <col min="9989" max="9989" width="16.33203125" hidden="1"/>
    <col min="9990" max="9990" width="15.21875" hidden="1"/>
    <col min="9991" max="9991" width="21.88671875" hidden="1"/>
    <col min="9992" max="10240" width="8.88671875" hidden="1"/>
    <col min="10241" max="10241" width="7.88671875" hidden="1"/>
    <col min="10242" max="10242" width="13.5546875" hidden="1"/>
    <col min="10243" max="10243" width="7.21875" hidden="1"/>
    <col min="10244" max="10244" width="11" hidden="1"/>
    <col min="10245" max="10245" width="16.33203125" hidden="1"/>
    <col min="10246" max="10246" width="15.21875" hidden="1"/>
    <col min="10247" max="10247" width="21.88671875" hidden="1"/>
    <col min="10248" max="10496" width="8.88671875" hidden="1"/>
    <col min="10497" max="10497" width="7.88671875" hidden="1"/>
    <col min="10498" max="10498" width="13.5546875" hidden="1"/>
    <col min="10499" max="10499" width="7.21875" hidden="1"/>
    <col min="10500" max="10500" width="11" hidden="1"/>
    <col min="10501" max="10501" width="16.33203125" hidden="1"/>
    <col min="10502" max="10502" width="15.21875" hidden="1"/>
    <col min="10503" max="10503" width="21.88671875" hidden="1"/>
    <col min="10504" max="10752" width="8.88671875" hidden="1"/>
    <col min="10753" max="10753" width="7.88671875" hidden="1"/>
    <col min="10754" max="10754" width="13.5546875" hidden="1"/>
    <col min="10755" max="10755" width="7.21875" hidden="1"/>
    <col min="10756" max="10756" width="11" hidden="1"/>
    <col min="10757" max="10757" width="16.33203125" hidden="1"/>
    <col min="10758" max="10758" width="15.21875" hidden="1"/>
    <col min="10759" max="10759" width="21.88671875" hidden="1"/>
    <col min="10760" max="11008" width="8.88671875" hidden="1"/>
    <col min="11009" max="11009" width="7.88671875" hidden="1"/>
    <col min="11010" max="11010" width="13.5546875" hidden="1"/>
    <col min="11011" max="11011" width="7.21875" hidden="1"/>
    <col min="11012" max="11012" width="11" hidden="1"/>
    <col min="11013" max="11013" width="16.33203125" hidden="1"/>
    <col min="11014" max="11014" width="15.21875" hidden="1"/>
    <col min="11015" max="11015" width="21.88671875" hidden="1"/>
    <col min="11016" max="11264" width="8.88671875" hidden="1"/>
    <col min="11265" max="11265" width="7.88671875" hidden="1"/>
    <col min="11266" max="11266" width="13.5546875" hidden="1"/>
    <col min="11267" max="11267" width="7.21875" hidden="1"/>
    <col min="11268" max="11268" width="11" hidden="1"/>
    <col min="11269" max="11269" width="16.33203125" hidden="1"/>
    <col min="11270" max="11270" width="15.21875" hidden="1"/>
    <col min="11271" max="11271" width="21.88671875" hidden="1"/>
    <col min="11272" max="11520" width="8.88671875" hidden="1"/>
    <col min="11521" max="11521" width="7.88671875" hidden="1"/>
    <col min="11522" max="11522" width="13.5546875" hidden="1"/>
    <col min="11523" max="11523" width="7.21875" hidden="1"/>
    <col min="11524" max="11524" width="11" hidden="1"/>
    <col min="11525" max="11525" width="16.33203125" hidden="1"/>
    <col min="11526" max="11526" width="15.21875" hidden="1"/>
    <col min="11527" max="11527" width="21.88671875" hidden="1"/>
    <col min="11528" max="11776" width="8.88671875" hidden="1"/>
    <col min="11777" max="11777" width="7.88671875" hidden="1"/>
    <col min="11778" max="11778" width="13.5546875" hidden="1"/>
    <col min="11779" max="11779" width="7.21875" hidden="1"/>
    <col min="11780" max="11780" width="11" hidden="1"/>
    <col min="11781" max="11781" width="16.33203125" hidden="1"/>
    <col min="11782" max="11782" width="15.21875" hidden="1"/>
    <col min="11783" max="11783" width="21.88671875" hidden="1"/>
    <col min="11784" max="12032" width="8.88671875" hidden="1"/>
    <col min="12033" max="12033" width="7.88671875" hidden="1"/>
    <col min="12034" max="12034" width="13.5546875" hidden="1"/>
    <col min="12035" max="12035" width="7.21875" hidden="1"/>
    <col min="12036" max="12036" width="11" hidden="1"/>
    <col min="12037" max="12037" width="16.33203125" hidden="1"/>
    <col min="12038" max="12038" width="15.21875" hidden="1"/>
    <col min="12039" max="12039" width="21.88671875" hidden="1"/>
    <col min="12040" max="12288" width="8.88671875" hidden="1"/>
    <col min="12289" max="12289" width="7.88671875" hidden="1"/>
    <col min="12290" max="12290" width="13.5546875" hidden="1"/>
    <col min="12291" max="12291" width="7.21875" hidden="1"/>
    <col min="12292" max="12292" width="11" hidden="1"/>
    <col min="12293" max="12293" width="16.33203125" hidden="1"/>
    <col min="12294" max="12294" width="15.21875" hidden="1"/>
    <col min="12295" max="12295" width="21.88671875" hidden="1"/>
    <col min="12296" max="12544" width="8.88671875" hidden="1"/>
    <col min="12545" max="12545" width="7.88671875" hidden="1"/>
    <col min="12546" max="12546" width="13.5546875" hidden="1"/>
    <col min="12547" max="12547" width="7.21875" hidden="1"/>
    <col min="12548" max="12548" width="11" hidden="1"/>
    <col min="12549" max="12549" width="16.33203125" hidden="1"/>
    <col min="12550" max="12550" width="15.21875" hidden="1"/>
    <col min="12551" max="12551" width="21.88671875" hidden="1"/>
    <col min="12552" max="12800" width="8.88671875" hidden="1"/>
    <col min="12801" max="12801" width="7.88671875" hidden="1"/>
    <col min="12802" max="12802" width="13.5546875" hidden="1"/>
    <col min="12803" max="12803" width="7.21875" hidden="1"/>
    <col min="12804" max="12804" width="11" hidden="1"/>
    <col min="12805" max="12805" width="16.33203125" hidden="1"/>
    <col min="12806" max="12806" width="15.21875" hidden="1"/>
    <col min="12807" max="12807" width="21.88671875" hidden="1"/>
    <col min="12808" max="13056" width="8.88671875" hidden="1"/>
    <col min="13057" max="13057" width="7.88671875" hidden="1"/>
    <col min="13058" max="13058" width="13.5546875" hidden="1"/>
    <col min="13059" max="13059" width="7.21875" hidden="1"/>
    <col min="13060" max="13060" width="11" hidden="1"/>
    <col min="13061" max="13061" width="16.33203125" hidden="1"/>
    <col min="13062" max="13062" width="15.21875" hidden="1"/>
    <col min="13063" max="13063" width="21.88671875" hidden="1"/>
    <col min="13064" max="13312" width="8.88671875" hidden="1"/>
    <col min="13313" max="13313" width="7.88671875" hidden="1"/>
    <col min="13314" max="13314" width="13.5546875" hidden="1"/>
    <col min="13315" max="13315" width="7.21875" hidden="1"/>
    <col min="13316" max="13316" width="11" hidden="1"/>
    <col min="13317" max="13317" width="16.33203125" hidden="1"/>
    <col min="13318" max="13318" width="15.21875" hidden="1"/>
    <col min="13319" max="13319" width="21.88671875" hidden="1"/>
    <col min="13320" max="13568" width="8.88671875" hidden="1"/>
    <col min="13569" max="13569" width="7.88671875" hidden="1"/>
    <col min="13570" max="13570" width="13.5546875" hidden="1"/>
    <col min="13571" max="13571" width="7.21875" hidden="1"/>
    <col min="13572" max="13572" width="11" hidden="1"/>
    <col min="13573" max="13573" width="16.33203125" hidden="1"/>
    <col min="13574" max="13574" width="15.21875" hidden="1"/>
    <col min="13575" max="13575" width="21.88671875" hidden="1"/>
    <col min="13576" max="13824" width="8.88671875" hidden="1"/>
    <col min="13825" max="13825" width="7.88671875" hidden="1"/>
    <col min="13826" max="13826" width="13.5546875" hidden="1"/>
    <col min="13827" max="13827" width="7.21875" hidden="1"/>
    <col min="13828" max="13828" width="11" hidden="1"/>
    <col min="13829" max="13829" width="16.33203125" hidden="1"/>
    <col min="13830" max="13830" width="15.21875" hidden="1"/>
    <col min="13831" max="13831" width="21.88671875" hidden="1"/>
    <col min="13832" max="14080" width="8.88671875" hidden="1"/>
    <col min="14081" max="14081" width="7.88671875" hidden="1"/>
    <col min="14082" max="14082" width="13.5546875" hidden="1"/>
    <col min="14083" max="14083" width="7.21875" hidden="1"/>
    <col min="14084" max="14084" width="11" hidden="1"/>
    <col min="14085" max="14085" width="16.33203125" hidden="1"/>
    <col min="14086" max="14086" width="15.21875" hidden="1"/>
    <col min="14087" max="14087" width="21.88671875" hidden="1"/>
    <col min="14088" max="14336" width="8.88671875" hidden="1"/>
    <col min="14337" max="14337" width="7.88671875" hidden="1"/>
    <col min="14338" max="14338" width="13.5546875" hidden="1"/>
    <col min="14339" max="14339" width="7.21875" hidden="1"/>
    <col min="14340" max="14340" width="11" hidden="1"/>
    <col min="14341" max="14341" width="16.33203125" hidden="1"/>
    <col min="14342" max="14342" width="15.21875" hidden="1"/>
    <col min="14343" max="14343" width="21.88671875" hidden="1"/>
    <col min="14344" max="14592" width="8.88671875" hidden="1"/>
    <col min="14593" max="14593" width="7.88671875" hidden="1"/>
    <col min="14594" max="14594" width="13.5546875" hidden="1"/>
    <col min="14595" max="14595" width="7.21875" hidden="1"/>
    <col min="14596" max="14596" width="11" hidden="1"/>
    <col min="14597" max="14597" width="16.33203125" hidden="1"/>
    <col min="14598" max="14598" width="15.21875" hidden="1"/>
    <col min="14599" max="14599" width="21.88671875" hidden="1"/>
    <col min="14600" max="14848" width="8.88671875" hidden="1"/>
    <col min="14849" max="14849" width="7.88671875" hidden="1"/>
    <col min="14850" max="14850" width="13.5546875" hidden="1"/>
    <col min="14851" max="14851" width="7.21875" hidden="1"/>
    <col min="14852" max="14852" width="11" hidden="1"/>
    <col min="14853" max="14853" width="16.33203125" hidden="1"/>
    <col min="14854" max="14854" width="15.21875" hidden="1"/>
    <col min="14855" max="14855" width="21.88671875" hidden="1"/>
    <col min="14856" max="15104" width="8.88671875" hidden="1"/>
    <col min="15105" max="15105" width="7.88671875" hidden="1"/>
    <col min="15106" max="15106" width="13.5546875" hidden="1"/>
    <col min="15107" max="15107" width="7.21875" hidden="1"/>
    <col min="15108" max="15108" width="11" hidden="1"/>
    <col min="15109" max="15109" width="16.33203125" hidden="1"/>
    <col min="15110" max="15110" width="15.21875" hidden="1"/>
    <col min="15111" max="15111" width="21.88671875" hidden="1"/>
    <col min="15112" max="15360" width="8.88671875" hidden="1"/>
    <col min="15361" max="15361" width="7.88671875" hidden="1"/>
    <col min="15362" max="15362" width="13.5546875" hidden="1"/>
    <col min="15363" max="15363" width="7.21875" hidden="1"/>
    <col min="15364" max="15364" width="11" hidden="1"/>
    <col min="15365" max="15365" width="16.33203125" hidden="1"/>
    <col min="15366" max="15366" width="15.21875" hidden="1"/>
    <col min="15367" max="15367" width="21.88671875" hidden="1"/>
    <col min="15368" max="15616" width="8.88671875" hidden="1"/>
    <col min="15617" max="15617" width="7.88671875" hidden="1"/>
    <col min="15618" max="15618" width="13.5546875" hidden="1"/>
    <col min="15619" max="15619" width="7.21875" hidden="1"/>
    <col min="15620" max="15620" width="11" hidden="1"/>
    <col min="15621" max="15621" width="16.33203125" hidden="1"/>
    <col min="15622" max="15622" width="15.21875" hidden="1"/>
    <col min="15623" max="15623" width="21.88671875" hidden="1"/>
    <col min="15624" max="15872" width="8.88671875" hidden="1"/>
    <col min="15873" max="15873" width="7.88671875" hidden="1"/>
    <col min="15874" max="15874" width="13.5546875" hidden="1"/>
    <col min="15875" max="15875" width="7.21875" hidden="1"/>
    <col min="15876" max="15876" width="11" hidden="1"/>
    <col min="15877" max="15877" width="16.33203125" hidden="1"/>
    <col min="15878" max="15878" width="15.21875" hidden="1"/>
    <col min="15879" max="15879" width="21.88671875" hidden="1"/>
    <col min="15880" max="16128" width="8.88671875" hidden="1"/>
    <col min="16129" max="16129" width="7.88671875" hidden="1"/>
    <col min="16130" max="16130" width="13.5546875" hidden="1"/>
    <col min="16131" max="16131" width="7.21875" hidden="1"/>
    <col min="16132" max="16132" width="11" hidden="1"/>
    <col min="16133" max="16133" width="16.33203125" hidden="1"/>
    <col min="16134" max="16134" width="15.21875" hidden="1"/>
    <col min="16135" max="16135" width="21.88671875" hidden="1"/>
    <col min="16136" max="16383" width="8.88671875" hidden="1"/>
    <col min="16384" max="16384" width="48" hidden="1" customWidth="1"/>
  </cols>
  <sheetData>
    <row r="1" spans="1:8" ht="20.25">
      <c r="A1" s="1425" t="s">
        <v>4412</v>
      </c>
      <c r="B1" s="1426"/>
      <c r="C1" s="1426"/>
      <c r="D1" s="1426"/>
      <c r="E1" s="1426"/>
      <c r="F1" s="1426"/>
      <c r="G1" s="1426"/>
      <c r="H1" s="1426"/>
    </row>
    <row r="2" spans="1:8">
      <c r="A2" s="142"/>
      <c r="B2" s="142"/>
      <c r="C2" s="143" t="s">
        <v>452</v>
      </c>
      <c r="D2" s="143">
        <f>Nhattrinh!C3</f>
        <v>43953</v>
      </c>
      <c r="E2" s="142" t="s">
        <v>453</v>
      </c>
      <c r="F2" s="329">
        <f ca="1">Thongtin!H13</f>
        <v>44000</v>
      </c>
      <c r="G2" s="142"/>
      <c r="H2" s="142"/>
    </row>
    <row r="3" spans="1:8">
      <c r="A3" s="1423" t="s">
        <v>5851</v>
      </c>
      <c r="B3" s="1424"/>
      <c r="C3" s="1424"/>
      <c r="D3" s="1424"/>
      <c r="E3" s="1424"/>
      <c r="F3" s="1424"/>
      <c r="G3" s="1424"/>
      <c r="H3" s="1424"/>
    </row>
    <row r="4" spans="1:8" ht="38.25">
      <c r="A4" s="737" t="s">
        <v>160</v>
      </c>
      <c r="B4" s="738" t="s">
        <v>4218</v>
      </c>
      <c r="C4" s="738" t="s">
        <v>4219</v>
      </c>
      <c r="D4" s="738" t="s">
        <v>4220</v>
      </c>
      <c r="E4" s="738" t="s">
        <v>4221</v>
      </c>
      <c r="F4" s="739" t="s">
        <v>4384</v>
      </c>
      <c r="G4" s="739" t="s">
        <v>3998</v>
      </c>
      <c r="H4" s="756" t="s">
        <v>4411</v>
      </c>
    </row>
    <row r="5" spans="1:8">
      <c r="A5" s="323">
        <v>43953</v>
      </c>
      <c r="B5" s="324" t="s">
        <v>5811</v>
      </c>
      <c r="C5" s="324" t="s">
        <v>5810</v>
      </c>
      <c r="D5" s="325" t="s">
        <v>5405</v>
      </c>
      <c r="E5" s="324">
        <v>0</v>
      </c>
      <c r="F5" s="326"/>
      <c r="G5" s="327" t="s">
        <v>4222</v>
      </c>
      <c r="H5" s="324" t="s">
        <v>5852</v>
      </c>
    </row>
    <row r="6" spans="1:8">
      <c r="A6" s="323">
        <v>43954</v>
      </c>
      <c r="B6" s="324" t="s">
        <v>5812</v>
      </c>
      <c r="C6" s="324" t="s">
        <v>5813</v>
      </c>
      <c r="D6" s="325" t="s">
        <v>5405</v>
      </c>
      <c r="E6" s="324">
        <v>0</v>
      </c>
      <c r="F6" s="326"/>
      <c r="G6" s="327" t="s">
        <v>4222</v>
      </c>
      <c r="H6" s="324" t="str">
        <f>H5</f>
        <v>10 người</v>
      </c>
    </row>
    <row r="7" spans="1:8">
      <c r="A7" s="323">
        <v>43955</v>
      </c>
      <c r="B7" s="324" t="s">
        <v>5812</v>
      </c>
      <c r="C7" s="324" t="s">
        <v>5813</v>
      </c>
      <c r="D7" s="325" t="s">
        <v>5405</v>
      </c>
      <c r="E7" s="324">
        <v>0</v>
      </c>
      <c r="F7" s="326"/>
      <c r="G7" s="327" t="s">
        <v>4222</v>
      </c>
      <c r="H7" s="324" t="str">
        <f t="shared" ref="H7:H9" si="0">H6</f>
        <v>10 người</v>
      </c>
    </row>
    <row r="8" spans="1:8">
      <c r="A8" s="323">
        <v>43956</v>
      </c>
      <c r="B8" s="324" t="s">
        <v>5809</v>
      </c>
      <c r="C8" s="324" t="s">
        <v>5813</v>
      </c>
      <c r="D8" s="325" t="s">
        <v>5405</v>
      </c>
      <c r="E8" s="324">
        <v>0</v>
      </c>
      <c r="F8" s="326"/>
      <c r="G8" s="327" t="s">
        <v>4222</v>
      </c>
      <c r="H8" s="324" t="str">
        <f t="shared" si="0"/>
        <v>10 người</v>
      </c>
    </row>
    <row r="9" spans="1:8">
      <c r="A9" s="323">
        <v>43957</v>
      </c>
      <c r="B9" s="324" t="s">
        <v>5814</v>
      </c>
      <c r="C9" s="324" t="s">
        <v>5813</v>
      </c>
      <c r="D9" s="325" t="s">
        <v>5405</v>
      </c>
      <c r="E9" s="324">
        <v>0</v>
      </c>
      <c r="F9" s="326"/>
      <c r="G9" s="327" t="s">
        <v>4222</v>
      </c>
      <c r="H9" s="324" t="str">
        <f t="shared" si="0"/>
        <v>10 người</v>
      </c>
    </row>
    <row r="10" spans="1:8">
      <c r="A10" s="323">
        <v>43958</v>
      </c>
      <c r="B10" s="324" t="s">
        <v>5814</v>
      </c>
      <c r="C10" s="324" t="s">
        <v>5813</v>
      </c>
      <c r="D10" s="325" t="s">
        <v>5405</v>
      </c>
      <c r="E10" s="324">
        <v>0</v>
      </c>
      <c r="F10" s="326"/>
      <c r="G10" s="327" t="s">
        <v>4222</v>
      </c>
      <c r="H10" s="324" t="s">
        <v>5853</v>
      </c>
    </row>
    <row r="11" spans="1:8">
      <c r="A11" s="323">
        <v>43959</v>
      </c>
      <c r="B11" s="324" t="s">
        <v>5815</v>
      </c>
      <c r="C11" s="324" t="s">
        <v>5813</v>
      </c>
      <c r="D11" s="325" t="s">
        <v>5405</v>
      </c>
      <c r="E11" s="324">
        <v>0</v>
      </c>
      <c r="F11" s="326"/>
      <c r="G11" s="327" t="s">
        <v>4222</v>
      </c>
      <c r="H11" s="324" t="str">
        <f>H10</f>
        <v>35 người</v>
      </c>
    </row>
    <row r="12" spans="1:8">
      <c r="A12" s="323">
        <v>43960</v>
      </c>
      <c r="B12" s="324" t="s">
        <v>5815</v>
      </c>
      <c r="C12" s="324" t="s">
        <v>5813</v>
      </c>
      <c r="D12" s="325" t="s">
        <v>5405</v>
      </c>
      <c r="E12" s="324">
        <v>0</v>
      </c>
      <c r="F12" s="326"/>
      <c r="G12" s="327" t="s">
        <v>4222</v>
      </c>
      <c r="H12" s="324" t="str">
        <f t="shared" ref="H12:H32" si="1">H11</f>
        <v>35 người</v>
      </c>
    </row>
    <row r="13" spans="1:8">
      <c r="A13" s="323">
        <v>43961</v>
      </c>
      <c r="B13" s="324" t="s">
        <v>5815</v>
      </c>
      <c r="C13" s="324" t="s">
        <v>5813</v>
      </c>
      <c r="D13" s="325" t="s">
        <v>5405</v>
      </c>
      <c r="E13" s="324">
        <v>0</v>
      </c>
      <c r="F13" s="326"/>
      <c r="G13" s="327" t="s">
        <v>4222</v>
      </c>
      <c r="H13" s="324" t="str">
        <f t="shared" si="1"/>
        <v>35 người</v>
      </c>
    </row>
    <row r="14" spans="1:8">
      <c r="A14" s="323">
        <v>43962</v>
      </c>
      <c r="B14" s="324" t="s">
        <v>5816</v>
      </c>
      <c r="C14" s="324" t="s">
        <v>5813</v>
      </c>
      <c r="D14" s="325" t="s">
        <v>5405</v>
      </c>
      <c r="E14" s="324">
        <v>0</v>
      </c>
      <c r="F14" s="326"/>
      <c r="G14" s="327" t="s">
        <v>4222</v>
      </c>
      <c r="H14" s="324" t="str">
        <f t="shared" si="1"/>
        <v>35 người</v>
      </c>
    </row>
    <row r="15" spans="1:8">
      <c r="A15" s="323">
        <v>43963</v>
      </c>
      <c r="B15" s="324" t="s">
        <v>5815</v>
      </c>
      <c r="C15" s="324" t="s">
        <v>5813</v>
      </c>
      <c r="D15" s="325" t="s">
        <v>5405</v>
      </c>
      <c r="E15" s="324">
        <v>0</v>
      </c>
      <c r="F15" s="326"/>
      <c r="G15" s="327" t="s">
        <v>4222</v>
      </c>
      <c r="H15" s="324" t="str">
        <f t="shared" si="1"/>
        <v>35 người</v>
      </c>
    </row>
    <row r="16" spans="1:8">
      <c r="A16" s="323">
        <v>43964</v>
      </c>
      <c r="B16" s="324" t="s">
        <v>5815</v>
      </c>
      <c r="C16" s="324" t="s">
        <v>5813</v>
      </c>
      <c r="D16" s="325" t="s">
        <v>5405</v>
      </c>
      <c r="E16" s="324">
        <v>0</v>
      </c>
      <c r="F16" s="326"/>
      <c r="G16" s="327" t="s">
        <v>4222</v>
      </c>
      <c r="H16" s="324" t="str">
        <f t="shared" si="1"/>
        <v>35 người</v>
      </c>
    </row>
    <row r="17" spans="1:8">
      <c r="A17" s="323">
        <v>43965</v>
      </c>
      <c r="B17" s="324" t="s">
        <v>5817</v>
      </c>
      <c r="C17" s="324" t="s">
        <v>5813</v>
      </c>
      <c r="D17" s="325" t="s">
        <v>5405</v>
      </c>
      <c r="E17" s="324">
        <v>0</v>
      </c>
      <c r="F17" s="326"/>
      <c r="G17" s="327" t="s">
        <v>4222</v>
      </c>
      <c r="H17" s="324" t="str">
        <f t="shared" si="1"/>
        <v>35 người</v>
      </c>
    </row>
    <row r="18" spans="1:8">
      <c r="A18" s="323">
        <v>43966</v>
      </c>
      <c r="B18" s="324" t="s">
        <v>5814</v>
      </c>
      <c r="C18" s="324" t="s">
        <v>5813</v>
      </c>
      <c r="D18" s="324" t="s">
        <v>5405</v>
      </c>
      <c r="E18" s="324">
        <v>0</v>
      </c>
      <c r="F18" s="326"/>
      <c r="G18" s="327" t="s">
        <v>4222</v>
      </c>
      <c r="H18" s="324" t="str">
        <f t="shared" si="1"/>
        <v>35 người</v>
      </c>
    </row>
    <row r="19" spans="1:8">
      <c r="A19" s="323">
        <v>43967</v>
      </c>
      <c r="B19" s="324" t="s">
        <v>5815</v>
      </c>
      <c r="C19" s="324" t="s">
        <v>5813</v>
      </c>
      <c r="D19" s="324" t="s">
        <v>5405</v>
      </c>
      <c r="E19" s="324">
        <v>0</v>
      </c>
      <c r="F19" s="326"/>
      <c r="G19" s="327" t="s">
        <v>4222</v>
      </c>
      <c r="H19" s="324" t="str">
        <f t="shared" si="1"/>
        <v>35 người</v>
      </c>
    </row>
    <row r="20" spans="1:8">
      <c r="A20" s="323">
        <v>43968</v>
      </c>
      <c r="B20" s="324" t="s">
        <v>5815</v>
      </c>
      <c r="C20" s="324" t="s">
        <v>5813</v>
      </c>
      <c r="D20" s="324" t="s">
        <v>5405</v>
      </c>
      <c r="E20" s="324">
        <v>0</v>
      </c>
      <c r="F20" s="326"/>
      <c r="G20" s="327" t="s">
        <v>4222</v>
      </c>
      <c r="H20" s="324" t="str">
        <f t="shared" si="1"/>
        <v>35 người</v>
      </c>
    </row>
    <row r="21" spans="1:8">
      <c r="A21" s="323">
        <v>43969</v>
      </c>
      <c r="B21" s="324" t="s">
        <v>5815</v>
      </c>
      <c r="C21" s="324" t="s">
        <v>5813</v>
      </c>
      <c r="D21" s="324" t="s">
        <v>5405</v>
      </c>
      <c r="E21" s="324">
        <v>0</v>
      </c>
      <c r="F21" s="326"/>
      <c r="G21" s="327" t="s">
        <v>4222</v>
      </c>
      <c r="H21" s="324" t="str">
        <f t="shared" si="1"/>
        <v>35 người</v>
      </c>
    </row>
    <row r="22" spans="1:8">
      <c r="A22" s="323">
        <v>43970</v>
      </c>
      <c r="B22" s="324" t="s">
        <v>5818</v>
      </c>
      <c r="C22" s="324" t="s">
        <v>5813</v>
      </c>
      <c r="D22" s="324" t="s">
        <v>5405</v>
      </c>
      <c r="E22" s="324">
        <v>0</v>
      </c>
      <c r="F22" s="326"/>
      <c r="G22" s="327" t="s">
        <v>4222</v>
      </c>
      <c r="H22" s="324" t="str">
        <f t="shared" si="1"/>
        <v>35 người</v>
      </c>
    </row>
    <row r="23" spans="1:8">
      <c r="A23" s="323">
        <v>43971</v>
      </c>
      <c r="B23" s="324" t="s">
        <v>5815</v>
      </c>
      <c r="C23" s="324" t="s">
        <v>5813</v>
      </c>
      <c r="D23" s="324" t="s">
        <v>5405</v>
      </c>
      <c r="E23" s="324">
        <v>0</v>
      </c>
      <c r="F23" s="326"/>
      <c r="G23" s="327" t="s">
        <v>4222</v>
      </c>
      <c r="H23" s="324" t="str">
        <f t="shared" si="1"/>
        <v>35 người</v>
      </c>
    </row>
    <row r="24" spans="1:8">
      <c r="A24" s="323">
        <v>43972</v>
      </c>
      <c r="B24" s="324" t="s">
        <v>5815</v>
      </c>
      <c r="C24" s="324" t="s">
        <v>5813</v>
      </c>
      <c r="D24" s="324" t="s">
        <v>5405</v>
      </c>
      <c r="E24" s="324">
        <v>0</v>
      </c>
      <c r="F24" s="326"/>
      <c r="G24" s="327" t="s">
        <v>4222</v>
      </c>
      <c r="H24" s="324" t="str">
        <f t="shared" si="1"/>
        <v>35 người</v>
      </c>
    </row>
    <row r="25" spans="1:8">
      <c r="A25" s="323">
        <v>43973</v>
      </c>
      <c r="B25" s="324" t="s">
        <v>5818</v>
      </c>
      <c r="C25" s="324" t="s">
        <v>5813</v>
      </c>
      <c r="D25" s="324" t="s">
        <v>5405</v>
      </c>
      <c r="E25" s="324">
        <v>0</v>
      </c>
      <c r="F25" s="326"/>
      <c r="G25" s="327" t="s">
        <v>4222</v>
      </c>
      <c r="H25" s="324" t="str">
        <f t="shared" si="1"/>
        <v>35 người</v>
      </c>
    </row>
    <row r="26" spans="1:8">
      <c r="A26" s="323">
        <v>43974</v>
      </c>
      <c r="B26" s="324" t="s">
        <v>5819</v>
      </c>
      <c r="C26" s="324" t="s">
        <v>5813</v>
      </c>
      <c r="D26" s="324" t="s">
        <v>5405</v>
      </c>
      <c r="E26" s="324">
        <v>0</v>
      </c>
      <c r="F26" s="326"/>
      <c r="G26" s="327" t="s">
        <v>4222</v>
      </c>
      <c r="H26" s="324" t="str">
        <f t="shared" si="1"/>
        <v>35 người</v>
      </c>
    </row>
    <row r="27" spans="1:8">
      <c r="A27" s="323">
        <v>43975</v>
      </c>
      <c r="B27" s="324" t="s">
        <v>5818</v>
      </c>
      <c r="C27" s="324" t="s">
        <v>5813</v>
      </c>
      <c r="D27" s="324" t="s">
        <v>5405</v>
      </c>
      <c r="E27" s="324">
        <v>0</v>
      </c>
      <c r="F27" s="326"/>
      <c r="G27" s="327" t="s">
        <v>4222</v>
      </c>
      <c r="H27" s="324" t="str">
        <f t="shared" si="1"/>
        <v>35 người</v>
      </c>
    </row>
    <row r="28" spans="1:8">
      <c r="A28" s="323">
        <v>43976</v>
      </c>
      <c r="B28" s="324" t="s">
        <v>5814</v>
      </c>
      <c r="C28" s="324" t="s">
        <v>5813</v>
      </c>
      <c r="D28" s="324" t="s">
        <v>5405</v>
      </c>
      <c r="E28" s="324">
        <v>0</v>
      </c>
      <c r="F28" s="326"/>
      <c r="G28" s="327" t="s">
        <v>4222</v>
      </c>
      <c r="H28" s="324" t="str">
        <f t="shared" si="1"/>
        <v>35 người</v>
      </c>
    </row>
    <row r="29" spans="1:8">
      <c r="A29" s="323">
        <v>43977</v>
      </c>
      <c r="B29" s="324" t="s">
        <v>5814</v>
      </c>
      <c r="C29" s="324" t="s">
        <v>5813</v>
      </c>
      <c r="D29" s="324" t="s">
        <v>5405</v>
      </c>
      <c r="E29" s="324">
        <v>9.9</v>
      </c>
      <c r="F29" s="326"/>
      <c r="G29" s="327" t="s">
        <v>4222</v>
      </c>
      <c r="H29" s="324" t="str">
        <f t="shared" si="1"/>
        <v>35 người</v>
      </c>
    </row>
    <row r="30" spans="1:8">
      <c r="A30" s="323">
        <v>43978</v>
      </c>
      <c r="B30" s="324" t="s">
        <v>5817</v>
      </c>
      <c r="C30" s="324" t="s">
        <v>5813</v>
      </c>
      <c r="D30" s="324" t="s">
        <v>5405</v>
      </c>
      <c r="E30" s="324">
        <v>0</v>
      </c>
      <c r="F30" s="326"/>
      <c r="G30" s="327" t="s">
        <v>4222</v>
      </c>
      <c r="H30" s="324" t="str">
        <f t="shared" si="1"/>
        <v>35 người</v>
      </c>
    </row>
    <row r="31" spans="1:8">
      <c r="A31" s="323">
        <v>43979</v>
      </c>
      <c r="B31" s="324" t="s">
        <v>5814</v>
      </c>
      <c r="C31" s="324" t="s">
        <v>5813</v>
      </c>
      <c r="D31" s="324" t="s">
        <v>5405</v>
      </c>
      <c r="E31" s="324">
        <v>0</v>
      </c>
      <c r="F31" s="326"/>
      <c r="G31" s="327" t="s">
        <v>4222</v>
      </c>
      <c r="H31" s="324" t="str">
        <f t="shared" si="1"/>
        <v>35 người</v>
      </c>
    </row>
    <row r="32" spans="1:8">
      <c r="A32" s="323">
        <v>43980</v>
      </c>
      <c r="B32" s="324" t="s">
        <v>5815</v>
      </c>
      <c r="C32" s="324" t="s">
        <v>5813</v>
      </c>
      <c r="D32" s="324" t="s">
        <v>5405</v>
      </c>
      <c r="E32" s="324">
        <v>0</v>
      </c>
      <c r="F32" s="326"/>
      <c r="G32" s="327" t="s">
        <v>4222</v>
      </c>
      <c r="H32" s="324" t="str">
        <f t="shared" si="1"/>
        <v>35 người</v>
      </c>
    </row>
    <row r="33" spans="1:8">
      <c r="A33" s="323">
        <v>43981</v>
      </c>
      <c r="B33" s="324" t="s">
        <v>5928</v>
      </c>
      <c r="C33" s="324" t="s">
        <v>5813</v>
      </c>
      <c r="D33" s="324" t="s">
        <v>5405</v>
      </c>
      <c r="E33" s="324"/>
      <c r="F33" s="326"/>
      <c r="G33" s="327" t="s">
        <v>4222</v>
      </c>
      <c r="H33" s="324"/>
    </row>
    <row r="34" spans="1:8">
      <c r="A34" s="323"/>
      <c r="B34" s="324"/>
      <c r="C34" s="324"/>
      <c r="D34" s="324"/>
      <c r="E34" s="324"/>
      <c r="F34" s="326"/>
      <c r="G34" s="327"/>
      <c r="H34" s="324"/>
    </row>
    <row r="35" spans="1:8">
      <c r="A35" s="323"/>
      <c r="B35" s="324"/>
      <c r="C35" s="324"/>
      <c r="D35" s="324"/>
      <c r="E35" s="324"/>
      <c r="F35" s="326"/>
      <c r="G35" s="327"/>
      <c r="H35" s="324"/>
    </row>
    <row r="36" spans="1:8">
      <c r="A36" s="323"/>
      <c r="B36" s="324"/>
      <c r="C36" s="324"/>
      <c r="D36" s="325"/>
      <c r="E36" s="324"/>
      <c r="F36" s="326"/>
      <c r="G36" s="327"/>
      <c r="H36" s="324"/>
    </row>
    <row r="37" spans="1:8">
      <c r="A37" s="323"/>
      <c r="B37" s="324"/>
      <c r="C37" s="324"/>
      <c r="D37" s="324"/>
      <c r="E37" s="324"/>
      <c r="F37" s="326"/>
      <c r="G37" s="327"/>
      <c r="H37" s="324"/>
    </row>
    <row r="38" spans="1:8">
      <c r="A38" s="323"/>
      <c r="B38" s="324"/>
      <c r="C38" s="324"/>
      <c r="D38" s="324"/>
      <c r="E38" s="324"/>
      <c r="F38" s="326"/>
      <c r="G38" s="327"/>
      <c r="H38" s="324"/>
    </row>
    <row r="39" spans="1:8">
      <c r="A39" s="323"/>
      <c r="B39" s="324"/>
      <c r="C39" s="324"/>
      <c r="D39" s="324"/>
      <c r="E39" s="324"/>
      <c r="F39" s="326"/>
      <c r="G39" s="327"/>
      <c r="H39" s="324"/>
    </row>
    <row r="40" spans="1:8">
      <c r="A40" s="323"/>
      <c r="B40" s="324"/>
      <c r="C40" s="324"/>
      <c r="D40" s="324"/>
      <c r="E40" s="324"/>
      <c r="F40" s="326"/>
      <c r="G40" s="326"/>
      <c r="H40" s="324"/>
    </row>
    <row r="41" spans="1:8">
      <c r="A41" s="323"/>
      <c r="B41" s="324"/>
      <c r="C41" s="324"/>
      <c r="D41" s="324"/>
      <c r="E41" s="324"/>
      <c r="F41" s="326"/>
      <c r="G41" s="326"/>
      <c r="H41" s="324"/>
    </row>
    <row r="42" spans="1:8">
      <c r="A42" s="323"/>
      <c r="B42" s="324"/>
      <c r="C42" s="324"/>
      <c r="D42" s="324"/>
      <c r="E42" s="324"/>
      <c r="F42" s="326"/>
      <c r="G42" s="326"/>
      <c r="H42" s="324"/>
    </row>
    <row r="43" spans="1:8">
      <c r="A43" s="323"/>
      <c r="B43" s="324"/>
      <c r="C43" s="324"/>
      <c r="D43" s="324"/>
      <c r="E43" s="324"/>
      <c r="F43" s="326"/>
      <c r="G43" s="326"/>
      <c r="H43" s="324"/>
    </row>
    <row r="44" spans="1:8">
      <c r="A44" s="323"/>
      <c r="B44" s="324"/>
      <c r="C44" s="324"/>
      <c r="D44" s="324"/>
      <c r="E44" s="324"/>
      <c r="F44" s="326"/>
      <c r="G44" s="326"/>
      <c r="H44" s="324"/>
    </row>
    <row r="45" spans="1:8">
      <c r="A45" s="323"/>
      <c r="B45" s="324"/>
      <c r="C45" s="324"/>
      <c r="D45" s="324"/>
      <c r="E45" s="324"/>
      <c r="F45" s="326"/>
      <c r="G45" s="326"/>
      <c r="H45" s="324"/>
    </row>
    <row r="46" spans="1:8">
      <c r="A46" s="323"/>
      <c r="B46" s="324"/>
      <c r="C46" s="324"/>
      <c r="D46" s="324"/>
      <c r="E46" s="324"/>
      <c r="F46" s="326"/>
      <c r="G46" s="326"/>
      <c r="H46" s="324"/>
    </row>
    <row r="47" spans="1:8">
      <c r="A47" s="323"/>
      <c r="B47" s="324"/>
      <c r="C47" s="324"/>
      <c r="D47" s="324"/>
      <c r="E47" s="324"/>
      <c r="F47" s="326"/>
      <c r="G47" s="326"/>
      <c r="H47" s="324"/>
    </row>
    <row r="48" spans="1:8">
      <c r="A48" s="323"/>
      <c r="B48" s="324"/>
      <c r="C48" s="324"/>
      <c r="D48" s="324"/>
      <c r="E48" s="324"/>
      <c r="F48" s="326"/>
      <c r="G48" s="326"/>
      <c r="H48" s="324"/>
    </row>
    <row r="49" spans="1:8">
      <c r="A49" s="323"/>
      <c r="B49" s="324"/>
      <c r="C49" s="324"/>
      <c r="D49" s="324"/>
      <c r="E49" s="324"/>
      <c r="F49" s="326"/>
      <c r="G49" s="326"/>
      <c r="H49" s="324"/>
    </row>
    <row r="50" spans="1:8">
      <c r="A50" s="323"/>
      <c r="B50" s="324"/>
      <c r="C50" s="324"/>
      <c r="D50" s="324"/>
      <c r="E50" s="324"/>
      <c r="F50" s="326"/>
      <c r="G50" s="326"/>
      <c r="H50" s="324"/>
    </row>
    <row r="51" spans="1:8">
      <c r="A51" s="323"/>
      <c r="B51" s="324"/>
      <c r="C51" s="324"/>
      <c r="D51" s="324"/>
      <c r="E51" s="324"/>
      <c r="F51" s="326"/>
      <c r="G51" s="326"/>
      <c r="H51" s="324"/>
    </row>
    <row r="52" spans="1:8">
      <c r="A52" s="323"/>
      <c r="B52" s="324"/>
      <c r="C52" s="324"/>
      <c r="D52" s="324"/>
      <c r="E52" s="324"/>
      <c r="F52" s="326"/>
      <c r="G52" s="326"/>
      <c r="H52" s="324"/>
    </row>
    <row r="53" spans="1:8">
      <c r="A53" s="323"/>
      <c r="B53" s="324"/>
      <c r="C53" s="324"/>
      <c r="D53" s="324"/>
      <c r="E53" s="324"/>
      <c r="F53" s="326"/>
      <c r="G53" s="326"/>
      <c r="H53" s="324"/>
    </row>
    <row r="54" spans="1:8">
      <c r="A54" s="323"/>
      <c r="B54" s="324"/>
      <c r="C54" s="324"/>
      <c r="D54" s="324"/>
      <c r="E54" s="324"/>
      <c r="F54" s="326"/>
      <c r="G54" s="326"/>
      <c r="H54" s="324"/>
    </row>
    <row r="55" spans="1:8">
      <c r="A55" s="323"/>
      <c r="B55" s="324"/>
      <c r="C55" s="324"/>
      <c r="D55" s="324"/>
      <c r="E55" s="324"/>
      <c r="F55" s="326"/>
      <c r="G55" s="326"/>
      <c r="H55" s="324"/>
    </row>
    <row r="56" spans="1:8">
      <c r="A56" s="323"/>
      <c r="B56" s="324"/>
      <c r="C56" s="324"/>
      <c r="D56" s="324"/>
      <c r="E56" s="324"/>
      <c r="F56" s="326"/>
      <c r="G56" s="326"/>
      <c r="H56" s="324"/>
    </row>
    <row r="57" spans="1:8">
      <c r="A57" s="323"/>
      <c r="B57" s="324"/>
      <c r="C57" s="324"/>
      <c r="D57" s="324"/>
      <c r="E57" s="324"/>
      <c r="F57" s="326"/>
      <c r="G57" s="326"/>
      <c r="H57" s="324"/>
    </row>
    <row r="58" spans="1:8">
      <c r="A58" s="323"/>
      <c r="B58" s="324"/>
      <c r="C58" s="324"/>
      <c r="D58" s="324"/>
      <c r="E58" s="324"/>
      <c r="F58" s="326"/>
      <c r="G58" s="326"/>
      <c r="H58" s="324"/>
    </row>
    <row r="59" spans="1:8">
      <c r="A59" s="323"/>
      <c r="B59" s="324"/>
      <c r="C59" s="324"/>
      <c r="D59" s="324"/>
      <c r="E59" s="324"/>
      <c r="F59" s="326"/>
      <c r="G59" s="326"/>
      <c r="H59" s="324"/>
    </row>
    <row r="60" spans="1:8">
      <c r="A60" s="323"/>
      <c r="B60" s="324"/>
      <c r="C60" s="324"/>
      <c r="D60" s="324"/>
      <c r="E60" s="324"/>
      <c r="F60" s="326"/>
      <c r="G60" s="326"/>
      <c r="H60" s="324"/>
    </row>
    <row r="61" spans="1:8">
      <c r="A61" s="323"/>
      <c r="B61" s="324"/>
      <c r="C61" s="324"/>
      <c r="D61" s="324"/>
      <c r="E61" s="324"/>
      <c r="F61" s="326"/>
      <c r="G61" s="326"/>
      <c r="H61" s="324"/>
    </row>
    <row r="62" spans="1:8">
      <c r="A62" s="323"/>
      <c r="B62" s="324"/>
      <c r="C62" s="324"/>
      <c r="D62" s="324"/>
      <c r="E62" s="324"/>
      <c r="F62" s="326"/>
      <c r="G62" s="326"/>
      <c r="H62" s="324"/>
    </row>
    <row r="63" spans="1:8">
      <c r="A63" s="323"/>
      <c r="B63" s="324"/>
      <c r="C63" s="324"/>
      <c r="D63" s="324"/>
      <c r="E63" s="324"/>
      <c r="F63" s="326"/>
      <c r="G63" s="326"/>
      <c r="H63" s="324"/>
    </row>
    <row r="64" spans="1:8">
      <c r="A64" s="323"/>
      <c r="B64" s="324"/>
      <c r="C64" s="324"/>
      <c r="D64" s="324"/>
      <c r="E64" s="324"/>
      <c r="F64" s="326"/>
      <c r="G64" s="326"/>
      <c r="H64" s="324"/>
    </row>
    <row r="65" spans="1:8">
      <c r="A65" s="323"/>
      <c r="B65" s="324"/>
      <c r="C65" s="324"/>
      <c r="D65" s="324"/>
      <c r="E65" s="324"/>
      <c r="F65" s="326"/>
      <c r="G65" s="326"/>
      <c r="H65" s="324"/>
    </row>
    <row r="66" spans="1:8">
      <c r="A66" s="323"/>
      <c r="B66" s="324"/>
      <c r="C66" s="324"/>
      <c r="D66" s="325"/>
      <c r="E66" s="324"/>
      <c r="F66" s="326"/>
      <c r="G66" s="326"/>
      <c r="H66" s="324"/>
    </row>
    <row r="67" spans="1:8">
      <c r="A67" s="323"/>
      <c r="B67" s="324"/>
      <c r="C67" s="324"/>
      <c r="D67" s="324"/>
      <c r="E67" s="324"/>
      <c r="F67" s="326"/>
      <c r="G67" s="326"/>
      <c r="H67" s="324"/>
    </row>
    <row r="68" spans="1:8">
      <c r="A68" s="323"/>
      <c r="B68" s="324"/>
      <c r="C68" s="324"/>
      <c r="D68" s="324"/>
      <c r="E68" s="324"/>
      <c r="F68" s="326"/>
      <c r="G68" s="326"/>
      <c r="H68" s="324"/>
    </row>
    <row r="69" spans="1:8">
      <c r="A69" s="323"/>
      <c r="B69" s="324"/>
      <c r="C69" s="324"/>
      <c r="D69" s="324"/>
      <c r="E69" s="324"/>
      <c r="F69" s="326"/>
      <c r="G69" s="326"/>
      <c r="H69" s="324"/>
    </row>
    <row r="70" spans="1:8">
      <c r="A70" s="323"/>
      <c r="B70" s="324"/>
      <c r="C70" s="324"/>
      <c r="D70" s="324"/>
      <c r="E70" s="324"/>
      <c r="F70" s="326"/>
      <c r="G70" s="326"/>
      <c r="H70" s="324"/>
    </row>
    <row r="71" spans="1:8">
      <c r="A71" s="323"/>
      <c r="B71" s="324"/>
      <c r="C71" s="324"/>
      <c r="D71" s="324"/>
      <c r="E71" s="324"/>
      <c r="F71" s="326"/>
      <c r="G71" s="326"/>
      <c r="H71" s="324"/>
    </row>
    <row r="72" spans="1:8">
      <c r="A72" s="323"/>
      <c r="B72" s="324"/>
      <c r="C72" s="324"/>
      <c r="D72" s="324"/>
      <c r="E72" s="324"/>
      <c r="F72" s="326"/>
      <c r="G72" s="326"/>
      <c r="H72" s="324"/>
    </row>
    <row r="73" spans="1:8">
      <c r="A73" s="323"/>
      <c r="B73" s="324"/>
      <c r="C73" s="324"/>
      <c r="D73" s="324"/>
      <c r="E73" s="324"/>
      <c r="F73" s="326"/>
      <c r="G73" s="326"/>
      <c r="H73" s="324"/>
    </row>
    <row r="74" spans="1:8">
      <c r="A74" s="323"/>
      <c r="B74" s="324"/>
      <c r="C74" s="324"/>
      <c r="D74" s="324"/>
      <c r="E74" s="324"/>
      <c r="F74" s="326"/>
      <c r="G74" s="326"/>
      <c r="H74" s="324"/>
    </row>
    <row r="75" spans="1:8">
      <c r="A75" s="323"/>
      <c r="B75" s="324"/>
      <c r="C75" s="324"/>
      <c r="D75" s="324"/>
      <c r="E75" s="324"/>
      <c r="F75" s="326"/>
      <c r="G75" s="326"/>
      <c r="H75" s="324"/>
    </row>
    <row r="76" spans="1:8">
      <c r="A76" s="323"/>
      <c r="B76" s="324"/>
      <c r="C76" s="324"/>
      <c r="D76" s="324"/>
      <c r="E76" s="324"/>
      <c r="F76" s="326"/>
      <c r="G76" s="326"/>
      <c r="H76" s="324"/>
    </row>
    <row r="77" spans="1:8">
      <c r="A77" s="323"/>
      <c r="B77" s="324"/>
      <c r="C77" s="324"/>
      <c r="D77" s="324"/>
      <c r="E77" s="324"/>
      <c r="F77" s="326"/>
      <c r="G77" s="326"/>
      <c r="H77" s="324"/>
    </row>
    <row r="78" spans="1:8">
      <c r="A78" s="323"/>
      <c r="B78" s="324"/>
      <c r="C78" s="324"/>
      <c r="D78" s="324"/>
      <c r="E78" s="324"/>
      <c r="F78" s="326"/>
      <c r="G78" s="326"/>
      <c r="H78" s="324"/>
    </row>
    <row r="79" spans="1:8">
      <c r="A79" s="323"/>
      <c r="B79" s="324"/>
      <c r="C79" s="324"/>
      <c r="D79" s="324"/>
      <c r="E79" s="324"/>
      <c r="F79" s="326"/>
      <c r="G79" s="326"/>
      <c r="H79" s="324"/>
    </row>
    <row r="80" spans="1:8">
      <c r="A80" s="323"/>
      <c r="B80" s="324"/>
      <c r="C80" s="324"/>
      <c r="D80" s="324"/>
      <c r="E80" s="324"/>
      <c r="F80" s="326"/>
      <c r="G80" s="326"/>
      <c r="H80" s="324"/>
    </row>
    <row r="81" spans="1:8">
      <c r="A81" s="323"/>
      <c r="B81" s="324"/>
      <c r="C81" s="324"/>
      <c r="D81" s="324"/>
      <c r="E81" s="324"/>
      <c r="F81" s="326"/>
      <c r="G81" s="326"/>
      <c r="H81" s="324"/>
    </row>
    <row r="82" spans="1:8">
      <c r="A82" s="323"/>
      <c r="B82" s="324"/>
      <c r="C82" s="324"/>
      <c r="D82" s="324"/>
      <c r="E82" s="324"/>
      <c r="F82" s="326"/>
      <c r="G82" s="326"/>
      <c r="H82" s="324"/>
    </row>
    <row r="83" spans="1:8">
      <c r="A83" s="323"/>
      <c r="B83" s="324"/>
      <c r="C83" s="324"/>
      <c r="D83" s="324"/>
      <c r="E83" s="324"/>
      <c r="F83" s="326"/>
      <c r="G83" s="326"/>
      <c r="H83" s="324"/>
    </row>
    <row r="84" spans="1:8">
      <c r="A84" s="323"/>
      <c r="B84" s="324"/>
      <c r="C84" s="324"/>
      <c r="D84" s="324"/>
      <c r="E84" s="324"/>
      <c r="F84" s="326"/>
      <c r="G84" s="326"/>
      <c r="H84" s="324"/>
    </row>
    <row r="85" spans="1:8">
      <c r="A85" s="323"/>
      <c r="B85" s="324"/>
      <c r="C85" s="324"/>
      <c r="D85" s="324"/>
      <c r="E85" s="324"/>
      <c r="F85" s="326"/>
      <c r="G85" s="326"/>
      <c r="H85" s="324"/>
    </row>
    <row r="86" spans="1:8">
      <c r="A86" s="323"/>
      <c r="B86" s="324"/>
      <c r="C86" s="324"/>
      <c r="D86" s="324"/>
      <c r="E86" s="324"/>
      <c r="F86" s="326"/>
      <c r="G86" s="326"/>
      <c r="H86" s="324"/>
    </row>
    <row r="87" spans="1:8">
      <c r="A87" s="323"/>
      <c r="B87" s="324"/>
      <c r="C87" s="324"/>
      <c r="D87" s="324"/>
      <c r="E87" s="324"/>
      <c r="F87" s="326"/>
      <c r="G87" s="326"/>
      <c r="H87" s="324"/>
    </row>
    <row r="88" spans="1:8">
      <c r="A88" s="323"/>
      <c r="B88" s="324"/>
      <c r="C88" s="324"/>
      <c r="D88" s="324"/>
      <c r="E88" s="324"/>
      <c r="F88" s="326"/>
      <c r="G88" s="326"/>
      <c r="H88" s="324"/>
    </row>
    <row r="89" spans="1:8">
      <c r="A89" s="323"/>
      <c r="B89" s="324"/>
      <c r="C89" s="324"/>
      <c r="D89" s="324"/>
      <c r="E89" s="324"/>
      <c r="F89" s="326"/>
      <c r="G89" s="326"/>
      <c r="H89" s="324"/>
    </row>
    <row r="90" spans="1:8">
      <c r="A90" s="323"/>
      <c r="B90" s="324"/>
      <c r="C90" s="324"/>
      <c r="D90" s="324"/>
      <c r="E90" s="324"/>
      <c r="F90" s="326"/>
      <c r="G90" s="326"/>
      <c r="H90" s="324"/>
    </row>
    <row r="91" spans="1:8">
      <c r="A91" s="323"/>
      <c r="B91" s="324"/>
      <c r="C91" s="324"/>
      <c r="D91" s="324"/>
      <c r="E91" s="324"/>
      <c r="F91" s="326"/>
      <c r="G91" s="326"/>
      <c r="H91" s="324"/>
    </row>
    <row r="92" spans="1:8">
      <c r="A92" s="323"/>
      <c r="B92" s="324"/>
      <c r="C92" s="324"/>
      <c r="D92" s="324"/>
      <c r="E92" s="324"/>
      <c r="F92" s="326"/>
      <c r="G92" s="326"/>
      <c r="H92" s="324"/>
    </row>
    <row r="93" spans="1:8">
      <c r="A93" s="323"/>
      <c r="B93" s="324"/>
      <c r="C93" s="324"/>
      <c r="D93" s="324"/>
      <c r="E93" s="324"/>
      <c r="F93" s="326"/>
      <c r="G93" s="326"/>
      <c r="H93" s="324"/>
    </row>
    <row r="94" spans="1:8">
      <c r="A94" s="323"/>
      <c r="B94" s="324"/>
      <c r="C94" s="324"/>
      <c r="D94" s="324"/>
      <c r="E94" s="324"/>
      <c r="F94" s="326"/>
      <c r="G94" s="326"/>
      <c r="H94" s="324"/>
    </row>
    <row r="95" spans="1:8">
      <c r="A95" s="323"/>
      <c r="B95" s="324"/>
      <c r="C95" s="324"/>
      <c r="D95" s="324"/>
      <c r="E95" s="324"/>
      <c r="F95" s="326"/>
      <c r="G95" s="326"/>
      <c r="H95" s="324"/>
    </row>
    <row r="96" spans="1:8">
      <c r="A96" s="323"/>
      <c r="B96" s="324"/>
      <c r="C96" s="324"/>
      <c r="D96" s="324"/>
      <c r="E96" s="324"/>
      <c r="F96" s="326"/>
      <c r="G96" s="326"/>
      <c r="H96" s="324"/>
    </row>
    <row r="97" spans="1:8">
      <c r="A97" s="323"/>
      <c r="B97" s="324"/>
      <c r="C97" s="324"/>
      <c r="D97" s="325"/>
      <c r="E97" s="324"/>
      <c r="F97" s="326"/>
      <c r="G97" s="326"/>
      <c r="H97" s="324"/>
    </row>
    <row r="98" spans="1:8">
      <c r="A98" s="323"/>
      <c r="B98" s="324"/>
      <c r="C98" s="324"/>
      <c r="D98" s="324"/>
      <c r="E98" s="324"/>
      <c r="F98" s="326"/>
      <c r="G98" s="326"/>
      <c r="H98" s="324"/>
    </row>
    <row r="99" spans="1:8">
      <c r="A99" s="323"/>
      <c r="B99" s="324"/>
      <c r="C99" s="324"/>
      <c r="D99" s="324"/>
      <c r="E99" s="324"/>
      <c r="F99" s="326"/>
      <c r="G99" s="326"/>
      <c r="H99" s="324"/>
    </row>
    <row r="100" spans="1:8">
      <c r="A100" s="323"/>
      <c r="B100" s="324"/>
      <c r="C100" s="324"/>
      <c r="D100" s="324"/>
      <c r="E100" s="324"/>
      <c r="F100" s="326"/>
      <c r="G100" s="326"/>
      <c r="H100" s="324"/>
    </row>
    <row r="101" spans="1:8">
      <c r="A101" s="323"/>
      <c r="B101" s="324"/>
      <c r="C101" s="324"/>
      <c r="D101" s="324"/>
      <c r="E101" s="324"/>
      <c r="F101" s="326"/>
      <c r="G101" s="326"/>
      <c r="H101" s="324"/>
    </row>
    <row r="102" spans="1:8">
      <c r="A102" s="323"/>
      <c r="B102" s="324"/>
      <c r="C102" s="324"/>
      <c r="D102" s="324"/>
      <c r="E102" s="324"/>
      <c r="F102" s="326"/>
      <c r="G102" s="326"/>
      <c r="H102" s="324"/>
    </row>
    <row r="103" spans="1:8">
      <c r="A103" s="323"/>
      <c r="B103" s="324"/>
      <c r="C103" s="324"/>
      <c r="D103" s="324"/>
      <c r="E103" s="324"/>
      <c r="F103" s="326"/>
      <c r="G103" s="326"/>
      <c r="H103" s="324"/>
    </row>
    <row r="104" spans="1:8">
      <c r="A104" s="323"/>
      <c r="B104" s="324"/>
      <c r="C104" s="324"/>
      <c r="D104" s="324"/>
      <c r="E104" s="324"/>
      <c r="F104" s="326"/>
      <c r="G104" s="326"/>
      <c r="H104" s="324"/>
    </row>
    <row r="105" spans="1:8">
      <c r="A105" s="323"/>
      <c r="B105" s="324"/>
      <c r="C105" s="324"/>
      <c r="D105" s="324"/>
      <c r="E105" s="324"/>
      <c r="F105" s="326"/>
      <c r="G105" s="326"/>
      <c r="H105" s="324"/>
    </row>
    <row r="106" spans="1:8">
      <c r="A106" s="323"/>
      <c r="B106" s="324"/>
      <c r="C106" s="324"/>
      <c r="D106" s="324"/>
      <c r="E106" s="324"/>
      <c r="F106" s="326"/>
      <c r="G106" s="326"/>
      <c r="H106" s="324"/>
    </row>
    <row r="107" spans="1:8">
      <c r="A107" s="323"/>
      <c r="B107" s="324"/>
      <c r="C107" s="324"/>
      <c r="D107" s="324"/>
      <c r="E107" s="324"/>
      <c r="F107" s="326"/>
      <c r="G107" s="326"/>
      <c r="H107" s="324"/>
    </row>
    <row r="108" spans="1:8">
      <c r="A108" s="323"/>
      <c r="B108" s="324"/>
      <c r="C108" s="324"/>
      <c r="D108" s="324"/>
      <c r="E108" s="324"/>
      <c r="F108" s="326"/>
      <c r="G108" s="326"/>
      <c r="H108" s="324"/>
    </row>
    <row r="109" spans="1:8">
      <c r="A109" s="323"/>
      <c r="B109" s="324"/>
      <c r="C109" s="328"/>
      <c r="D109" s="324"/>
      <c r="E109" s="324"/>
      <c r="F109" s="326"/>
      <c r="G109" s="326"/>
      <c r="H109" s="324"/>
    </row>
    <row r="110" spans="1:8">
      <c r="A110" s="323"/>
      <c r="B110" s="324"/>
      <c r="C110" s="324"/>
      <c r="D110" s="324"/>
      <c r="E110" s="324"/>
      <c r="F110" s="326"/>
      <c r="G110" s="326"/>
      <c r="H110" s="324"/>
    </row>
    <row r="111" spans="1:8">
      <c r="A111" s="323"/>
      <c r="B111" s="324"/>
      <c r="C111" s="324"/>
      <c r="D111" s="324"/>
      <c r="E111" s="324"/>
      <c r="F111" s="326"/>
      <c r="G111" s="326"/>
      <c r="H111" s="324"/>
    </row>
    <row r="112" spans="1:8">
      <c r="A112" s="323"/>
      <c r="B112" s="324"/>
      <c r="C112" s="324"/>
      <c r="D112" s="324"/>
      <c r="E112" s="324"/>
      <c r="F112" s="326"/>
      <c r="G112" s="326"/>
      <c r="H112" s="324"/>
    </row>
    <row r="113" spans="1:8">
      <c r="A113" s="323"/>
      <c r="B113" s="324"/>
      <c r="C113" s="324"/>
      <c r="D113" s="324"/>
      <c r="E113" s="324"/>
      <c r="F113" s="326"/>
      <c r="G113" s="326"/>
      <c r="H113" s="324"/>
    </row>
    <row r="114" spans="1:8">
      <c r="A114" s="323"/>
      <c r="B114" s="324"/>
      <c r="C114" s="324"/>
      <c r="D114" s="324"/>
      <c r="E114" s="324"/>
      <c r="F114" s="326"/>
      <c r="G114" s="326"/>
      <c r="H114" s="324"/>
    </row>
    <row r="115" spans="1:8">
      <c r="A115" s="323"/>
      <c r="B115" s="324"/>
      <c r="C115" s="324"/>
      <c r="D115" s="324"/>
      <c r="E115" s="324"/>
      <c r="F115" s="326"/>
      <c r="G115" s="326"/>
      <c r="H115" s="324"/>
    </row>
    <row r="116" spans="1:8">
      <c r="A116" s="323"/>
      <c r="B116" s="324"/>
      <c r="C116" s="324"/>
      <c r="D116" s="324"/>
      <c r="E116" s="324"/>
      <c r="F116" s="326"/>
      <c r="G116" s="326"/>
      <c r="H116" s="324"/>
    </row>
    <row r="117" spans="1:8">
      <c r="A117" s="323"/>
      <c r="B117" s="324"/>
      <c r="C117" s="324"/>
      <c r="D117" s="324"/>
      <c r="E117" s="324"/>
      <c r="F117" s="326"/>
      <c r="G117" s="326"/>
      <c r="H117" s="324"/>
    </row>
    <row r="118" spans="1:8">
      <c r="A118" s="323"/>
      <c r="B118" s="324"/>
      <c r="C118" s="324"/>
      <c r="D118" s="324"/>
      <c r="E118" s="324"/>
      <c r="F118" s="326"/>
      <c r="G118" s="326"/>
      <c r="H118" s="324"/>
    </row>
    <row r="119" spans="1:8">
      <c r="A119" s="323"/>
      <c r="B119" s="324"/>
      <c r="C119" s="324"/>
      <c r="D119" s="324"/>
      <c r="E119" s="324"/>
      <c r="F119" s="326"/>
      <c r="G119" s="326"/>
      <c r="H119" s="324"/>
    </row>
    <row r="120" spans="1:8">
      <c r="A120" s="323"/>
      <c r="B120" s="324"/>
      <c r="C120" s="324"/>
      <c r="D120" s="324"/>
      <c r="E120" s="324"/>
      <c r="F120" s="326"/>
      <c r="G120" s="326"/>
      <c r="H120" s="324"/>
    </row>
    <row r="121" spans="1:8">
      <c r="A121" s="323"/>
      <c r="B121" s="324"/>
      <c r="C121" s="324"/>
      <c r="D121" s="324"/>
      <c r="E121" s="324"/>
      <c r="F121" s="326"/>
      <c r="G121" s="326"/>
      <c r="H121" s="324"/>
    </row>
    <row r="122" spans="1:8">
      <c r="A122" s="323"/>
      <c r="B122" s="324"/>
      <c r="C122" s="324"/>
      <c r="D122" s="324"/>
      <c r="E122" s="324"/>
      <c r="F122" s="326"/>
      <c r="G122" s="326"/>
      <c r="H122" s="324"/>
    </row>
    <row r="123" spans="1:8">
      <c r="A123" s="323"/>
      <c r="B123" s="324"/>
      <c r="C123" s="324"/>
      <c r="D123" s="324"/>
      <c r="E123" s="324"/>
      <c r="F123" s="326"/>
      <c r="G123" s="326"/>
      <c r="H123" s="324"/>
    </row>
    <row r="124" spans="1:8">
      <c r="A124" s="323"/>
      <c r="B124" s="324"/>
      <c r="C124" s="324"/>
      <c r="D124" s="324"/>
      <c r="E124" s="324"/>
      <c r="F124" s="326"/>
      <c r="G124" s="326"/>
      <c r="H124" s="324"/>
    </row>
    <row r="125" spans="1:8">
      <c r="A125" s="323"/>
      <c r="B125" s="324"/>
      <c r="C125" s="324"/>
      <c r="D125" s="324"/>
      <c r="E125" s="324"/>
      <c r="F125" s="326"/>
      <c r="G125" s="326"/>
      <c r="H125" s="324"/>
    </row>
    <row r="126" spans="1:8">
      <c r="A126" s="323"/>
      <c r="B126" s="324"/>
      <c r="C126" s="324"/>
      <c r="D126" s="324"/>
      <c r="E126" s="324"/>
      <c r="F126" s="326"/>
      <c r="G126" s="326"/>
      <c r="H126" s="324"/>
    </row>
    <row r="127" spans="1:8">
      <c r="A127" s="323"/>
      <c r="B127" s="324"/>
      <c r="C127" s="324"/>
      <c r="D127" s="324"/>
      <c r="E127" s="324"/>
      <c r="F127" s="326"/>
      <c r="G127" s="326"/>
      <c r="H127" s="324"/>
    </row>
    <row r="128" spans="1:8">
      <c r="A128" s="323"/>
      <c r="B128" s="324"/>
      <c r="C128" s="324"/>
      <c r="D128" s="324"/>
      <c r="E128" s="324"/>
      <c r="F128" s="326"/>
      <c r="G128" s="326"/>
      <c r="H128" s="324"/>
    </row>
    <row r="129" spans="1:8">
      <c r="A129" s="323"/>
      <c r="B129" s="324"/>
      <c r="C129" s="324"/>
      <c r="D129" s="324"/>
      <c r="E129" s="324"/>
      <c r="F129" s="326"/>
      <c r="G129" s="326"/>
      <c r="H129" s="324"/>
    </row>
    <row r="130" spans="1:8">
      <c r="A130" s="323"/>
      <c r="B130" s="324"/>
      <c r="C130" s="324"/>
      <c r="D130" s="324"/>
      <c r="E130" s="324"/>
      <c r="F130" s="326"/>
      <c r="G130" s="326"/>
      <c r="H130" s="324"/>
    </row>
    <row r="131" spans="1:8">
      <c r="A131" s="323"/>
      <c r="B131" s="324"/>
      <c r="C131" s="324"/>
      <c r="D131" s="324"/>
      <c r="E131" s="324"/>
      <c r="F131" s="326"/>
      <c r="G131" s="326"/>
      <c r="H131" s="324"/>
    </row>
    <row r="132" spans="1:8">
      <c r="A132" s="323"/>
      <c r="B132" s="324"/>
      <c r="C132" s="324"/>
      <c r="D132" s="324"/>
      <c r="E132" s="324"/>
      <c r="F132" s="326"/>
      <c r="G132" s="326"/>
      <c r="H132" s="324"/>
    </row>
    <row r="133" spans="1:8">
      <c r="A133" s="323"/>
      <c r="B133" s="324"/>
      <c r="C133" s="324"/>
      <c r="D133" s="324"/>
      <c r="E133" s="324"/>
      <c r="F133" s="326"/>
      <c r="G133" s="326"/>
      <c r="H133" s="324"/>
    </row>
    <row r="134" spans="1:8">
      <c r="A134" s="323"/>
      <c r="B134" s="324"/>
      <c r="C134" s="324"/>
      <c r="D134" s="324"/>
      <c r="E134" s="324"/>
      <c r="F134" s="326"/>
      <c r="G134" s="326"/>
      <c r="H134" s="324"/>
    </row>
    <row r="135" spans="1:8">
      <c r="A135" s="323"/>
      <c r="B135" s="324"/>
      <c r="C135" s="324"/>
      <c r="D135" s="324"/>
      <c r="E135" s="324"/>
      <c r="F135" s="326"/>
      <c r="G135" s="326"/>
      <c r="H135" s="324"/>
    </row>
    <row r="136" spans="1:8">
      <c r="A136" s="323"/>
      <c r="B136" s="324"/>
      <c r="C136" s="324"/>
      <c r="D136" s="324"/>
      <c r="E136" s="324"/>
      <c r="F136" s="326"/>
      <c r="G136" s="326"/>
      <c r="H136" s="324"/>
    </row>
    <row r="137" spans="1:8">
      <c r="A137" s="323"/>
      <c r="B137" s="324"/>
      <c r="C137" s="324"/>
      <c r="D137" s="324"/>
      <c r="E137" s="324"/>
      <c r="F137" s="326"/>
      <c r="G137" s="326"/>
      <c r="H137" s="324"/>
    </row>
    <row r="138" spans="1:8">
      <c r="A138" s="323"/>
      <c r="B138" s="324"/>
      <c r="C138" s="324"/>
      <c r="D138" s="324"/>
      <c r="E138" s="324"/>
      <c r="F138" s="326"/>
      <c r="G138" s="326"/>
      <c r="H138" s="324"/>
    </row>
    <row r="139" spans="1:8">
      <c r="A139" s="323"/>
      <c r="B139" s="324"/>
      <c r="C139" s="324"/>
      <c r="D139" s="324"/>
      <c r="E139" s="324"/>
      <c r="F139" s="326"/>
      <c r="G139" s="326"/>
      <c r="H139" s="324"/>
    </row>
    <row r="140" spans="1:8">
      <c r="A140" s="323"/>
      <c r="B140" s="324"/>
      <c r="C140" s="324"/>
      <c r="D140" s="324"/>
      <c r="E140" s="324"/>
      <c r="F140" s="326"/>
      <c r="G140" s="326"/>
      <c r="H140" s="324"/>
    </row>
    <row r="141" spans="1:8">
      <c r="A141" s="323"/>
      <c r="B141" s="324"/>
      <c r="C141" s="324"/>
      <c r="D141" s="324"/>
      <c r="E141" s="324"/>
      <c r="F141" s="326"/>
      <c r="G141" s="326"/>
      <c r="H141" s="324"/>
    </row>
    <row r="142" spans="1:8">
      <c r="A142" s="323"/>
      <c r="B142" s="324"/>
      <c r="C142" s="324"/>
      <c r="D142" s="324"/>
      <c r="E142" s="324"/>
      <c r="F142" s="326"/>
      <c r="G142" s="326"/>
      <c r="H142" s="324"/>
    </row>
    <row r="143" spans="1:8">
      <c r="A143" s="323"/>
      <c r="B143" s="324"/>
      <c r="C143" s="324"/>
      <c r="D143" s="324"/>
      <c r="E143" s="324"/>
      <c r="F143" s="326"/>
      <c r="G143" s="326"/>
      <c r="H143" s="324"/>
    </row>
    <row r="144" spans="1:8">
      <c r="A144" s="323"/>
      <c r="B144" s="324"/>
      <c r="C144" s="324"/>
      <c r="D144" s="324"/>
      <c r="E144" s="324"/>
      <c r="F144" s="326"/>
      <c r="G144" s="326"/>
      <c r="H144" s="324"/>
    </row>
    <row r="145" spans="1:8">
      <c r="A145" s="323"/>
      <c r="B145" s="324"/>
      <c r="C145" s="324"/>
      <c r="D145" s="324"/>
      <c r="E145" s="324"/>
      <c r="F145" s="326"/>
      <c r="G145" s="326"/>
      <c r="H145" s="324"/>
    </row>
    <row r="146" spans="1:8">
      <c r="A146" s="323"/>
      <c r="B146" s="324"/>
      <c r="C146" s="324"/>
      <c r="D146" s="324"/>
      <c r="E146" s="324"/>
      <c r="F146" s="326"/>
      <c r="G146" s="326"/>
      <c r="H146" s="324"/>
    </row>
    <row r="147" spans="1:8">
      <c r="A147" s="323"/>
      <c r="B147" s="324"/>
      <c r="C147" s="324"/>
      <c r="D147" s="324"/>
      <c r="E147" s="324"/>
      <c r="F147" s="326"/>
      <c r="G147" s="326"/>
      <c r="H147" s="324"/>
    </row>
    <row r="148" spans="1:8">
      <c r="A148" s="323"/>
      <c r="B148" s="324"/>
      <c r="C148" s="324"/>
      <c r="D148" s="324"/>
      <c r="E148" s="324"/>
      <c r="F148" s="326"/>
      <c r="G148" s="326"/>
      <c r="H148" s="324"/>
    </row>
    <row r="149" spans="1:8">
      <c r="A149" s="323"/>
      <c r="B149" s="324"/>
      <c r="C149" s="324"/>
      <c r="D149" s="324"/>
      <c r="E149" s="324"/>
      <c r="F149" s="326"/>
      <c r="G149" s="326"/>
      <c r="H149" s="324"/>
    </row>
    <row r="150" spans="1:8">
      <c r="A150" s="323"/>
      <c r="B150" s="324"/>
      <c r="C150" s="324"/>
      <c r="D150" s="324"/>
      <c r="E150" s="324"/>
      <c r="F150" s="326"/>
      <c r="G150" s="326"/>
      <c r="H150" s="324"/>
    </row>
    <row r="151" spans="1:8">
      <c r="A151" s="323"/>
      <c r="B151" s="324"/>
      <c r="C151" s="324"/>
      <c r="D151" s="324"/>
      <c r="E151" s="324"/>
      <c r="F151" s="326"/>
      <c r="G151" s="326"/>
      <c r="H151" s="324"/>
    </row>
    <row r="152" spans="1:8">
      <c r="A152" s="323"/>
      <c r="B152" s="324"/>
      <c r="C152" s="324"/>
      <c r="D152" s="324"/>
      <c r="E152" s="324"/>
      <c r="F152" s="326"/>
      <c r="G152" s="326"/>
      <c r="H152" s="324"/>
    </row>
    <row r="153" spans="1:8">
      <c r="A153" s="323"/>
      <c r="B153" s="324"/>
      <c r="C153" s="324"/>
      <c r="D153" s="324"/>
      <c r="E153" s="324"/>
      <c r="F153" s="326"/>
      <c r="G153" s="326"/>
      <c r="H153" s="324"/>
    </row>
    <row r="154" spans="1:8">
      <c r="A154" s="323"/>
      <c r="B154" s="324"/>
      <c r="C154" s="324"/>
      <c r="D154" s="324"/>
      <c r="E154" s="324"/>
      <c r="F154" s="326"/>
      <c r="G154" s="326"/>
      <c r="H154" s="324"/>
    </row>
    <row r="155" spans="1:8">
      <c r="A155" s="323"/>
      <c r="B155" s="324"/>
      <c r="C155" s="324"/>
      <c r="D155" s="324"/>
      <c r="E155" s="324"/>
      <c r="F155" s="326"/>
      <c r="G155" s="326"/>
      <c r="H155" s="324"/>
    </row>
    <row r="156" spans="1:8">
      <c r="A156" s="323"/>
      <c r="B156" s="324"/>
      <c r="C156" s="324"/>
      <c r="D156" s="324"/>
      <c r="E156" s="324"/>
      <c r="F156" s="326"/>
      <c r="G156" s="326"/>
      <c r="H156" s="324"/>
    </row>
    <row r="157" spans="1:8">
      <c r="A157" s="323"/>
      <c r="B157" s="324"/>
      <c r="C157" s="324"/>
      <c r="D157" s="324"/>
      <c r="E157" s="324"/>
      <c r="F157" s="326"/>
      <c r="G157" s="326"/>
      <c r="H157" s="324"/>
    </row>
    <row r="158" spans="1:8">
      <c r="A158" s="323"/>
      <c r="B158" s="324"/>
      <c r="C158" s="324"/>
      <c r="D158" s="324"/>
      <c r="E158" s="324"/>
      <c r="F158" s="326"/>
      <c r="G158" s="326"/>
      <c r="H158" s="324"/>
    </row>
    <row r="159" spans="1:8">
      <c r="A159" s="323"/>
      <c r="B159" s="324"/>
      <c r="C159" s="324"/>
      <c r="D159" s="324"/>
      <c r="E159" s="324"/>
      <c r="F159" s="326"/>
      <c r="G159" s="326"/>
      <c r="H159" s="324"/>
    </row>
    <row r="160" spans="1:8">
      <c r="A160" s="323"/>
      <c r="B160" s="324"/>
      <c r="C160" s="324"/>
      <c r="D160" s="324"/>
      <c r="E160" s="324"/>
      <c r="F160" s="326"/>
      <c r="G160" s="326"/>
      <c r="H160" s="324"/>
    </row>
    <row r="161" spans="1:8">
      <c r="A161" s="323"/>
      <c r="B161" s="324"/>
      <c r="C161" s="324"/>
      <c r="D161" s="324"/>
      <c r="E161" s="324"/>
      <c r="F161" s="326"/>
      <c r="G161" s="326"/>
      <c r="H161" s="324"/>
    </row>
    <row r="162" spans="1:8">
      <c r="A162" s="323"/>
      <c r="B162" s="324"/>
      <c r="C162" s="324"/>
      <c r="D162" s="324"/>
      <c r="E162" s="324"/>
      <c r="F162" s="326"/>
      <c r="G162" s="326"/>
      <c r="H162" s="324"/>
    </row>
    <row r="163" spans="1:8">
      <c r="A163" s="323"/>
      <c r="B163" s="324"/>
      <c r="C163" s="324"/>
      <c r="D163" s="324"/>
      <c r="E163" s="324"/>
      <c r="F163" s="326"/>
      <c r="G163" s="326"/>
      <c r="H163" s="324"/>
    </row>
    <row r="164" spans="1:8">
      <c r="A164" s="323"/>
      <c r="B164" s="324"/>
      <c r="C164" s="324"/>
      <c r="D164" s="324"/>
      <c r="E164" s="324"/>
      <c r="F164" s="326"/>
      <c r="G164" s="326"/>
      <c r="H164" s="324"/>
    </row>
    <row r="165" spans="1:8">
      <c r="A165" s="323"/>
      <c r="B165" s="324"/>
      <c r="C165" s="324"/>
      <c r="D165" s="324"/>
      <c r="E165" s="324"/>
      <c r="F165" s="326"/>
      <c r="G165" s="326"/>
      <c r="H165" s="324"/>
    </row>
    <row r="166" spans="1:8">
      <c r="A166" s="323"/>
      <c r="B166" s="324"/>
      <c r="C166" s="324"/>
      <c r="D166" s="324"/>
      <c r="E166" s="324"/>
      <c r="F166" s="326"/>
      <c r="G166" s="326"/>
      <c r="H166" s="324"/>
    </row>
    <row r="167" spans="1:8">
      <c r="A167" s="323"/>
      <c r="B167" s="324"/>
      <c r="C167" s="324"/>
      <c r="D167" s="324"/>
      <c r="E167" s="324"/>
      <c r="F167" s="326"/>
      <c r="G167" s="326"/>
      <c r="H167" s="324"/>
    </row>
    <row r="168" spans="1:8">
      <c r="A168" s="323"/>
      <c r="B168" s="324"/>
      <c r="C168" s="324"/>
      <c r="D168" s="324"/>
      <c r="E168" s="324"/>
      <c r="F168" s="326"/>
      <c r="G168" s="326"/>
      <c r="H168" s="324"/>
    </row>
    <row r="169" spans="1:8">
      <c r="A169" s="323"/>
      <c r="B169" s="324"/>
      <c r="C169" s="324"/>
      <c r="D169" s="324"/>
      <c r="E169" s="324"/>
      <c r="F169" s="326"/>
      <c r="G169" s="326"/>
      <c r="H169" s="324"/>
    </row>
    <row r="170" spans="1:8">
      <c r="A170" s="323"/>
      <c r="B170" s="324"/>
      <c r="C170" s="324"/>
      <c r="D170" s="324"/>
      <c r="E170" s="324"/>
      <c r="F170" s="326"/>
      <c r="G170" s="326"/>
      <c r="H170" s="324"/>
    </row>
    <row r="171" spans="1:8">
      <c r="A171" s="323"/>
      <c r="B171" s="324"/>
      <c r="C171" s="324"/>
      <c r="D171" s="324"/>
      <c r="E171" s="324"/>
      <c r="F171" s="326"/>
      <c r="G171" s="326"/>
      <c r="H171" s="324"/>
    </row>
    <row r="172" spans="1:8">
      <c r="A172" s="323"/>
      <c r="B172" s="324"/>
      <c r="C172" s="324"/>
      <c r="D172" s="324"/>
      <c r="E172" s="324"/>
      <c r="F172" s="326"/>
      <c r="G172" s="326"/>
      <c r="H172" s="324"/>
    </row>
    <row r="173" spans="1:8">
      <c r="A173" s="323"/>
      <c r="B173" s="324"/>
      <c r="C173" s="324"/>
      <c r="D173" s="324"/>
      <c r="E173" s="324"/>
      <c r="F173" s="326"/>
      <c r="G173" s="326"/>
      <c r="H173" s="324"/>
    </row>
    <row r="174" spans="1:8">
      <c r="A174" s="323"/>
      <c r="B174" s="324"/>
      <c r="C174" s="324"/>
      <c r="D174" s="324"/>
      <c r="E174" s="324"/>
      <c r="F174" s="326"/>
      <c r="G174" s="326"/>
      <c r="H174" s="324"/>
    </row>
    <row r="175" spans="1:8">
      <c r="A175" s="323"/>
      <c r="B175" s="324"/>
      <c r="C175" s="324"/>
      <c r="D175" s="324"/>
      <c r="E175" s="324"/>
      <c r="F175" s="326"/>
      <c r="G175" s="326"/>
      <c r="H175" s="324"/>
    </row>
    <row r="176" spans="1:8">
      <c r="A176" s="323"/>
      <c r="B176" s="324"/>
      <c r="C176" s="324"/>
      <c r="D176" s="324"/>
      <c r="E176" s="324"/>
      <c r="F176" s="326"/>
      <c r="G176" s="326"/>
      <c r="H176" s="324"/>
    </row>
    <row r="177" spans="1:8">
      <c r="A177" s="323"/>
      <c r="B177" s="324"/>
      <c r="C177" s="324"/>
      <c r="D177" s="324"/>
      <c r="E177" s="324"/>
      <c r="F177" s="326"/>
      <c r="G177" s="326"/>
      <c r="H177" s="324"/>
    </row>
    <row r="178" spans="1:8">
      <c r="A178" s="323"/>
      <c r="B178" s="324"/>
      <c r="C178" s="324"/>
      <c r="D178" s="324"/>
      <c r="E178" s="324"/>
      <c r="F178" s="326"/>
      <c r="G178" s="326"/>
      <c r="H178" s="324"/>
    </row>
    <row r="179" spans="1:8">
      <c r="A179" s="323"/>
      <c r="B179" s="324"/>
      <c r="C179" s="324"/>
      <c r="D179" s="324"/>
      <c r="E179" s="324"/>
      <c r="F179" s="326"/>
      <c r="G179" s="326"/>
      <c r="H179" s="324"/>
    </row>
    <row r="180" spans="1:8">
      <c r="A180" s="323"/>
      <c r="B180" s="324"/>
      <c r="C180" s="324"/>
      <c r="D180" s="324"/>
      <c r="E180" s="324"/>
      <c r="F180" s="326"/>
      <c r="G180" s="326"/>
      <c r="H180" s="324"/>
    </row>
    <row r="181" spans="1:8">
      <c r="A181" s="323"/>
      <c r="B181" s="324"/>
      <c r="C181" s="324"/>
      <c r="D181" s="324"/>
      <c r="E181" s="324"/>
      <c r="F181" s="326"/>
      <c r="G181" s="326"/>
      <c r="H181" s="324"/>
    </row>
    <row r="182" spans="1:8">
      <c r="A182" s="323"/>
      <c r="B182" s="324"/>
      <c r="C182" s="324"/>
      <c r="D182" s="324"/>
      <c r="E182" s="324"/>
      <c r="F182" s="326"/>
      <c r="G182" s="326"/>
      <c r="H182" s="324"/>
    </row>
    <row r="183" spans="1:8">
      <c r="A183" s="323"/>
      <c r="B183" s="324"/>
      <c r="C183" s="324"/>
      <c r="D183" s="324"/>
      <c r="E183" s="324"/>
      <c r="F183" s="326"/>
      <c r="G183" s="326"/>
      <c r="H183" s="324"/>
    </row>
    <row r="184" spans="1:8">
      <c r="A184" s="323"/>
      <c r="B184" s="324"/>
      <c r="C184" s="324"/>
      <c r="D184" s="324"/>
      <c r="E184" s="324"/>
      <c r="F184" s="326"/>
      <c r="G184" s="326"/>
      <c r="H184" s="324"/>
    </row>
    <row r="185" spans="1:8">
      <c r="A185" s="323"/>
      <c r="B185" s="324"/>
      <c r="C185" s="324"/>
      <c r="D185" s="324"/>
      <c r="E185" s="324"/>
      <c r="F185" s="326"/>
      <c r="G185" s="326"/>
      <c r="H185" s="324"/>
    </row>
    <row r="186" spans="1:8">
      <c r="A186" s="323"/>
      <c r="B186" s="324"/>
      <c r="C186" s="324"/>
      <c r="D186" s="324"/>
      <c r="E186" s="324"/>
      <c r="F186" s="326"/>
      <c r="G186" s="326"/>
      <c r="H186" s="324"/>
    </row>
    <row r="187" spans="1:8">
      <c r="A187" s="323"/>
      <c r="B187" s="324"/>
      <c r="C187" s="324"/>
      <c r="D187" s="324"/>
      <c r="E187" s="324"/>
      <c r="F187" s="326"/>
      <c r="G187" s="326"/>
      <c r="H187" s="324"/>
    </row>
    <row r="188" spans="1:8">
      <c r="A188" s="323"/>
      <c r="B188" s="324"/>
      <c r="C188" s="324"/>
      <c r="D188" s="324"/>
      <c r="E188" s="324"/>
      <c r="F188" s="326"/>
      <c r="G188" s="326"/>
      <c r="H188" s="324"/>
    </row>
    <row r="189" spans="1:8">
      <c r="A189" s="323"/>
      <c r="B189" s="324"/>
      <c r="C189" s="324"/>
      <c r="D189" s="324"/>
      <c r="E189" s="324"/>
      <c r="F189" s="326"/>
      <c r="G189" s="326"/>
      <c r="H189" s="324"/>
    </row>
    <row r="190" spans="1:8">
      <c r="A190" s="323"/>
      <c r="B190" s="324"/>
      <c r="C190" s="324"/>
      <c r="D190" s="324"/>
      <c r="E190" s="324"/>
      <c r="F190" s="326"/>
      <c r="G190" s="326"/>
      <c r="H190" s="324"/>
    </row>
    <row r="191" spans="1:8">
      <c r="A191" s="323"/>
      <c r="B191" s="324"/>
      <c r="C191" s="324"/>
      <c r="D191" s="324"/>
      <c r="E191" s="324"/>
      <c r="F191" s="326"/>
      <c r="G191" s="326"/>
      <c r="H191" s="324"/>
    </row>
    <row r="192" spans="1:8">
      <c r="A192" s="323"/>
      <c r="B192" s="324"/>
      <c r="C192" s="324"/>
      <c r="D192" s="324"/>
      <c r="E192" s="324"/>
      <c r="F192" s="326"/>
      <c r="G192" s="326"/>
      <c r="H192" s="324"/>
    </row>
    <row r="193" spans="1:8">
      <c r="A193" s="323"/>
      <c r="B193" s="324"/>
      <c r="C193" s="324"/>
      <c r="D193" s="324"/>
      <c r="E193" s="324"/>
      <c r="F193" s="326"/>
      <c r="G193" s="326"/>
      <c r="H193" s="324"/>
    </row>
    <row r="194" spans="1:8">
      <c r="A194" s="323"/>
      <c r="B194" s="324"/>
      <c r="C194" s="324"/>
      <c r="D194" s="324"/>
      <c r="E194" s="324"/>
      <c r="F194" s="326"/>
      <c r="G194" s="326"/>
      <c r="H194" s="324"/>
    </row>
    <row r="195" spans="1:8">
      <c r="A195" s="323"/>
      <c r="B195" s="324"/>
      <c r="C195" s="324"/>
      <c r="D195" s="324"/>
      <c r="E195" s="324"/>
      <c r="F195" s="326"/>
      <c r="G195" s="326"/>
      <c r="H195" s="324"/>
    </row>
    <row r="196" spans="1:8">
      <c r="A196" s="323"/>
      <c r="B196" s="324"/>
      <c r="C196" s="324"/>
      <c r="D196" s="324"/>
      <c r="E196" s="324"/>
      <c r="F196" s="326"/>
      <c r="G196" s="326"/>
      <c r="H196" s="324"/>
    </row>
    <row r="197" spans="1:8">
      <c r="A197" s="323"/>
      <c r="B197" s="324"/>
      <c r="C197" s="324"/>
      <c r="D197" s="324"/>
      <c r="E197" s="324"/>
      <c r="F197" s="326"/>
      <c r="G197" s="326"/>
      <c r="H197" s="324"/>
    </row>
    <row r="198" spans="1:8">
      <c r="A198" s="323"/>
      <c r="B198" s="324"/>
      <c r="C198" s="324"/>
      <c r="D198" s="324"/>
      <c r="E198" s="324"/>
      <c r="F198" s="326"/>
      <c r="G198" s="326"/>
      <c r="H198" s="324"/>
    </row>
    <row r="199" spans="1:8">
      <c r="A199" s="323"/>
      <c r="B199" s="324"/>
      <c r="C199" s="324"/>
      <c r="D199" s="324"/>
      <c r="E199" s="324"/>
      <c r="F199" s="326"/>
      <c r="G199" s="326"/>
      <c r="H199" s="324"/>
    </row>
    <row r="200" spans="1:8">
      <c r="A200" s="323"/>
      <c r="B200" s="324"/>
      <c r="C200" s="324"/>
      <c r="D200" s="324"/>
      <c r="E200" s="324"/>
      <c r="F200" s="326"/>
      <c r="G200" s="326"/>
      <c r="H200" s="324"/>
    </row>
    <row r="201" spans="1:8">
      <c r="A201" s="323"/>
      <c r="B201" s="324"/>
      <c r="C201" s="324"/>
      <c r="D201" s="324"/>
      <c r="E201" s="324"/>
      <c r="F201" s="326"/>
      <c r="G201" s="326"/>
      <c r="H201" s="324"/>
    </row>
    <row r="202" spans="1:8">
      <c r="A202" s="323"/>
      <c r="B202" s="324"/>
      <c r="C202" s="324"/>
      <c r="D202" s="324"/>
      <c r="E202" s="324"/>
      <c r="F202" s="326"/>
      <c r="G202" s="326"/>
      <c r="H202" s="324"/>
    </row>
    <row r="203" spans="1:8">
      <c r="A203" s="323"/>
      <c r="B203" s="324"/>
      <c r="C203" s="324"/>
      <c r="D203" s="324"/>
      <c r="E203" s="324"/>
      <c r="F203" s="326"/>
      <c r="G203" s="326"/>
      <c r="H203" s="324"/>
    </row>
    <row r="204" spans="1:8">
      <c r="A204" s="323"/>
      <c r="B204" s="324"/>
      <c r="C204" s="324"/>
      <c r="D204" s="324"/>
      <c r="E204" s="324"/>
      <c r="F204" s="326"/>
      <c r="G204" s="326"/>
      <c r="H204" s="324"/>
    </row>
    <row r="205" spans="1:8">
      <c r="A205" s="323"/>
      <c r="B205" s="324"/>
      <c r="C205" s="324"/>
      <c r="D205" s="324"/>
      <c r="E205" s="324"/>
      <c r="F205" s="326"/>
      <c r="G205" s="326"/>
      <c r="H205" s="324"/>
    </row>
    <row r="206" spans="1:8">
      <c r="A206" s="323"/>
      <c r="B206" s="324"/>
      <c r="C206" s="324"/>
      <c r="D206" s="324"/>
      <c r="E206" s="324"/>
      <c r="F206" s="326"/>
      <c r="G206" s="326"/>
      <c r="H206" s="324"/>
    </row>
    <row r="207" spans="1:8">
      <c r="A207" s="323"/>
      <c r="B207" s="324"/>
      <c r="C207" s="324"/>
      <c r="D207" s="324"/>
      <c r="E207" s="324"/>
      <c r="F207" s="326"/>
      <c r="G207" s="326"/>
      <c r="H207" s="324"/>
    </row>
    <row r="208" spans="1:8">
      <c r="A208" s="323"/>
      <c r="B208" s="324"/>
      <c r="C208" s="324"/>
      <c r="D208" s="324"/>
      <c r="E208" s="324"/>
      <c r="F208" s="326"/>
      <c r="G208" s="326"/>
      <c r="H208" s="324"/>
    </row>
    <row r="209" spans="1:8">
      <c r="A209" s="323"/>
      <c r="B209" s="324"/>
      <c r="C209" s="324"/>
      <c r="D209" s="324"/>
      <c r="E209" s="324"/>
      <c r="F209" s="326"/>
      <c r="G209" s="326"/>
      <c r="H209" s="324"/>
    </row>
    <row r="210" spans="1:8">
      <c r="A210" s="323"/>
      <c r="B210" s="324"/>
      <c r="C210" s="324"/>
      <c r="D210" s="324"/>
      <c r="E210" s="324"/>
      <c r="F210" s="326"/>
      <c r="G210" s="326"/>
      <c r="H210" s="324"/>
    </row>
    <row r="211" spans="1:8">
      <c r="A211" s="323"/>
      <c r="B211" s="324"/>
      <c r="C211" s="324"/>
      <c r="D211" s="324"/>
      <c r="E211" s="324"/>
      <c r="F211" s="326"/>
      <c r="G211" s="326"/>
      <c r="H211" s="324"/>
    </row>
    <row r="212" spans="1:8">
      <c r="A212" s="323"/>
      <c r="B212" s="324"/>
      <c r="C212" s="324"/>
      <c r="D212" s="324"/>
      <c r="E212" s="324"/>
      <c r="F212" s="326"/>
      <c r="G212" s="326"/>
      <c r="H212" s="324"/>
    </row>
    <row r="213" spans="1:8">
      <c r="A213" s="323"/>
      <c r="B213" s="324"/>
      <c r="C213" s="324"/>
      <c r="D213" s="324"/>
      <c r="E213" s="324"/>
      <c r="F213" s="326"/>
      <c r="G213" s="326"/>
      <c r="H213" s="324"/>
    </row>
    <row r="214" spans="1:8">
      <c r="A214" s="323"/>
      <c r="B214" s="324"/>
      <c r="C214" s="324"/>
      <c r="D214" s="324"/>
      <c r="E214" s="324"/>
      <c r="F214" s="326"/>
      <c r="G214" s="326"/>
      <c r="H214" s="324"/>
    </row>
    <row r="215" spans="1:8">
      <c r="A215" s="323"/>
      <c r="B215" s="324"/>
      <c r="C215" s="324"/>
      <c r="D215" s="324"/>
      <c r="E215" s="324"/>
      <c r="F215" s="326"/>
      <c r="G215" s="326"/>
      <c r="H215" s="324"/>
    </row>
    <row r="216" spans="1:8">
      <c r="A216" s="323"/>
      <c r="B216" s="324"/>
      <c r="C216" s="324"/>
      <c r="D216" s="324"/>
      <c r="E216" s="324"/>
      <c r="F216" s="326"/>
      <c r="G216" s="326"/>
      <c r="H216" s="324"/>
    </row>
    <row r="217" spans="1:8">
      <c r="A217" s="323"/>
      <c r="B217" s="324"/>
      <c r="C217" s="324"/>
      <c r="D217" s="324"/>
      <c r="E217" s="324"/>
      <c r="F217" s="326"/>
      <c r="G217" s="326"/>
      <c r="H217" s="324"/>
    </row>
    <row r="218" spans="1:8">
      <c r="A218" s="323"/>
      <c r="B218" s="324"/>
      <c r="C218" s="324"/>
      <c r="D218" s="324"/>
      <c r="E218" s="324"/>
      <c r="F218" s="326"/>
      <c r="G218" s="326"/>
      <c r="H218" s="324"/>
    </row>
    <row r="219" spans="1:8">
      <c r="A219" s="323"/>
      <c r="B219" s="324"/>
      <c r="C219" s="324"/>
      <c r="D219" s="324"/>
      <c r="E219" s="324"/>
      <c r="F219" s="326"/>
      <c r="G219" s="326"/>
      <c r="H219" s="324"/>
    </row>
    <row r="220" spans="1:8">
      <c r="A220" s="323"/>
      <c r="B220" s="324"/>
      <c r="C220" s="324"/>
      <c r="D220" s="324"/>
      <c r="E220" s="324"/>
      <c r="F220" s="326"/>
      <c r="G220" s="326"/>
      <c r="H220" s="324"/>
    </row>
    <row r="221" spans="1:8">
      <c r="A221" s="323"/>
      <c r="B221" s="324"/>
      <c r="C221" s="324"/>
      <c r="D221" s="324"/>
      <c r="E221" s="324"/>
      <c r="F221" s="326"/>
      <c r="G221" s="326"/>
      <c r="H221" s="324"/>
    </row>
    <row r="222" spans="1:8">
      <c r="A222" s="323"/>
      <c r="B222" s="324"/>
      <c r="C222" s="324"/>
      <c r="D222" s="324"/>
      <c r="E222" s="324"/>
      <c r="F222" s="326"/>
      <c r="G222" s="326"/>
      <c r="H222" s="324"/>
    </row>
    <row r="223" spans="1:8">
      <c r="A223" s="323"/>
      <c r="B223" s="324"/>
      <c r="C223" s="324"/>
      <c r="D223" s="324"/>
      <c r="E223" s="324"/>
      <c r="F223" s="326"/>
      <c r="G223" s="326"/>
      <c r="H223" s="324"/>
    </row>
    <row r="224" spans="1:8">
      <c r="A224" s="323"/>
      <c r="B224" s="324"/>
      <c r="C224" s="324"/>
      <c r="D224" s="324"/>
      <c r="E224" s="324"/>
      <c r="F224" s="326"/>
      <c r="G224" s="326"/>
      <c r="H224" s="324"/>
    </row>
    <row r="225" spans="1:8">
      <c r="A225" s="323"/>
      <c r="B225" s="324"/>
      <c r="C225" s="324"/>
      <c r="D225" s="324"/>
      <c r="E225" s="324"/>
      <c r="F225" s="326"/>
      <c r="G225" s="326"/>
      <c r="H225" s="324"/>
    </row>
    <row r="226" spans="1:8">
      <c r="A226" s="323"/>
      <c r="B226" s="324"/>
      <c r="C226" s="324"/>
      <c r="D226" s="324"/>
      <c r="E226" s="324"/>
      <c r="F226" s="326"/>
      <c r="G226" s="326"/>
      <c r="H226" s="324"/>
    </row>
    <row r="227" spans="1:8">
      <c r="A227" s="323"/>
      <c r="B227" s="324"/>
      <c r="C227" s="324"/>
      <c r="D227" s="324"/>
      <c r="E227" s="324"/>
      <c r="F227" s="326"/>
      <c r="G227" s="326"/>
      <c r="H227" s="324"/>
    </row>
    <row r="228" spans="1:8">
      <c r="A228" s="323"/>
      <c r="B228" s="324"/>
      <c r="C228" s="324"/>
      <c r="D228" s="324"/>
      <c r="E228" s="324"/>
      <c r="F228" s="326"/>
      <c r="G228" s="326"/>
      <c r="H228" s="324"/>
    </row>
    <row r="229" spans="1:8">
      <c r="A229" s="323"/>
      <c r="B229" s="324"/>
      <c r="C229" s="324"/>
      <c r="D229" s="324"/>
      <c r="E229" s="324"/>
      <c r="F229" s="326"/>
      <c r="G229" s="326"/>
      <c r="H229" s="324"/>
    </row>
    <row r="230" spans="1:8">
      <c r="A230" s="323"/>
      <c r="B230" s="324"/>
      <c r="C230" s="324"/>
      <c r="D230" s="324"/>
      <c r="E230" s="324"/>
      <c r="F230" s="326"/>
      <c r="G230" s="326"/>
      <c r="H230" s="324"/>
    </row>
    <row r="231" spans="1:8">
      <c r="A231" s="323"/>
      <c r="B231" s="324"/>
      <c r="C231" s="324"/>
      <c r="D231" s="324"/>
      <c r="E231" s="324"/>
      <c r="F231" s="326"/>
      <c r="G231" s="326"/>
      <c r="H231" s="324"/>
    </row>
    <row r="232" spans="1:8">
      <c r="A232" s="323"/>
      <c r="B232" s="324"/>
      <c r="C232" s="324"/>
      <c r="D232" s="324"/>
      <c r="E232" s="324"/>
      <c r="F232" s="326"/>
      <c r="G232" s="326"/>
      <c r="H232" s="324"/>
    </row>
    <row r="233" spans="1:8">
      <c r="A233" s="323"/>
      <c r="B233" s="324"/>
      <c r="C233" s="324"/>
      <c r="D233" s="324"/>
      <c r="E233" s="324"/>
      <c r="F233" s="326"/>
      <c r="G233" s="326"/>
      <c r="H233" s="324"/>
    </row>
    <row r="234" spans="1:8">
      <c r="A234" s="323"/>
      <c r="B234" s="324"/>
      <c r="C234" s="324"/>
      <c r="D234" s="324"/>
      <c r="E234" s="324"/>
      <c r="F234" s="326"/>
      <c r="G234" s="326"/>
      <c r="H234" s="324"/>
    </row>
    <row r="235" spans="1:8">
      <c r="A235" s="323"/>
      <c r="B235" s="324"/>
      <c r="C235" s="324"/>
      <c r="D235" s="324"/>
      <c r="E235" s="324"/>
      <c r="F235" s="326"/>
      <c r="G235" s="326"/>
      <c r="H235" s="324"/>
    </row>
    <row r="236" spans="1:8">
      <c r="A236" s="323"/>
      <c r="B236" s="324"/>
      <c r="C236" s="324"/>
      <c r="D236" s="324"/>
      <c r="E236" s="324"/>
      <c r="F236" s="326"/>
      <c r="G236" s="326"/>
      <c r="H236" s="324"/>
    </row>
    <row r="237" spans="1:8">
      <c r="A237" s="323"/>
      <c r="B237" s="324"/>
      <c r="C237" s="324"/>
      <c r="D237" s="324"/>
      <c r="E237" s="324"/>
      <c r="F237" s="326"/>
      <c r="G237" s="326"/>
      <c r="H237" s="324"/>
    </row>
    <row r="238" spans="1:8">
      <c r="A238" s="323"/>
      <c r="B238" s="324"/>
      <c r="C238" s="324"/>
      <c r="D238" s="324"/>
      <c r="E238" s="324"/>
      <c r="F238" s="326"/>
      <c r="G238" s="326"/>
      <c r="H238" s="324"/>
    </row>
    <row r="239" spans="1:8">
      <c r="A239" s="323"/>
      <c r="B239" s="324"/>
      <c r="C239" s="324"/>
      <c r="D239" s="324"/>
      <c r="E239" s="324"/>
      <c r="F239" s="326"/>
      <c r="G239" s="326"/>
      <c r="H239" s="324"/>
    </row>
    <row r="240" spans="1:8">
      <c r="A240" s="323"/>
      <c r="B240" s="324"/>
      <c r="C240" s="324"/>
      <c r="D240" s="324"/>
      <c r="E240" s="324"/>
      <c r="F240" s="326"/>
      <c r="G240" s="326"/>
      <c r="H240" s="324"/>
    </row>
    <row r="241" spans="1:8">
      <c r="A241" s="323"/>
      <c r="B241" s="324"/>
      <c r="C241" s="324"/>
      <c r="D241" s="324"/>
      <c r="E241" s="324"/>
      <c r="F241" s="326"/>
      <c r="G241" s="326"/>
      <c r="H241" s="324"/>
    </row>
    <row r="242" spans="1:8">
      <c r="A242" s="323"/>
      <c r="B242" s="324"/>
      <c r="C242" s="324"/>
      <c r="D242" s="324"/>
      <c r="E242" s="324"/>
      <c r="F242" s="326"/>
      <c r="G242" s="326"/>
      <c r="H242" s="324"/>
    </row>
    <row r="243" spans="1:8">
      <c r="A243" s="323"/>
      <c r="B243" s="324"/>
      <c r="C243" s="324"/>
      <c r="D243" s="324"/>
      <c r="E243" s="324"/>
      <c r="F243" s="326"/>
      <c r="G243" s="326"/>
      <c r="H243" s="324"/>
    </row>
    <row r="244" spans="1:8">
      <c r="A244" s="323"/>
      <c r="B244" s="324"/>
      <c r="C244" s="324"/>
      <c r="D244" s="324"/>
      <c r="E244" s="324"/>
      <c r="F244" s="326"/>
      <c r="G244" s="326"/>
      <c r="H244" s="324"/>
    </row>
    <row r="245" spans="1:8">
      <c r="A245" s="323"/>
      <c r="B245" s="324"/>
      <c r="C245" s="324"/>
      <c r="D245" s="324"/>
      <c r="E245" s="324"/>
      <c r="F245" s="326"/>
      <c r="G245" s="326"/>
      <c r="H245" s="324"/>
    </row>
    <row r="246" spans="1:8">
      <c r="A246" s="323"/>
      <c r="B246" s="324"/>
      <c r="C246" s="324"/>
      <c r="D246" s="324"/>
      <c r="E246" s="324"/>
      <c r="F246" s="326"/>
      <c r="G246" s="326"/>
      <c r="H246" s="324"/>
    </row>
    <row r="247" spans="1:8">
      <c r="A247" s="323"/>
      <c r="B247" s="324"/>
      <c r="C247" s="324"/>
      <c r="D247" s="324"/>
      <c r="E247" s="324"/>
      <c r="F247" s="326"/>
      <c r="G247" s="326"/>
      <c r="H247" s="324"/>
    </row>
    <row r="248" spans="1:8">
      <c r="A248" s="323"/>
      <c r="B248" s="324"/>
      <c r="C248" s="324"/>
      <c r="D248" s="324"/>
      <c r="E248" s="324"/>
      <c r="F248" s="326"/>
      <c r="G248" s="326"/>
      <c r="H248" s="324"/>
    </row>
    <row r="249" spans="1:8">
      <c r="A249" s="323"/>
      <c r="B249" s="324"/>
      <c r="C249" s="324"/>
      <c r="D249" s="324"/>
      <c r="E249" s="324"/>
      <c r="F249" s="326"/>
      <c r="G249" s="326"/>
      <c r="H249" s="324"/>
    </row>
    <row r="250" spans="1:8">
      <c r="A250" s="323"/>
      <c r="B250" s="324"/>
      <c r="C250" s="324"/>
      <c r="D250" s="324"/>
      <c r="E250" s="324"/>
      <c r="F250" s="326"/>
      <c r="G250" s="326"/>
      <c r="H250" s="324"/>
    </row>
    <row r="251" spans="1:8">
      <c r="A251" s="323"/>
      <c r="B251" s="324"/>
      <c r="C251" s="324"/>
      <c r="D251" s="324"/>
      <c r="E251" s="324"/>
      <c r="F251" s="326"/>
      <c r="G251" s="326"/>
      <c r="H251" s="324"/>
    </row>
    <row r="252" spans="1:8">
      <c r="A252" s="323"/>
      <c r="B252" s="324"/>
      <c r="C252" s="324"/>
      <c r="D252" s="324"/>
      <c r="E252" s="324"/>
      <c r="F252" s="326"/>
      <c r="G252" s="326"/>
      <c r="H252" s="324"/>
    </row>
    <row r="253" spans="1:8">
      <c r="A253" s="323"/>
      <c r="B253" s="324"/>
      <c r="C253" s="324"/>
      <c r="D253" s="324"/>
      <c r="E253" s="324"/>
      <c r="F253" s="326"/>
      <c r="G253" s="326"/>
      <c r="H253" s="324"/>
    </row>
    <row r="254" spans="1:8">
      <c r="A254" s="323"/>
      <c r="B254" s="324"/>
      <c r="C254" s="324"/>
      <c r="D254" s="324"/>
      <c r="E254" s="324"/>
      <c r="F254" s="326"/>
      <c r="G254" s="326"/>
      <c r="H254" s="324"/>
    </row>
    <row r="255" spans="1:8">
      <c r="A255" s="323"/>
      <c r="B255" s="324"/>
      <c r="C255" s="324"/>
      <c r="D255" s="324"/>
      <c r="E255" s="324"/>
      <c r="F255" s="326"/>
      <c r="G255" s="326"/>
      <c r="H255" s="324"/>
    </row>
    <row r="256" spans="1:8">
      <c r="A256" s="323"/>
      <c r="B256" s="324"/>
      <c r="C256" s="324"/>
      <c r="D256" s="324"/>
      <c r="E256" s="324"/>
      <c r="F256" s="326"/>
      <c r="G256" s="326"/>
      <c r="H256" s="324"/>
    </row>
    <row r="257" spans="1:8">
      <c r="A257" s="323"/>
      <c r="B257" s="324"/>
      <c r="C257" s="324"/>
      <c r="D257" s="324"/>
      <c r="E257" s="324"/>
      <c r="F257" s="326"/>
      <c r="G257" s="326"/>
      <c r="H257" s="324"/>
    </row>
    <row r="258" spans="1:8">
      <c r="A258" s="323"/>
      <c r="B258" s="324"/>
      <c r="C258" s="324"/>
      <c r="D258" s="324"/>
      <c r="E258" s="324"/>
      <c r="F258" s="326"/>
      <c r="G258" s="326"/>
      <c r="H258" s="324"/>
    </row>
    <row r="259" spans="1:8">
      <c r="A259" s="323"/>
      <c r="B259" s="324"/>
      <c r="C259" s="324"/>
      <c r="D259" s="324"/>
      <c r="E259" s="324"/>
      <c r="F259" s="326"/>
      <c r="G259" s="326"/>
      <c r="H259" s="324"/>
    </row>
    <row r="260" spans="1:8">
      <c r="A260" s="323"/>
      <c r="B260" s="324"/>
      <c r="C260" s="324"/>
      <c r="D260" s="324"/>
      <c r="E260" s="324"/>
      <c r="F260" s="326"/>
      <c r="G260" s="326"/>
      <c r="H260" s="324"/>
    </row>
    <row r="261" spans="1:8">
      <c r="A261" s="323"/>
      <c r="B261" s="324"/>
      <c r="C261" s="324"/>
      <c r="D261" s="324"/>
      <c r="E261" s="324"/>
      <c r="F261" s="326"/>
      <c r="G261" s="326"/>
      <c r="H261" s="324"/>
    </row>
    <row r="262" spans="1:8">
      <c r="A262" s="323"/>
      <c r="B262" s="324"/>
      <c r="C262" s="324"/>
      <c r="D262" s="324"/>
      <c r="E262" s="324"/>
      <c r="F262" s="326"/>
      <c r="G262" s="326"/>
      <c r="H262" s="324"/>
    </row>
    <row r="263" spans="1:8">
      <c r="A263" s="323"/>
      <c r="B263" s="324"/>
      <c r="C263" s="324"/>
      <c r="D263" s="324"/>
      <c r="E263" s="324"/>
      <c r="F263" s="326"/>
      <c r="G263" s="326"/>
      <c r="H263" s="324"/>
    </row>
    <row r="264" spans="1:8">
      <c r="A264" s="323"/>
      <c r="B264" s="324"/>
      <c r="C264" s="324"/>
      <c r="D264" s="324"/>
      <c r="E264" s="324"/>
      <c r="F264" s="326"/>
      <c r="G264" s="326"/>
      <c r="H264" s="324"/>
    </row>
    <row r="265" spans="1:8">
      <c r="A265" s="323"/>
      <c r="B265" s="324"/>
      <c r="C265" s="324"/>
      <c r="D265" s="324"/>
      <c r="E265" s="324"/>
      <c r="F265" s="326"/>
      <c r="G265" s="326"/>
      <c r="H265" s="324"/>
    </row>
    <row r="266" spans="1:8">
      <c r="A266" s="323"/>
      <c r="B266" s="324"/>
      <c r="C266" s="324"/>
      <c r="D266" s="324"/>
      <c r="E266" s="324"/>
      <c r="F266" s="326"/>
      <c r="G266" s="326"/>
      <c r="H266" s="324"/>
    </row>
    <row r="267" spans="1:8">
      <c r="A267" s="323"/>
      <c r="B267" s="324"/>
      <c r="C267" s="324"/>
      <c r="D267" s="324"/>
      <c r="E267" s="324"/>
      <c r="F267" s="326"/>
      <c r="G267" s="326"/>
      <c r="H267" s="324"/>
    </row>
    <row r="268" spans="1:8">
      <c r="A268" s="323"/>
      <c r="B268" s="324"/>
      <c r="C268" s="324"/>
      <c r="D268" s="324"/>
      <c r="E268" s="324"/>
      <c r="F268" s="326"/>
      <c r="G268" s="326"/>
      <c r="H268" s="324"/>
    </row>
    <row r="269" spans="1:8">
      <c r="A269" s="323"/>
      <c r="B269" s="324"/>
      <c r="C269" s="324"/>
      <c r="D269" s="324"/>
      <c r="E269" s="324"/>
      <c r="F269" s="326"/>
      <c r="G269" s="326"/>
      <c r="H269" s="324"/>
    </row>
    <row r="270" spans="1:8">
      <c r="A270" s="323"/>
      <c r="B270" s="324"/>
      <c r="C270" s="324"/>
      <c r="D270" s="324"/>
      <c r="E270" s="324"/>
      <c r="F270" s="326"/>
      <c r="G270" s="326"/>
      <c r="H270" s="324"/>
    </row>
    <row r="271" spans="1:8">
      <c r="A271" s="323"/>
      <c r="B271" s="324"/>
      <c r="C271" s="324"/>
      <c r="D271" s="324"/>
      <c r="E271" s="324"/>
      <c r="F271" s="326"/>
      <c r="G271" s="326"/>
      <c r="H271" s="324"/>
    </row>
    <row r="272" spans="1:8">
      <c r="A272" s="323"/>
      <c r="B272" s="324"/>
      <c r="C272" s="324"/>
      <c r="D272" s="324"/>
      <c r="E272" s="324"/>
      <c r="F272" s="326"/>
      <c r="G272" s="326"/>
      <c r="H272" s="324"/>
    </row>
    <row r="273" spans="1:8">
      <c r="A273" s="323"/>
      <c r="B273" s="324"/>
      <c r="C273" s="324"/>
      <c r="D273" s="324"/>
      <c r="E273" s="324"/>
      <c r="F273" s="326"/>
      <c r="G273" s="326"/>
      <c r="H273" s="324"/>
    </row>
    <row r="274" spans="1:8">
      <c r="A274" s="323"/>
      <c r="B274" s="324"/>
      <c r="C274" s="324"/>
      <c r="D274" s="324"/>
      <c r="E274" s="324"/>
      <c r="F274" s="326"/>
      <c r="G274" s="326"/>
      <c r="H274" s="324"/>
    </row>
    <row r="275" spans="1:8">
      <c r="A275" s="323"/>
      <c r="B275" s="324"/>
      <c r="C275" s="324"/>
      <c r="D275" s="324"/>
      <c r="E275" s="324"/>
      <c r="F275" s="326"/>
      <c r="G275" s="326"/>
      <c r="H275" s="324"/>
    </row>
    <row r="276" spans="1:8">
      <c r="A276" s="323"/>
      <c r="B276" s="324"/>
      <c r="C276" s="324"/>
      <c r="D276" s="324"/>
      <c r="E276" s="324"/>
      <c r="F276" s="326"/>
      <c r="G276" s="326"/>
      <c r="H276" s="324"/>
    </row>
    <row r="277" spans="1:8">
      <c r="A277" s="323"/>
      <c r="B277" s="324"/>
      <c r="C277" s="324"/>
      <c r="D277" s="324"/>
      <c r="E277" s="324"/>
      <c r="F277" s="326"/>
      <c r="G277" s="326"/>
      <c r="H277" s="324"/>
    </row>
    <row r="278" spans="1:8">
      <c r="A278" s="323"/>
      <c r="B278" s="324"/>
      <c r="C278" s="324"/>
      <c r="D278" s="324"/>
      <c r="E278" s="324"/>
      <c r="F278" s="326"/>
      <c r="G278" s="326"/>
      <c r="H278" s="324"/>
    </row>
    <row r="279" spans="1:8">
      <c r="A279" s="323"/>
      <c r="B279" s="324"/>
      <c r="C279" s="324"/>
      <c r="D279" s="324"/>
      <c r="E279" s="324"/>
      <c r="F279" s="326"/>
      <c r="G279" s="326"/>
      <c r="H279" s="324"/>
    </row>
    <row r="280" spans="1:8">
      <c r="A280" s="323"/>
      <c r="B280" s="324"/>
      <c r="C280" s="324"/>
      <c r="D280" s="324"/>
      <c r="E280" s="324"/>
      <c r="F280" s="326"/>
      <c r="G280" s="326"/>
      <c r="H280" s="324"/>
    </row>
    <row r="281" spans="1:8">
      <c r="A281" s="323"/>
      <c r="B281" s="324"/>
      <c r="C281" s="324"/>
      <c r="D281" s="324"/>
      <c r="E281" s="324"/>
      <c r="F281" s="326"/>
      <c r="G281" s="326"/>
      <c r="H281" s="324"/>
    </row>
    <row r="282" spans="1:8">
      <c r="A282" s="323"/>
      <c r="B282" s="324"/>
      <c r="C282" s="324"/>
      <c r="D282" s="324"/>
      <c r="E282" s="324"/>
      <c r="F282" s="326"/>
      <c r="G282" s="326"/>
      <c r="H282" s="324"/>
    </row>
    <row r="283" spans="1:8">
      <c r="A283" s="323"/>
      <c r="B283" s="324"/>
      <c r="C283" s="324"/>
      <c r="D283" s="324"/>
      <c r="E283" s="324"/>
      <c r="F283" s="326"/>
      <c r="G283" s="326"/>
      <c r="H283" s="324"/>
    </row>
    <row r="284" spans="1:8">
      <c r="A284" s="323"/>
      <c r="B284" s="324"/>
      <c r="C284" s="324"/>
      <c r="D284" s="324"/>
      <c r="E284" s="324"/>
      <c r="F284" s="326"/>
      <c r="G284" s="326"/>
      <c r="H284" s="324"/>
    </row>
    <row r="285" spans="1:8">
      <c r="A285" s="323"/>
      <c r="B285" s="324"/>
      <c r="C285" s="324"/>
      <c r="D285" s="324"/>
      <c r="E285" s="324"/>
      <c r="F285" s="326"/>
      <c r="G285" s="326"/>
      <c r="H285" s="324"/>
    </row>
    <row r="286" spans="1:8">
      <c r="A286" s="323"/>
      <c r="B286" s="324"/>
      <c r="C286" s="324"/>
      <c r="D286" s="324"/>
      <c r="E286" s="324"/>
      <c r="F286" s="326"/>
      <c r="G286" s="326"/>
      <c r="H286" s="324"/>
    </row>
    <row r="287" spans="1:8">
      <c r="A287" s="323"/>
      <c r="B287" s="324"/>
      <c r="C287" s="324"/>
      <c r="D287" s="324"/>
      <c r="E287" s="324"/>
      <c r="F287" s="326"/>
      <c r="G287" s="326"/>
      <c r="H287" s="324"/>
    </row>
    <row r="288" spans="1:8">
      <c r="A288" s="323"/>
      <c r="B288" s="324"/>
      <c r="C288" s="324"/>
      <c r="D288" s="324"/>
      <c r="E288" s="324"/>
      <c r="F288" s="326"/>
      <c r="G288" s="326"/>
      <c r="H288" s="324"/>
    </row>
    <row r="289" spans="1:8">
      <c r="A289" s="323"/>
      <c r="B289" s="324"/>
      <c r="C289" s="324"/>
      <c r="D289" s="324"/>
      <c r="E289" s="324"/>
      <c r="F289" s="326"/>
      <c r="G289" s="326"/>
      <c r="H289" s="324"/>
    </row>
    <row r="290" spans="1:8">
      <c r="A290" s="323"/>
      <c r="B290" s="324"/>
      <c r="C290" s="324"/>
      <c r="D290" s="324"/>
      <c r="E290" s="324"/>
      <c r="F290" s="326"/>
      <c r="G290" s="326"/>
      <c r="H290" s="324"/>
    </row>
    <row r="291" spans="1:8">
      <c r="A291" s="323"/>
      <c r="B291" s="324"/>
      <c r="C291" s="324"/>
      <c r="D291" s="324"/>
      <c r="E291" s="324"/>
      <c r="F291" s="326"/>
      <c r="G291" s="326"/>
      <c r="H291" s="324"/>
    </row>
    <row r="292" spans="1:8">
      <c r="A292" s="323"/>
      <c r="B292" s="324"/>
      <c r="C292" s="324"/>
      <c r="D292" s="324"/>
      <c r="E292" s="324"/>
      <c r="F292" s="326"/>
      <c r="G292" s="326"/>
      <c r="H292" s="324"/>
    </row>
    <row r="293" spans="1:8">
      <c r="A293" s="323"/>
      <c r="B293" s="324"/>
      <c r="C293" s="324"/>
      <c r="D293" s="324"/>
      <c r="E293" s="324"/>
      <c r="F293" s="326"/>
      <c r="G293" s="326"/>
      <c r="H293" s="324"/>
    </row>
    <row r="294" spans="1:8">
      <c r="A294" s="323"/>
      <c r="B294" s="324"/>
      <c r="C294" s="324"/>
      <c r="D294" s="324"/>
      <c r="E294" s="324"/>
      <c r="F294" s="326"/>
      <c r="G294" s="326"/>
      <c r="H294" s="324"/>
    </row>
    <row r="295" spans="1:8">
      <c r="A295" s="323"/>
      <c r="B295" s="324"/>
      <c r="C295" s="324"/>
      <c r="D295" s="324"/>
      <c r="E295" s="324"/>
      <c r="F295" s="326"/>
      <c r="G295" s="326"/>
      <c r="H295" s="324"/>
    </row>
    <row r="296" spans="1:8">
      <c r="A296" s="323"/>
      <c r="B296" s="324"/>
      <c r="C296" s="324"/>
      <c r="D296" s="324"/>
      <c r="E296" s="324"/>
      <c r="F296" s="326"/>
      <c r="G296" s="326"/>
      <c r="H296" s="324"/>
    </row>
    <row r="297" spans="1:8">
      <c r="A297" s="323"/>
      <c r="B297" s="324"/>
      <c r="C297" s="324"/>
      <c r="D297" s="324"/>
      <c r="E297" s="324"/>
      <c r="F297" s="326"/>
      <c r="G297" s="326"/>
      <c r="H297" s="324"/>
    </row>
    <row r="298" spans="1:8">
      <c r="A298" s="323"/>
      <c r="B298" s="324"/>
      <c r="C298" s="324"/>
      <c r="D298" s="324"/>
      <c r="E298" s="324"/>
      <c r="F298" s="326"/>
      <c r="G298" s="326"/>
      <c r="H298" s="324"/>
    </row>
    <row r="299" spans="1:8">
      <c r="A299" s="323"/>
      <c r="B299" s="324"/>
      <c r="C299" s="324"/>
      <c r="D299" s="324"/>
      <c r="E299" s="324"/>
      <c r="F299" s="326"/>
      <c r="G299" s="326"/>
      <c r="H299" s="324"/>
    </row>
    <row r="300" spans="1:8">
      <c r="A300" s="323"/>
      <c r="B300" s="324"/>
      <c r="C300" s="324"/>
      <c r="D300" s="324"/>
      <c r="E300" s="324"/>
      <c r="F300" s="326"/>
      <c r="G300" s="326"/>
      <c r="H300" s="324"/>
    </row>
    <row r="301" spans="1:8">
      <c r="A301" s="323"/>
      <c r="B301" s="324"/>
      <c r="C301" s="324"/>
      <c r="D301" s="324"/>
      <c r="E301" s="324"/>
      <c r="F301" s="326"/>
      <c r="G301" s="326"/>
      <c r="H301" s="324"/>
    </row>
    <row r="302" spans="1:8">
      <c r="A302" s="323"/>
      <c r="B302" s="324"/>
      <c r="C302" s="324"/>
      <c r="D302" s="324"/>
      <c r="E302" s="324"/>
      <c r="F302" s="326"/>
      <c r="G302" s="326"/>
      <c r="H302" s="324"/>
    </row>
    <row r="303" spans="1:8">
      <c r="A303" s="323"/>
      <c r="B303" s="324"/>
      <c r="C303" s="324"/>
      <c r="D303" s="324"/>
      <c r="E303" s="324"/>
      <c r="F303" s="326"/>
      <c r="G303" s="326"/>
      <c r="H303" s="324"/>
    </row>
    <row r="304" spans="1:8">
      <c r="A304" s="323"/>
      <c r="B304" s="324"/>
      <c r="C304" s="324"/>
      <c r="D304" s="324"/>
      <c r="E304" s="324"/>
      <c r="F304" s="326"/>
      <c r="G304" s="326"/>
      <c r="H304" s="324"/>
    </row>
    <row r="305" spans="1:8">
      <c r="A305" s="323"/>
      <c r="B305" s="324"/>
      <c r="C305" s="324"/>
      <c r="D305" s="324"/>
      <c r="E305" s="324"/>
      <c r="F305" s="326"/>
      <c r="G305" s="326"/>
      <c r="H305" s="324"/>
    </row>
    <row r="306" spans="1:8">
      <c r="A306" s="323"/>
      <c r="B306" s="324"/>
      <c r="C306" s="324"/>
      <c r="D306" s="324"/>
      <c r="E306" s="324"/>
      <c r="F306" s="326"/>
      <c r="G306" s="326"/>
      <c r="H306" s="324"/>
    </row>
    <row r="307" spans="1:8">
      <c r="A307" s="323"/>
      <c r="B307" s="324"/>
      <c r="C307" s="324"/>
      <c r="D307" s="324"/>
      <c r="E307" s="324"/>
      <c r="F307" s="326"/>
      <c r="G307" s="326"/>
      <c r="H307" s="324"/>
    </row>
    <row r="308" spans="1:8">
      <c r="A308" s="323"/>
      <c r="B308" s="324"/>
      <c r="C308" s="324"/>
      <c r="D308" s="324"/>
      <c r="E308" s="324"/>
      <c r="F308" s="326"/>
      <c r="G308" s="326"/>
      <c r="H308" s="324"/>
    </row>
    <row r="309" spans="1:8">
      <c r="A309" s="323"/>
      <c r="B309" s="324"/>
      <c r="C309" s="324"/>
      <c r="D309" s="324"/>
      <c r="E309" s="324"/>
      <c r="F309" s="326"/>
      <c r="G309" s="326"/>
      <c r="H309" s="324"/>
    </row>
    <row r="310" spans="1:8">
      <c r="A310" s="323"/>
      <c r="B310" s="324"/>
      <c r="C310" s="324"/>
      <c r="D310" s="324"/>
      <c r="E310" s="324"/>
      <c r="F310" s="326"/>
      <c r="G310" s="326"/>
      <c r="H310" s="324"/>
    </row>
    <row r="311" spans="1:8">
      <c r="A311" s="323"/>
      <c r="B311" s="324"/>
      <c r="C311" s="324"/>
      <c r="D311" s="324"/>
      <c r="E311" s="324"/>
      <c r="F311" s="326"/>
      <c r="G311" s="326"/>
      <c r="H311" s="324"/>
    </row>
    <row r="312" spans="1:8">
      <c r="A312" s="323"/>
      <c r="B312" s="324"/>
      <c r="C312" s="324"/>
      <c r="D312" s="324"/>
      <c r="E312" s="324"/>
      <c r="F312" s="326"/>
      <c r="G312" s="326"/>
      <c r="H312" s="324"/>
    </row>
    <row r="313" spans="1:8">
      <c r="A313" s="323"/>
      <c r="B313" s="324"/>
      <c r="C313" s="324"/>
      <c r="D313" s="324"/>
      <c r="E313" s="324"/>
      <c r="F313" s="326"/>
      <c r="G313" s="326"/>
      <c r="H313" s="324"/>
    </row>
    <row r="314" spans="1:8">
      <c r="A314" s="323"/>
      <c r="B314" s="324"/>
      <c r="C314" s="324"/>
      <c r="D314" s="324"/>
      <c r="E314" s="324"/>
      <c r="F314" s="326"/>
      <c r="G314" s="326"/>
      <c r="H314" s="324"/>
    </row>
    <row r="315" spans="1:8">
      <c r="A315" s="323"/>
      <c r="B315" s="324"/>
      <c r="C315" s="324"/>
      <c r="D315" s="324"/>
      <c r="E315" s="324"/>
      <c r="F315" s="326"/>
      <c r="G315" s="326"/>
      <c r="H315" s="324"/>
    </row>
    <row r="316" spans="1:8">
      <c r="A316" s="323"/>
      <c r="B316" s="324"/>
      <c r="C316" s="324"/>
      <c r="D316" s="324"/>
      <c r="E316" s="324"/>
      <c r="F316" s="326"/>
      <c r="G316" s="326"/>
      <c r="H316" s="324"/>
    </row>
    <row r="317" spans="1:8">
      <c r="A317" s="323"/>
      <c r="B317" s="324"/>
      <c r="C317" s="324"/>
      <c r="D317" s="324"/>
      <c r="E317" s="324"/>
      <c r="F317" s="326"/>
      <c r="G317" s="326"/>
      <c r="H317" s="324"/>
    </row>
    <row r="318" spans="1:8">
      <c r="A318" s="323"/>
      <c r="B318" s="324"/>
      <c r="C318" s="324"/>
      <c r="D318" s="324"/>
      <c r="E318" s="324"/>
      <c r="F318" s="326"/>
      <c r="G318" s="326"/>
      <c r="H318" s="324"/>
    </row>
    <row r="319" spans="1:8">
      <c r="A319" s="323"/>
      <c r="B319" s="324"/>
      <c r="C319" s="324"/>
      <c r="D319" s="324"/>
      <c r="E319" s="324"/>
      <c r="F319" s="326"/>
      <c r="G319" s="326"/>
      <c r="H319" s="324"/>
    </row>
    <row r="320" spans="1:8">
      <c r="A320" s="323"/>
      <c r="B320" s="324"/>
      <c r="C320" s="324"/>
      <c r="D320" s="324"/>
      <c r="E320" s="324"/>
      <c r="F320" s="326"/>
      <c r="G320" s="326"/>
      <c r="H320" s="324"/>
    </row>
    <row r="321" spans="1:8">
      <c r="A321" s="323"/>
      <c r="B321" s="324"/>
      <c r="C321" s="324"/>
      <c r="D321" s="324"/>
      <c r="E321" s="324"/>
      <c r="F321" s="326"/>
      <c r="G321" s="326"/>
      <c r="H321" s="324"/>
    </row>
    <row r="322" spans="1:8">
      <c r="A322" s="323"/>
      <c r="B322" s="324"/>
      <c r="C322" s="324"/>
      <c r="D322" s="324"/>
      <c r="E322" s="324"/>
      <c r="F322" s="326"/>
      <c r="G322" s="326"/>
      <c r="H322" s="324"/>
    </row>
    <row r="323" spans="1:8">
      <c r="A323" s="323"/>
      <c r="B323" s="324"/>
      <c r="C323" s="324"/>
      <c r="D323" s="324"/>
      <c r="E323" s="324"/>
      <c r="F323" s="326"/>
      <c r="G323" s="326"/>
      <c r="H323" s="324"/>
    </row>
    <row r="324" spans="1:8">
      <c r="A324" s="323"/>
      <c r="B324" s="324"/>
      <c r="C324" s="324"/>
      <c r="D324" s="324"/>
      <c r="E324" s="324"/>
      <c r="F324" s="326"/>
      <c r="G324" s="326"/>
      <c r="H324" s="324"/>
    </row>
    <row r="325" spans="1:8">
      <c r="A325" s="323"/>
      <c r="B325" s="324"/>
      <c r="C325" s="324"/>
      <c r="D325" s="324"/>
      <c r="E325" s="324"/>
      <c r="F325" s="326"/>
      <c r="G325" s="326"/>
      <c r="H325" s="324"/>
    </row>
    <row r="326" spans="1:8">
      <c r="A326" s="323"/>
      <c r="B326" s="324"/>
      <c r="C326" s="324"/>
      <c r="D326" s="324"/>
      <c r="E326" s="324"/>
      <c r="F326" s="326"/>
      <c r="G326" s="326"/>
      <c r="H326" s="324"/>
    </row>
    <row r="327" spans="1:8">
      <c r="A327" s="323"/>
      <c r="B327" s="324"/>
      <c r="C327" s="324"/>
      <c r="D327" s="324"/>
      <c r="E327" s="324"/>
      <c r="F327" s="326"/>
      <c r="G327" s="326"/>
      <c r="H327" s="324"/>
    </row>
    <row r="328" spans="1:8">
      <c r="A328" s="323"/>
      <c r="B328" s="324"/>
      <c r="C328" s="324"/>
      <c r="D328" s="324"/>
      <c r="E328" s="324"/>
      <c r="F328" s="326"/>
      <c r="G328" s="326"/>
      <c r="H328" s="324"/>
    </row>
    <row r="329" spans="1:8">
      <c r="A329" s="323"/>
      <c r="B329" s="324"/>
      <c r="C329" s="324"/>
      <c r="D329" s="324"/>
      <c r="E329" s="328"/>
      <c r="F329" s="326"/>
      <c r="G329" s="326"/>
      <c r="H329" s="324"/>
    </row>
    <row r="330" spans="1:8">
      <c r="A330" s="323"/>
      <c r="B330" s="324"/>
      <c r="C330" s="324"/>
      <c r="D330" s="324"/>
      <c r="E330" s="324"/>
      <c r="F330" s="326"/>
      <c r="G330" s="326"/>
      <c r="H330" s="324"/>
    </row>
    <row r="331" spans="1:8">
      <c r="A331" s="323"/>
      <c r="B331" s="324"/>
      <c r="C331" s="324"/>
      <c r="D331" s="324"/>
      <c r="E331" s="324"/>
      <c r="F331" s="326"/>
      <c r="G331" s="326"/>
      <c r="H331" s="324"/>
    </row>
    <row r="332" spans="1:8">
      <c r="A332" s="323"/>
      <c r="B332" s="324"/>
      <c r="C332" s="324"/>
      <c r="D332" s="324"/>
      <c r="E332" s="324"/>
      <c r="F332" s="326"/>
      <c r="G332" s="326"/>
      <c r="H332" s="324"/>
    </row>
    <row r="333" spans="1:8">
      <c r="A333" s="323"/>
      <c r="B333" s="324"/>
      <c r="C333" s="324"/>
      <c r="D333" s="324"/>
      <c r="E333" s="324"/>
      <c r="F333" s="326"/>
      <c r="G333" s="326"/>
      <c r="H333" s="324"/>
    </row>
    <row r="334" spans="1:8">
      <c r="A334" s="323"/>
      <c r="B334" s="324"/>
      <c r="C334" s="324"/>
      <c r="D334" s="324"/>
      <c r="E334" s="324"/>
      <c r="F334" s="326"/>
      <c r="G334" s="326"/>
      <c r="H334" s="324"/>
    </row>
    <row r="335" spans="1:8">
      <c r="A335" s="323"/>
      <c r="B335" s="324"/>
      <c r="C335" s="324"/>
      <c r="D335" s="324"/>
      <c r="E335" s="324"/>
      <c r="F335" s="326"/>
      <c r="G335" s="326"/>
      <c r="H335" s="324"/>
    </row>
    <row r="336" spans="1:8">
      <c r="A336" s="323"/>
      <c r="B336" s="324"/>
      <c r="C336" s="324"/>
      <c r="D336" s="324"/>
      <c r="E336" s="324"/>
      <c r="F336" s="326"/>
      <c r="G336" s="326"/>
      <c r="H336" s="324"/>
    </row>
    <row r="337" spans="1:8">
      <c r="A337" s="323"/>
      <c r="B337" s="324"/>
      <c r="C337" s="324"/>
      <c r="D337" s="324"/>
      <c r="E337" s="324"/>
      <c r="F337" s="326"/>
      <c r="G337" s="326"/>
      <c r="H337" s="324"/>
    </row>
    <row r="338" spans="1:8">
      <c r="A338" s="323"/>
      <c r="B338" s="324"/>
      <c r="C338" s="324"/>
      <c r="D338" s="324"/>
      <c r="E338" s="324"/>
      <c r="F338" s="326"/>
      <c r="G338" s="326"/>
      <c r="H338" s="324"/>
    </row>
    <row r="339" spans="1:8">
      <c r="A339" s="323"/>
      <c r="B339" s="324"/>
      <c r="C339" s="324"/>
      <c r="D339" s="324"/>
      <c r="E339" s="324"/>
      <c r="F339" s="326"/>
      <c r="G339" s="326"/>
      <c r="H339" s="324"/>
    </row>
    <row r="340" spans="1:8">
      <c r="A340" s="323"/>
      <c r="B340" s="324"/>
      <c r="C340" s="324"/>
      <c r="D340" s="324"/>
      <c r="E340" s="324"/>
      <c r="F340" s="326"/>
      <c r="G340" s="326"/>
      <c r="H340" s="324"/>
    </row>
    <row r="341" spans="1:8">
      <c r="A341" s="323"/>
      <c r="B341" s="324"/>
      <c r="C341" s="324"/>
      <c r="D341" s="324"/>
      <c r="E341" s="324"/>
      <c r="F341" s="326"/>
      <c r="G341" s="326"/>
      <c r="H341" s="324"/>
    </row>
    <row r="342" spans="1:8">
      <c r="A342" s="323"/>
      <c r="B342" s="324"/>
      <c r="C342" s="324"/>
      <c r="D342" s="324"/>
      <c r="E342" s="324"/>
      <c r="F342" s="326"/>
      <c r="G342" s="326"/>
      <c r="H342" s="324"/>
    </row>
    <row r="343" spans="1:8">
      <c r="A343" s="323"/>
      <c r="B343" s="324"/>
      <c r="C343" s="324"/>
      <c r="D343" s="324"/>
      <c r="E343" s="324"/>
      <c r="F343" s="326"/>
      <c r="G343" s="326"/>
      <c r="H343" s="324"/>
    </row>
    <row r="344" spans="1:8">
      <c r="A344" s="323"/>
      <c r="B344" s="324"/>
      <c r="C344" s="324"/>
      <c r="D344" s="324"/>
      <c r="E344" s="324"/>
      <c r="F344" s="326"/>
      <c r="G344" s="326"/>
      <c r="H344" s="324"/>
    </row>
    <row r="345" spans="1:8">
      <c r="A345" s="323"/>
      <c r="B345" s="324"/>
      <c r="C345" s="324"/>
      <c r="D345" s="324"/>
      <c r="E345" s="324"/>
      <c r="F345" s="326"/>
      <c r="G345" s="326"/>
      <c r="H345" s="324"/>
    </row>
    <row r="346" spans="1:8">
      <c r="A346" s="323"/>
      <c r="B346" s="324"/>
      <c r="C346" s="324"/>
      <c r="D346" s="324"/>
      <c r="E346" s="324"/>
      <c r="F346" s="326"/>
      <c r="G346" s="326"/>
      <c r="H346" s="324"/>
    </row>
    <row r="347" spans="1:8">
      <c r="A347" s="323"/>
      <c r="B347" s="324"/>
      <c r="C347" s="324"/>
      <c r="D347" s="324"/>
      <c r="E347" s="324"/>
      <c r="F347" s="326"/>
      <c r="G347" s="326"/>
      <c r="H347" s="324"/>
    </row>
    <row r="348" spans="1:8">
      <c r="A348" s="323"/>
      <c r="B348" s="324"/>
      <c r="C348" s="324"/>
      <c r="D348" s="324"/>
      <c r="E348" s="324"/>
      <c r="F348" s="326"/>
      <c r="G348" s="326"/>
      <c r="H348" s="324"/>
    </row>
    <row r="349" spans="1:8">
      <c r="A349" s="323"/>
      <c r="B349" s="324"/>
      <c r="C349" s="324"/>
      <c r="D349" s="324"/>
      <c r="E349" s="324"/>
      <c r="F349" s="326"/>
      <c r="G349" s="326"/>
      <c r="H349" s="324"/>
    </row>
    <row r="350" spans="1:8">
      <c r="A350" s="323"/>
      <c r="B350" s="324"/>
      <c r="C350" s="324"/>
      <c r="D350" s="324"/>
      <c r="E350" s="324"/>
      <c r="F350" s="326"/>
      <c r="G350" s="326"/>
      <c r="H350" s="324"/>
    </row>
    <row r="351" spans="1:8">
      <c r="A351" s="323"/>
      <c r="B351" s="324"/>
      <c r="C351" s="324"/>
      <c r="D351" s="324"/>
      <c r="E351" s="324"/>
      <c r="F351" s="326"/>
      <c r="G351" s="326"/>
      <c r="H351" s="324"/>
    </row>
    <row r="352" spans="1:8">
      <c r="A352" s="323"/>
      <c r="B352" s="324"/>
      <c r="C352" s="324"/>
      <c r="D352" s="324"/>
      <c r="E352" s="324"/>
      <c r="F352" s="326"/>
      <c r="G352" s="326"/>
      <c r="H352" s="324"/>
    </row>
    <row r="353" spans="1:8">
      <c r="A353" s="323"/>
      <c r="B353" s="324"/>
      <c r="C353" s="324"/>
      <c r="D353" s="324"/>
      <c r="E353" s="324"/>
      <c r="F353" s="326"/>
      <c r="G353" s="326"/>
      <c r="H353" s="324"/>
    </row>
    <row r="354" spans="1:8">
      <c r="A354" s="323"/>
      <c r="B354" s="324"/>
      <c r="C354" s="324"/>
      <c r="D354" s="324"/>
      <c r="E354" s="324"/>
      <c r="F354" s="326"/>
      <c r="G354" s="326"/>
      <c r="H354" s="324"/>
    </row>
    <row r="355" spans="1:8">
      <c r="A355" s="323"/>
      <c r="B355" s="324"/>
      <c r="C355" s="324"/>
      <c r="D355" s="324"/>
      <c r="E355" s="324"/>
      <c r="F355" s="326"/>
      <c r="G355" s="326"/>
      <c r="H355" s="324"/>
    </row>
    <row r="356" spans="1:8">
      <c r="A356" s="323"/>
      <c r="B356" s="324"/>
      <c r="C356" s="324"/>
      <c r="D356" s="324"/>
      <c r="E356" s="324"/>
      <c r="F356" s="326"/>
      <c r="G356" s="326"/>
      <c r="H356" s="324"/>
    </row>
    <row r="357" spans="1:8">
      <c r="A357" s="323"/>
      <c r="B357" s="324"/>
      <c r="C357" s="324"/>
      <c r="D357" s="324"/>
      <c r="E357" s="324"/>
      <c r="F357" s="326"/>
      <c r="G357" s="326"/>
      <c r="H357" s="324"/>
    </row>
    <row r="358" spans="1:8">
      <c r="A358" s="323"/>
      <c r="B358" s="324"/>
      <c r="C358" s="324"/>
      <c r="D358" s="324"/>
      <c r="E358" s="324"/>
      <c r="F358" s="326"/>
      <c r="G358" s="326"/>
      <c r="H358" s="324"/>
    </row>
    <row r="359" spans="1:8">
      <c r="A359" s="323"/>
      <c r="B359" s="324"/>
      <c r="C359" s="324"/>
      <c r="D359" s="324"/>
      <c r="E359" s="324"/>
      <c r="F359" s="326"/>
      <c r="G359" s="326"/>
      <c r="H359" s="324"/>
    </row>
    <row r="360" spans="1:8">
      <c r="A360" s="323"/>
      <c r="B360" s="324"/>
      <c r="C360" s="324"/>
      <c r="D360" s="324"/>
      <c r="E360" s="324"/>
      <c r="F360" s="326"/>
      <c r="G360" s="326"/>
      <c r="H360" s="324"/>
    </row>
    <row r="361" spans="1:8">
      <c r="A361" s="323"/>
      <c r="B361" s="324"/>
      <c r="C361" s="324"/>
      <c r="D361" s="324"/>
      <c r="E361" s="324"/>
      <c r="F361" s="326"/>
      <c r="G361" s="326"/>
      <c r="H361" s="324"/>
    </row>
    <row r="362" spans="1:8">
      <c r="A362" s="323"/>
      <c r="B362" s="324"/>
      <c r="C362" s="324"/>
      <c r="D362" s="324"/>
      <c r="E362" s="324"/>
      <c r="F362" s="326"/>
      <c r="G362" s="326"/>
      <c r="H362" s="324"/>
    </row>
    <row r="363" spans="1:8">
      <c r="A363" s="323"/>
      <c r="B363" s="324"/>
      <c r="C363" s="324"/>
      <c r="D363" s="324"/>
      <c r="E363" s="324"/>
      <c r="F363" s="326"/>
      <c r="G363" s="326"/>
      <c r="H363" s="324"/>
    </row>
    <row r="364" spans="1:8">
      <c r="A364" s="323"/>
      <c r="B364" s="324"/>
      <c r="C364" s="324"/>
      <c r="D364" s="324"/>
      <c r="E364" s="324"/>
      <c r="F364" s="326"/>
      <c r="G364" s="326"/>
      <c r="H364" s="324"/>
    </row>
    <row r="365" spans="1:8">
      <c r="A365" s="323"/>
      <c r="B365" s="324"/>
      <c r="C365" s="324"/>
      <c r="D365" s="324"/>
      <c r="E365" s="324"/>
      <c r="F365" s="326"/>
      <c r="G365" s="326"/>
      <c r="H365" s="324"/>
    </row>
    <row r="366" spans="1:8">
      <c r="A366" s="323"/>
      <c r="B366" s="324"/>
      <c r="C366" s="324"/>
      <c r="D366" s="324"/>
      <c r="E366" s="324"/>
      <c r="F366" s="326"/>
      <c r="G366" s="326"/>
      <c r="H366" s="324"/>
    </row>
    <row r="367" spans="1:8">
      <c r="A367" s="323"/>
      <c r="B367" s="324"/>
      <c r="C367" s="324"/>
      <c r="D367" s="324"/>
      <c r="E367" s="324"/>
      <c r="F367" s="326"/>
      <c r="G367" s="326"/>
      <c r="H367" s="324"/>
    </row>
    <row r="368" spans="1:8">
      <c r="A368" s="323"/>
      <c r="B368" s="324"/>
      <c r="C368" s="324"/>
      <c r="D368" s="324"/>
      <c r="E368" s="324"/>
      <c r="F368" s="326"/>
      <c r="G368" s="326"/>
      <c r="H368" s="324"/>
    </row>
    <row r="369" spans="1:8">
      <c r="A369" s="323"/>
      <c r="B369" s="324"/>
      <c r="C369" s="324"/>
      <c r="D369" s="324"/>
      <c r="E369" s="324"/>
      <c r="F369" s="326"/>
      <c r="G369" s="326"/>
      <c r="H369" s="324"/>
    </row>
    <row r="370" spans="1:8">
      <c r="A370" s="323"/>
      <c r="B370" s="324"/>
      <c r="C370" s="324"/>
      <c r="D370" s="324"/>
      <c r="E370" s="324"/>
      <c r="F370" s="326"/>
      <c r="G370" s="326"/>
      <c r="H370" s="324"/>
    </row>
    <row r="371" spans="1:8">
      <c r="A371" s="323"/>
      <c r="B371" s="324"/>
      <c r="C371" s="324"/>
      <c r="D371" s="324"/>
      <c r="E371" s="324"/>
      <c r="F371" s="326"/>
      <c r="G371" s="326"/>
      <c r="H371" s="324"/>
    </row>
    <row r="372" spans="1:8">
      <c r="A372" s="323"/>
      <c r="B372" s="324"/>
      <c r="C372" s="324"/>
      <c r="D372" s="324"/>
      <c r="E372" s="324"/>
      <c r="F372" s="326"/>
      <c r="G372" s="326"/>
      <c r="H372" s="324"/>
    </row>
    <row r="373" spans="1:8">
      <c r="A373" s="323"/>
      <c r="B373" s="324"/>
      <c r="C373" s="324"/>
      <c r="D373" s="324"/>
      <c r="E373" s="324"/>
      <c r="F373" s="326"/>
      <c r="G373" s="326"/>
      <c r="H373" s="324"/>
    </row>
    <row r="374" spans="1:8">
      <c r="A374" s="323"/>
      <c r="B374" s="324"/>
      <c r="C374" s="324"/>
      <c r="D374" s="324"/>
      <c r="E374" s="324"/>
      <c r="F374" s="326"/>
      <c r="G374" s="326"/>
      <c r="H374" s="324"/>
    </row>
    <row r="375" spans="1:8">
      <c r="A375" s="323"/>
      <c r="B375" s="324"/>
      <c r="C375" s="324"/>
      <c r="D375" s="324"/>
      <c r="E375" s="324"/>
      <c r="F375" s="326"/>
      <c r="G375" s="326"/>
      <c r="H375" s="324"/>
    </row>
    <row r="376" spans="1:8">
      <c r="A376" s="323"/>
      <c r="B376" s="324"/>
      <c r="C376" s="324"/>
      <c r="D376" s="324"/>
      <c r="E376" s="324"/>
      <c r="F376" s="326"/>
      <c r="G376" s="326"/>
      <c r="H376" s="324"/>
    </row>
    <row r="377" spans="1:8">
      <c r="A377" s="323"/>
      <c r="B377" s="324"/>
      <c r="C377" s="324"/>
      <c r="D377" s="324"/>
      <c r="E377" s="324"/>
      <c r="F377" s="326"/>
      <c r="G377" s="326"/>
      <c r="H377" s="324"/>
    </row>
    <row r="378" spans="1:8">
      <c r="A378" s="323"/>
      <c r="B378" s="324"/>
      <c r="C378" s="324"/>
      <c r="D378" s="324"/>
      <c r="E378" s="324"/>
      <c r="F378" s="326"/>
      <c r="G378" s="326"/>
      <c r="H378" s="324"/>
    </row>
    <row r="379" spans="1:8">
      <c r="A379" s="323"/>
      <c r="B379" s="324"/>
      <c r="C379" s="324"/>
      <c r="D379" s="324"/>
      <c r="E379" s="324"/>
      <c r="F379" s="326"/>
      <c r="G379" s="326"/>
      <c r="H379" s="324"/>
    </row>
    <row r="380" spans="1:8">
      <c r="A380" s="323"/>
      <c r="B380" s="324"/>
      <c r="C380" s="324"/>
      <c r="D380" s="324"/>
      <c r="E380" s="324"/>
      <c r="F380" s="326"/>
      <c r="G380" s="326"/>
      <c r="H380" s="324"/>
    </row>
    <row r="381" spans="1:8">
      <c r="A381" s="323"/>
      <c r="B381" s="324"/>
      <c r="C381" s="324"/>
      <c r="D381" s="324"/>
      <c r="E381" s="324"/>
      <c r="F381" s="326"/>
      <c r="G381" s="326"/>
      <c r="H381" s="324"/>
    </row>
    <row r="382" spans="1:8">
      <c r="A382" s="323"/>
      <c r="B382" s="324"/>
      <c r="C382" s="324"/>
      <c r="D382" s="324"/>
      <c r="E382" s="324"/>
      <c r="F382" s="326"/>
      <c r="G382" s="326"/>
      <c r="H382" s="324"/>
    </row>
    <row r="383" spans="1:8">
      <c r="A383" s="323"/>
      <c r="B383" s="324"/>
      <c r="C383" s="324"/>
      <c r="D383" s="324"/>
      <c r="E383" s="324"/>
      <c r="F383" s="326"/>
      <c r="G383" s="326"/>
      <c r="H383" s="324"/>
    </row>
    <row r="384" spans="1:8">
      <c r="A384" s="323"/>
      <c r="B384" s="324"/>
      <c r="C384" s="324"/>
      <c r="D384" s="324"/>
      <c r="E384" s="324"/>
      <c r="F384" s="326"/>
      <c r="G384" s="326"/>
      <c r="H384" s="324"/>
    </row>
    <row r="385" spans="1:8">
      <c r="A385" s="323"/>
      <c r="B385" s="324"/>
      <c r="C385" s="324"/>
      <c r="D385" s="324"/>
      <c r="E385" s="324"/>
      <c r="F385" s="326"/>
      <c r="G385" s="326"/>
      <c r="H385" s="324"/>
    </row>
    <row r="386" spans="1:8">
      <c r="A386" s="323"/>
      <c r="B386" s="324"/>
      <c r="C386" s="324"/>
      <c r="D386" s="324"/>
      <c r="E386" s="324"/>
      <c r="F386" s="326"/>
      <c r="G386" s="326"/>
      <c r="H386" s="324"/>
    </row>
    <row r="387" spans="1:8">
      <c r="A387" s="323"/>
      <c r="B387" s="324"/>
      <c r="C387" s="324"/>
      <c r="D387" s="324"/>
      <c r="E387" s="324"/>
      <c r="F387" s="326"/>
      <c r="G387" s="326"/>
      <c r="H387" s="324"/>
    </row>
    <row r="388" spans="1:8">
      <c r="A388" s="323"/>
      <c r="B388" s="324"/>
      <c r="C388" s="324"/>
      <c r="D388" s="324"/>
      <c r="E388" s="324"/>
      <c r="F388" s="326"/>
      <c r="G388" s="326"/>
      <c r="H388" s="324"/>
    </row>
    <row r="389" spans="1:8">
      <c r="A389" s="323"/>
      <c r="B389" s="324"/>
      <c r="C389" s="324"/>
      <c r="D389" s="324"/>
      <c r="E389" s="324"/>
      <c r="F389" s="326"/>
      <c r="G389" s="326"/>
      <c r="H389" s="324"/>
    </row>
    <row r="390" spans="1:8">
      <c r="A390" s="323"/>
      <c r="B390" s="324"/>
      <c r="C390" s="324"/>
      <c r="D390" s="324"/>
      <c r="E390" s="324"/>
      <c r="F390" s="326"/>
      <c r="G390" s="326"/>
      <c r="H390" s="324"/>
    </row>
    <row r="391" spans="1:8">
      <c r="A391" s="323"/>
      <c r="B391" s="324"/>
      <c r="C391" s="324"/>
      <c r="D391" s="324"/>
      <c r="E391" s="324"/>
      <c r="F391" s="326"/>
      <c r="G391" s="326"/>
      <c r="H391" s="324"/>
    </row>
    <row r="392" spans="1:8">
      <c r="A392" s="323"/>
      <c r="B392" s="324"/>
      <c r="C392" s="324"/>
      <c r="D392" s="324"/>
      <c r="E392" s="324"/>
      <c r="F392" s="326"/>
      <c r="G392" s="326"/>
      <c r="H392" s="324"/>
    </row>
    <row r="393" spans="1:8">
      <c r="A393" s="323"/>
      <c r="B393" s="324"/>
      <c r="C393" s="324"/>
      <c r="D393" s="324"/>
      <c r="E393" s="324"/>
      <c r="F393" s="326"/>
      <c r="G393" s="326"/>
      <c r="H393" s="324"/>
    </row>
    <row r="394" spans="1:8">
      <c r="A394" s="323"/>
      <c r="B394" s="324"/>
      <c r="C394" s="324"/>
      <c r="D394" s="324"/>
      <c r="E394" s="324"/>
      <c r="F394" s="326"/>
      <c r="G394" s="326"/>
      <c r="H394" s="324"/>
    </row>
    <row r="395" spans="1:8">
      <c r="A395" s="323"/>
      <c r="B395" s="324"/>
      <c r="C395" s="324"/>
      <c r="D395" s="324"/>
      <c r="E395" s="324"/>
      <c r="F395" s="326"/>
      <c r="G395" s="326"/>
      <c r="H395" s="324"/>
    </row>
    <row r="396" spans="1:8">
      <c r="A396" s="323"/>
      <c r="B396" s="324"/>
      <c r="C396" s="324"/>
      <c r="D396" s="324"/>
      <c r="E396" s="324"/>
      <c r="F396" s="326"/>
      <c r="G396" s="326"/>
      <c r="H396" s="324"/>
    </row>
    <row r="397" spans="1:8">
      <c r="A397" s="323"/>
      <c r="B397" s="324"/>
      <c r="C397" s="324"/>
      <c r="D397" s="324"/>
      <c r="E397" s="324"/>
      <c r="F397" s="326"/>
      <c r="G397" s="326"/>
      <c r="H397" s="324"/>
    </row>
    <row r="398" spans="1:8">
      <c r="A398" s="323"/>
      <c r="B398" s="324"/>
      <c r="C398" s="324"/>
      <c r="D398" s="324"/>
      <c r="E398" s="324"/>
      <c r="F398" s="326"/>
      <c r="G398" s="326"/>
      <c r="H398" s="324"/>
    </row>
    <row r="399" spans="1:8">
      <c r="A399" s="323"/>
      <c r="B399" s="324"/>
      <c r="C399" s="324"/>
      <c r="D399" s="324"/>
      <c r="E399" s="324"/>
      <c r="F399" s="326"/>
      <c r="G399" s="326"/>
      <c r="H399" s="324"/>
    </row>
    <row r="400" spans="1:8">
      <c r="A400" s="323"/>
      <c r="B400" s="324"/>
      <c r="C400" s="324"/>
      <c r="D400" s="324"/>
      <c r="E400" s="324"/>
      <c r="F400" s="326"/>
      <c r="G400" s="326"/>
      <c r="H400" s="324"/>
    </row>
    <row r="401" spans="1:8">
      <c r="A401" s="323"/>
      <c r="B401" s="324"/>
      <c r="C401" s="324"/>
      <c r="D401" s="324"/>
      <c r="E401" s="324"/>
      <c r="F401" s="326"/>
      <c r="G401" s="326"/>
      <c r="H401" s="324"/>
    </row>
    <row r="402" spans="1:8">
      <c r="A402" s="323"/>
      <c r="B402" s="324"/>
      <c r="C402" s="324"/>
      <c r="D402" s="324"/>
      <c r="E402" s="324"/>
      <c r="F402" s="326"/>
      <c r="G402" s="326"/>
      <c r="H402" s="324"/>
    </row>
    <row r="403" spans="1:8">
      <c r="A403" s="323"/>
      <c r="B403" s="324"/>
      <c r="C403" s="324"/>
      <c r="D403" s="324"/>
      <c r="E403" s="324"/>
      <c r="F403" s="326"/>
      <c r="G403" s="326"/>
      <c r="H403" s="324"/>
    </row>
    <row r="404" spans="1:8">
      <c r="A404" s="323"/>
      <c r="B404" s="324"/>
      <c r="C404" s="324"/>
      <c r="D404" s="324"/>
      <c r="E404" s="324"/>
      <c r="F404" s="326"/>
      <c r="G404" s="326"/>
      <c r="H404" s="324"/>
    </row>
    <row r="405" spans="1:8">
      <c r="A405" s="323"/>
      <c r="B405" s="324"/>
      <c r="C405" s="324"/>
      <c r="D405" s="324"/>
      <c r="E405" s="324"/>
      <c r="F405" s="326"/>
      <c r="G405" s="326"/>
      <c r="H405" s="324"/>
    </row>
    <row r="406" spans="1:8">
      <c r="A406" s="323"/>
      <c r="B406" s="324"/>
      <c r="C406" s="324"/>
      <c r="D406" s="324"/>
      <c r="E406" s="324"/>
      <c r="F406" s="326"/>
      <c r="G406" s="326"/>
      <c r="H406" s="324"/>
    </row>
    <row r="407" spans="1:8">
      <c r="A407" s="323"/>
      <c r="B407" s="324"/>
      <c r="C407" s="324"/>
      <c r="D407" s="324"/>
      <c r="E407" s="324"/>
      <c r="F407" s="326"/>
      <c r="G407" s="326"/>
      <c r="H407" s="324"/>
    </row>
    <row r="408" spans="1:8">
      <c r="A408" s="323"/>
      <c r="B408" s="324"/>
      <c r="C408" s="324"/>
      <c r="D408" s="324"/>
      <c r="E408" s="324"/>
      <c r="F408" s="326"/>
      <c r="G408" s="326"/>
      <c r="H408" s="324"/>
    </row>
    <row r="409" spans="1:8">
      <c r="A409" s="323"/>
      <c r="B409" s="324"/>
      <c r="C409" s="324"/>
      <c r="D409" s="324"/>
      <c r="E409" s="324"/>
      <c r="F409" s="326"/>
      <c r="G409" s="326"/>
      <c r="H409" s="324"/>
    </row>
    <row r="410" spans="1:8">
      <c r="A410" s="323"/>
      <c r="B410" s="324"/>
      <c r="C410" s="324"/>
      <c r="D410" s="324"/>
      <c r="E410" s="324"/>
      <c r="F410" s="326"/>
      <c r="G410" s="326"/>
      <c r="H410" s="324"/>
    </row>
    <row r="411" spans="1:8">
      <c r="A411" s="323"/>
      <c r="B411" s="324"/>
      <c r="C411" s="324"/>
      <c r="D411" s="324"/>
      <c r="E411" s="324"/>
      <c r="F411" s="326"/>
      <c r="G411" s="326"/>
      <c r="H411" s="324"/>
    </row>
    <row r="412" spans="1:8">
      <c r="A412" s="323"/>
      <c r="B412" s="324"/>
      <c r="C412" s="324"/>
      <c r="D412" s="324"/>
      <c r="E412" s="324"/>
      <c r="F412" s="326"/>
      <c r="G412" s="326"/>
      <c r="H412" s="324"/>
    </row>
    <row r="413" spans="1:8">
      <c r="A413" s="323"/>
      <c r="B413" s="324"/>
      <c r="C413" s="324"/>
      <c r="D413" s="324"/>
      <c r="E413" s="324"/>
      <c r="F413" s="326"/>
      <c r="G413" s="326"/>
      <c r="H413" s="324"/>
    </row>
    <row r="414" spans="1:8">
      <c r="A414" s="323"/>
      <c r="B414" s="324"/>
      <c r="C414" s="324"/>
      <c r="D414" s="324"/>
      <c r="E414" s="324"/>
      <c r="F414" s="326"/>
      <c r="G414" s="326"/>
      <c r="H414" s="324"/>
    </row>
    <row r="415" spans="1:8">
      <c r="A415" s="323"/>
      <c r="B415" s="324"/>
      <c r="C415" s="324"/>
      <c r="D415" s="324"/>
      <c r="E415" s="324"/>
      <c r="F415" s="326"/>
      <c r="G415" s="326"/>
      <c r="H415" s="324"/>
    </row>
    <row r="416" spans="1:8">
      <c r="A416" s="323"/>
      <c r="B416" s="324"/>
      <c r="C416" s="324"/>
      <c r="D416" s="324"/>
      <c r="E416" s="324"/>
      <c r="F416" s="326"/>
      <c r="G416" s="326"/>
      <c r="H416" s="324"/>
    </row>
    <row r="417" spans="1:8">
      <c r="A417" s="323"/>
      <c r="B417" s="324"/>
      <c r="C417" s="324"/>
      <c r="D417" s="324"/>
      <c r="E417" s="324"/>
      <c r="F417" s="326"/>
      <c r="G417" s="326"/>
      <c r="H417" s="324"/>
    </row>
    <row r="418" spans="1:8">
      <c r="A418" s="323"/>
      <c r="B418" s="324"/>
      <c r="C418" s="324"/>
      <c r="D418" s="324"/>
      <c r="E418" s="324"/>
      <c r="F418" s="326"/>
      <c r="G418" s="326"/>
      <c r="H418" s="324"/>
    </row>
    <row r="419" spans="1:8">
      <c r="A419" s="323"/>
      <c r="B419" s="324"/>
      <c r="C419" s="324"/>
      <c r="D419" s="324"/>
      <c r="E419" s="324"/>
      <c r="F419" s="326"/>
      <c r="G419" s="326"/>
      <c r="H419" s="324"/>
    </row>
    <row r="420" spans="1:8">
      <c r="A420" s="323"/>
      <c r="B420" s="324"/>
      <c r="C420" s="324"/>
      <c r="D420" s="324"/>
      <c r="E420" s="324"/>
      <c r="F420" s="326"/>
      <c r="G420" s="326"/>
      <c r="H420" s="324"/>
    </row>
    <row r="421" spans="1:8">
      <c r="A421" s="323"/>
      <c r="B421" s="324"/>
      <c r="C421" s="324"/>
      <c r="D421" s="324"/>
      <c r="E421" s="324"/>
      <c r="F421" s="326"/>
      <c r="G421" s="326"/>
      <c r="H421" s="324"/>
    </row>
    <row r="422" spans="1:8">
      <c r="A422" s="323"/>
      <c r="B422" s="324"/>
      <c r="C422" s="324"/>
      <c r="D422" s="324"/>
      <c r="E422" s="324"/>
      <c r="F422" s="326"/>
      <c r="G422" s="326"/>
      <c r="H422" s="324"/>
    </row>
    <row r="423" spans="1:8">
      <c r="A423" s="323"/>
      <c r="B423" s="324"/>
      <c r="C423" s="324"/>
      <c r="D423" s="324"/>
      <c r="E423" s="324"/>
      <c r="F423" s="326"/>
      <c r="G423" s="326"/>
      <c r="H423" s="324"/>
    </row>
    <row r="424" spans="1:8">
      <c r="A424" s="323"/>
      <c r="B424" s="324"/>
      <c r="C424" s="324"/>
      <c r="D424" s="324"/>
      <c r="E424" s="324"/>
      <c r="F424" s="326"/>
      <c r="G424" s="326"/>
      <c r="H424" s="324"/>
    </row>
    <row r="425" spans="1:8">
      <c r="A425" s="323"/>
      <c r="B425" s="324"/>
      <c r="C425" s="324"/>
      <c r="D425" s="324"/>
      <c r="E425" s="324"/>
      <c r="F425" s="326"/>
      <c r="G425" s="326"/>
      <c r="H425" s="324"/>
    </row>
  </sheetData>
  <mergeCells count="2">
    <mergeCell ref="A3:H3"/>
    <mergeCell ref="A1:H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0000"/>
  </sheetPr>
  <dimension ref="A1:WVL583"/>
  <sheetViews>
    <sheetView topLeftCell="A325" workbookViewId="0">
      <selection activeCell="C334" sqref="C334"/>
    </sheetView>
  </sheetViews>
  <sheetFormatPr defaultColWidth="0" defaultRowHeight="16.5"/>
  <cols>
    <col min="1" max="1" width="14.6640625" bestFit="1" customWidth="1"/>
    <col min="2" max="2" width="27" bestFit="1" customWidth="1"/>
    <col min="3" max="3" width="50.33203125" bestFit="1" customWidth="1"/>
    <col min="4" max="4" width="5.109375" customWidth="1"/>
    <col min="19" max="256" width="8.88671875" hidden="1"/>
    <col min="257" max="257" width="14.6640625" bestFit="1" customWidth="1"/>
    <col min="258" max="258" width="27" bestFit="1" customWidth="1"/>
    <col min="259" max="259" width="50.33203125" bestFit="1" customWidth="1"/>
    <col min="260" max="260" width="5.109375" customWidth="1"/>
    <col min="261" max="512" width="8.88671875" hidden="1"/>
    <col min="513" max="513" width="14.6640625" bestFit="1" customWidth="1"/>
    <col min="514" max="514" width="27" bestFit="1" customWidth="1"/>
    <col min="515" max="515" width="50.33203125" bestFit="1" customWidth="1"/>
    <col min="516" max="516" width="5.109375" customWidth="1"/>
    <col min="517" max="768" width="8.88671875" hidden="1"/>
    <col min="769" max="769" width="14.6640625" bestFit="1" customWidth="1"/>
    <col min="770" max="770" width="27" bestFit="1" customWidth="1"/>
    <col min="771" max="771" width="50.33203125" bestFit="1" customWidth="1"/>
    <col min="772" max="772" width="5.109375" customWidth="1"/>
    <col min="773" max="1024" width="8.88671875" hidden="1"/>
    <col min="1025" max="1025" width="14.6640625" bestFit="1" customWidth="1"/>
    <col min="1026" max="1026" width="27" bestFit="1" customWidth="1"/>
    <col min="1027" max="1027" width="50.33203125" bestFit="1" customWidth="1"/>
    <col min="1028" max="1028" width="5.109375" customWidth="1"/>
    <col min="1029" max="1280" width="8.88671875" hidden="1"/>
    <col min="1281" max="1281" width="14.6640625" bestFit="1" customWidth="1"/>
    <col min="1282" max="1282" width="27" bestFit="1" customWidth="1"/>
    <col min="1283" max="1283" width="50.33203125" bestFit="1" customWidth="1"/>
    <col min="1284" max="1284" width="5.109375" customWidth="1"/>
    <col min="1285" max="1536" width="8.88671875" hidden="1"/>
    <col min="1537" max="1537" width="14.6640625" bestFit="1" customWidth="1"/>
    <col min="1538" max="1538" width="27" bestFit="1" customWidth="1"/>
    <col min="1539" max="1539" width="50.33203125" bestFit="1" customWidth="1"/>
    <col min="1540" max="1540" width="5.109375" customWidth="1"/>
    <col min="1541" max="1792" width="8.88671875" hidden="1"/>
    <col min="1793" max="1793" width="14.6640625" bestFit="1" customWidth="1"/>
    <col min="1794" max="1794" width="27" bestFit="1" customWidth="1"/>
    <col min="1795" max="1795" width="50.33203125" bestFit="1" customWidth="1"/>
    <col min="1796" max="1796" width="5.109375" customWidth="1"/>
    <col min="1797" max="2048" width="8.88671875" hidden="1"/>
    <col min="2049" max="2049" width="14.6640625" bestFit="1" customWidth="1"/>
    <col min="2050" max="2050" width="27" bestFit="1" customWidth="1"/>
    <col min="2051" max="2051" width="50.33203125" bestFit="1" customWidth="1"/>
    <col min="2052" max="2052" width="5.109375" customWidth="1"/>
    <col min="2053" max="2304" width="8.88671875" hidden="1"/>
    <col min="2305" max="2305" width="14.6640625" bestFit="1" customWidth="1"/>
    <col min="2306" max="2306" width="27" bestFit="1" customWidth="1"/>
    <col min="2307" max="2307" width="50.33203125" bestFit="1" customWidth="1"/>
    <col min="2308" max="2308" width="5.109375" customWidth="1"/>
    <col min="2309" max="2560" width="8.88671875" hidden="1"/>
    <col min="2561" max="2561" width="14.6640625" bestFit="1" customWidth="1"/>
    <col min="2562" max="2562" width="27" bestFit="1" customWidth="1"/>
    <col min="2563" max="2563" width="50.33203125" bestFit="1" customWidth="1"/>
    <col min="2564" max="2564" width="5.109375" customWidth="1"/>
    <col min="2565" max="2816" width="8.88671875" hidden="1"/>
    <col min="2817" max="2817" width="14.6640625" bestFit="1" customWidth="1"/>
    <col min="2818" max="2818" width="27" bestFit="1" customWidth="1"/>
    <col min="2819" max="2819" width="50.33203125" bestFit="1" customWidth="1"/>
    <col min="2820" max="2820" width="5.109375" customWidth="1"/>
    <col min="2821" max="3072" width="8.88671875" hidden="1"/>
    <col min="3073" max="3073" width="14.6640625" bestFit="1" customWidth="1"/>
    <col min="3074" max="3074" width="27" bestFit="1" customWidth="1"/>
    <col min="3075" max="3075" width="50.33203125" bestFit="1" customWidth="1"/>
    <col min="3076" max="3076" width="5.109375" customWidth="1"/>
    <col min="3077" max="3328" width="8.88671875" hidden="1"/>
    <col min="3329" max="3329" width="14.6640625" bestFit="1" customWidth="1"/>
    <col min="3330" max="3330" width="27" bestFit="1" customWidth="1"/>
    <col min="3331" max="3331" width="50.33203125" bestFit="1" customWidth="1"/>
    <col min="3332" max="3332" width="5.109375" customWidth="1"/>
    <col min="3333" max="3584" width="8.88671875" hidden="1"/>
    <col min="3585" max="3585" width="14.6640625" bestFit="1" customWidth="1"/>
    <col min="3586" max="3586" width="27" bestFit="1" customWidth="1"/>
    <col min="3587" max="3587" width="50.33203125" bestFit="1" customWidth="1"/>
    <col min="3588" max="3588" width="5.109375" customWidth="1"/>
    <col min="3589" max="3840" width="8.88671875" hidden="1"/>
    <col min="3841" max="3841" width="14.6640625" bestFit="1" customWidth="1"/>
    <col min="3842" max="3842" width="27" bestFit="1" customWidth="1"/>
    <col min="3843" max="3843" width="50.33203125" bestFit="1" customWidth="1"/>
    <col min="3844" max="3844" width="5.109375" customWidth="1"/>
    <col min="3845" max="4096" width="8.88671875" hidden="1"/>
    <col min="4097" max="4097" width="14.6640625" bestFit="1" customWidth="1"/>
    <col min="4098" max="4098" width="27" bestFit="1" customWidth="1"/>
    <col min="4099" max="4099" width="50.33203125" bestFit="1" customWidth="1"/>
    <col min="4100" max="4100" width="5.109375" customWidth="1"/>
    <col min="4101" max="4352" width="8.88671875" hidden="1"/>
    <col min="4353" max="4353" width="14.6640625" bestFit="1" customWidth="1"/>
    <col min="4354" max="4354" width="27" bestFit="1" customWidth="1"/>
    <col min="4355" max="4355" width="50.33203125" bestFit="1" customWidth="1"/>
    <col min="4356" max="4356" width="5.109375" customWidth="1"/>
    <col min="4357" max="4608" width="8.88671875" hidden="1"/>
    <col min="4609" max="4609" width="14.6640625" bestFit="1" customWidth="1"/>
    <col min="4610" max="4610" width="27" bestFit="1" customWidth="1"/>
    <col min="4611" max="4611" width="50.33203125" bestFit="1" customWidth="1"/>
    <col min="4612" max="4612" width="5.109375" customWidth="1"/>
    <col min="4613" max="4864" width="8.88671875" hidden="1"/>
    <col min="4865" max="4865" width="14.6640625" bestFit="1" customWidth="1"/>
    <col min="4866" max="4866" width="27" bestFit="1" customWidth="1"/>
    <col min="4867" max="4867" width="50.33203125" bestFit="1" customWidth="1"/>
    <col min="4868" max="4868" width="5.109375" customWidth="1"/>
    <col min="4869" max="5120" width="8.88671875" hidden="1"/>
    <col min="5121" max="5121" width="14.6640625" bestFit="1" customWidth="1"/>
    <col min="5122" max="5122" width="27" bestFit="1" customWidth="1"/>
    <col min="5123" max="5123" width="50.33203125" bestFit="1" customWidth="1"/>
    <col min="5124" max="5124" width="5.109375" customWidth="1"/>
    <col min="5125" max="5376" width="8.88671875" hidden="1"/>
    <col min="5377" max="5377" width="14.6640625" bestFit="1" customWidth="1"/>
    <col min="5378" max="5378" width="27" bestFit="1" customWidth="1"/>
    <col min="5379" max="5379" width="50.33203125" bestFit="1" customWidth="1"/>
    <col min="5380" max="5380" width="5.109375" customWidth="1"/>
    <col min="5381" max="5632" width="8.88671875" hidden="1"/>
    <col min="5633" max="5633" width="14.6640625" bestFit="1" customWidth="1"/>
    <col min="5634" max="5634" width="27" bestFit="1" customWidth="1"/>
    <col min="5635" max="5635" width="50.33203125" bestFit="1" customWidth="1"/>
    <col min="5636" max="5636" width="5.109375" customWidth="1"/>
    <col min="5637" max="5888" width="8.88671875" hidden="1"/>
    <col min="5889" max="5889" width="14.6640625" bestFit="1" customWidth="1"/>
    <col min="5890" max="5890" width="27" bestFit="1" customWidth="1"/>
    <col min="5891" max="5891" width="50.33203125" bestFit="1" customWidth="1"/>
    <col min="5892" max="5892" width="5.109375" customWidth="1"/>
    <col min="5893" max="6144" width="8.88671875" hidden="1"/>
    <col min="6145" max="6145" width="14.6640625" bestFit="1" customWidth="1"/>
    <col min="6146" max="6146" width="27" bestFit="1" customWidth="1"/>
    <col min="6147" max="6147" width="50.33203125" bestFit="1" customWidth="1"/>
    <col min="6148" max="6148" width="5.109375" customWidth="1"/>
    <col min="6149" max="6400" width="8.88671875" hidden="1"/>
    <col min="6401" max="6401" width="14.6640625" bestFit="1" customWidth="1"/>
    <col min="6402" max="6402" width="27" bestFit="1" customWidth="1"/>
    <col min="6403" max="6403" width="50.33203125" bestFit="1" customWidth="1"/>
    <col min="6404" max="6404" width="5.109375" customWidth="1"/>
    <col min="6405" max="6656" width="8.88671875" hidden="1"/>
    <col min="6657" max="6657" width="14.6640625" bestFit="1" customWidth="1"/>
    <col min="6658" max="6658" width="27" bestFit="1" customWidth="1"/>
    <col min="6659" max="6659" width="50.33203125" bestFit="1" customWidth="1"/>
    <col min="6660" max="6660" width="5.109375" customWidth="1"/>
    <col min="6661" max="6912" width="8.88671875" hidden="1"/>
    <col min="6913" max="6913" width="14.6640625" bestFit="1" customWidth="1"/>
    <col min="6914" max="6914" width="27" bestFit="1" customWidth="1"/>
    <col min="6915" max="6915" width="50.33203125" bestFit="1" customWidth="1"/>
    <col min="6916" max="6916" width="5.109375" customWidth="1"/>
    <col min="6917" max="7168" width="8.88671875" hidden="1"/>
    <col min="7169" max="7169" width="14.6640625" bestFit="1" customWidth="1"/>
    <col min="7170" max="7170" width="27" bestFit="1" customWidth="1"/>
    <col min="7171" max="7171" width="50.33203125" bestFit="1" customWidth="1"/>
    <col min="7172" max="7172" width="5.109375" customWidth="1"/>
    <col min="7173" max="7424" width="8.88671875" hidden="1"/>
    <col min="7425" max="7425" width="14.6640625" bestFit="1" customWidth="1"/>
    <col min="7426" max="7426" width="27" bestFit="1" customWidth="1"/>
    <col min="7427" max="7427" width="50.33203125" bestFit="1" customWidth="1"/>
    <col min="7428" max="7428" width="5.109375" customWidth="1"/>
    <col min="7429" max="7680" width="8.88671875" hidden="1"/>
    <col min="7681" max="7681" width="14.6640625" bestFit="1" customWidth="1"/>
    <col min="7682" max="7682" width="27" bestFit="1" customWidth="1"/>
    <col min="7683" max="7683" width="50.33203125" bestFit="1" customWidth="1"/>
    <col min="7684" max="7684" width="5.109375" customWidth="1"/>
    <col min="7685" max="7936" width="8.88671875" hidden="1"/>
    <col min="7937" max="7937" width="14.6640625" bestFit="1" customWidth="1"/>
    <col min="7938" max="7938" width="27" bestFit="1" customWidth="1"/>
    <col min="7939" max="7939" width="50.33203125" bestFit="1" customWidth="1"/>
    <col min="7940" max="7940" width="5.109375" customWidth="1"/>
    <col min="7941" max="8192" width="8.88671875" hidden="1"/>
    <col min="8193" max="8193" width="14.6640625" bestFit="1" customWidth="1"/>
    <col min="8194" max="8194" width="27" bestFit="1" customWidth="1"/>
    <col min="8195" max="8195" width="50.33203125" bestFit="1" customWidth="1"/>
    <col min="8196" max="8196" width="5.109375" customWidth="1"/>
    <col min="8197" max="8448" width="8.88671875" hidden="1"/>
    <col min="8449" max="8449" width="14.6640625" bestFit="1" customWidth="1"/>
    <col min="8450" max="8450" width="27" bestFit="1" customWidth="1"/>
    <col min="8451" max="8451" width="50.33203125" bestFit="1" customWidth="1"/>
    <col min="8452" max="8452" width="5.109375" customWidth="1"/>
    <col min="8453" max="8704" width="8.88671875" hidden="1"/>
    <col min="8705" max="8705" width="14.6640625" bestFit="1" customWidth="1"/>
    <col min="8706" max="8706" width="27" bestFit="1" customWidth="1"/>
    <col min="8707" max="8707" width="50.33203125" bestFit="1" customWidth="1"/>
    <col min="8708" max="8708" width="5.109375" customWidth="1"/>
    <col min="8709" max="8960" width="8.88671875" hidden="1"/>
    <col min="8961" max="8961" width="14.6640625" bestFit="1" customWidth="1"/>
    <col min="8962" max="8962" width="27" bestFit="1" customWidth="1"/>
    <col min="8963" max="8963" width="50.33203125" bestFit="1" customWidth="1"/>
    <col min="8964" max="8964" width="5.109375" customWidth="1"/>
    <col min="8965" max="9216" width="8.88671875" hidden="1"/>
    <col min="9217" max="9217" width="14.6640625" bestFit="1" customWidth="1"/>
    <col min="9218" max="9218" width="27" bestFit="1" customWidth="1"/>
    <col min="9219" max="9219" width="50.33203125" bestFit="1" customWidth="1"/>
    <col min="9220" max="9220" width="5.109375" customWidth="1"/>
    <col min="9221" max="9472" width="8.88671875" hidden="1"/>
    <col min="9473" max="9473" width="14.6640625" bestFit="1" customWidth="1"/>
    <col min="9474" max="9474" width="27" bestFit="1" customWidth="1"/>
    <col min="9475" max="9475" width="50.33203125" bestFit="1" customWidth="1"/>
    <col min="9476" max="9476" width="5.109375" customWidth="1"/>
    <col min="9477" max="9728" width="8.88671875" hidden="1"/>
    <col min="9729" max="9729" width="14.6640625" bestFit="1" customWidth="1"/>
    <col min="9730" max="9730" width="27" bestFit="1" customWidth="1"/>
    <col min="9731" max="9731" width="50.33203125" bestFit="1" customWidth="1"/>
    <col min="9732" max="9732" width="5.109375" customWidth="1"/>
    <col min="9733" max="9984" width="8.88671875" hidden="1"/>
    <col min="9985" max="9985" width="14.6640625" bestFit="1" customWidth="1"/>
    <col min="9986" max="9986" width="27" bestFit="1" customWidth="1"/>
    <col min="9987" max="9987" width="50.33203125" bestFit="1" customWidth="1"/>
    <col min="9988" max="9988" width="5.109375" customWidth="1"/>
    <col min="9989" max="10240" width="8.88671875" hidden="1"/>
    <col min="10241" max="10241" width="14.6640625" bestFit="1" customWidth="1"/>
    <col min="10242" max="10242" width="27" bestFit="1" customWidth="1"/>
    <col min="10243" max="10243" width="50.33203125" bestFit="1" customWidth="1"/>
    <col min="10244" max="10244" width="5.109375" customWidth="1"/>
    <col min="10245" max="10496" width="8.88671875" hidden="1"/>
    <col min="10497" max="10497" width="14.6640625" bestFit="1" customWidth="1"/>
    <col min="10498" max="10498" width="27" bestFit="1" customWidth="1"/>
    <col min="10499" max="10499" width="50.33203125" bestFit="1" customWidth="1"/>
    <col min="10500" max="10500" width="5.109375" customWidth="1"/>
    <col min="10501" max="10752" width="8.88671875" hidden="1"/>
    <col min="10753" max="10753" width="14.6640625" bestFit="1" customWidth="1"/>
    <col min="10754" max="10754" width="27" bestFit="1" customWidth="1"/>
    <col min="10755" max="10755" width="50.33203125" bestFit="1" customWidth="1"/>
    <col min="10756" max="10756" width="5.109375" customWidth="1"/>
    <col min="10757" max="11008" width="8.88671875" hidden="1"/>
    <col min="11009" max="11009" width="14.6640625" bestFit="1" customWidth="1"/>
    <col min="11010" max="11010" width="27" bestFit="1" customWidth="1"/>
    <col min="11011" max="11011" width="50.33203125" bestFit="1" customWidth="1"/>
    <col min="11012" max="11012" width="5.109375" customWidth="1"/>
    <col min="11013" max="11264" width="8.88671875" hidden="1"/>
    <col min="11265" max="11265" width="14.6640625" bestFit="1" customWidth="1"/>
    <col min="11266" max="11266" width="27" bestFit="1" customWidth="1"/>
    <col min="11267" max="11267" width="50.33203125" bestFit="1" customWidth="1"/>
    <col min="11268" max="11268" width="5.109375" customWidth="1"/>
    <col min="11269" max="11520" width="8.88671875" hidden="1"/>
    <col min="11521" max="11521" width="14.6640625" bestFit="1" customWidth="1"/>
    <col min="11522" max="11522" width="27" bestFit="1" customWidth="1"/>
    <col min="11523" max="11523" width="50.33203125" bestFit="1" customWidth="1"/>
    <col min="11524" max="11524" width="5.109375" customWidth="1"/>
    <col min="11525" max="11776" width="8.88671875" hidden="1"/>
    <col min="11777" max="11777" width="14.6640625" bestFit="1" customWidth="1"/>
    <col min="11778" max="11778" width="27" bestFit="1" customWidth="1"/>
    <col min="11779" max="11779" width="50.33203125" bestFit="1" customWidth="1"/>
    <col min="11780" max="11780" width="5.109375" customWidth="1"/>
    <col min="11781" max="12032" width="8.88671875" hidden="1"/>
    <col min="12033" max="12033" width="14.6640625" bestFit="1" customWidth="1"/>
    <col min="12034" max="12034" width="27" bestFit="1" customWidth="1"/>
    <col min="12035" max="12035" width="50.33203125" bestFit="1" customWidth="1"/>
    <col min="12036" max="12036" width="5.109375" customWidth="1"/>
    <col min="12037" max="12288" width="8.88671875" hidden="1"/>
    <col min="12289" max="12289" width="14.6640625" bestFit="1" customWidth="1"/>
    <col min="12290" max="12290" width="27" bestFit="1" customWidth="1"/>
    <col min="12291" max="12291" width="50.33203125" bestFit="1" customWidth="1"/>
    <col min="12292" max="12292" width="5.109375" customWidth="1"/>
    <col min="12293" max="12544" width="8.88671875" hidden="1"/>
    <col min="12545" max="12545" width="14.6640625" bestFit="1" customWidth="1"/>
    <col min="12546" max="12546" width="27" bestFit="1" customWidth="1"/>
    <col min="12547" max="12547" width="50.33203125" bestFit="1" customWidth="1"/>
    <col min="12548" max="12548" width="5.109375" customWidth="1"/>
    <col min="12549" max="12800" width="8.88671875" hidden="1"/>
    <col min="12801" max="12801" width="14.6640625" bestFit="1" customWidth="1"/>
    <col min="12802" max="12802" width="27" bestFit="1" customWidth="1"/>
    <col min="12803" max="12803" width="50.33203125" bestFit="1" customWidth="1"/>
    <col min="12804" max="12804" width="5.109375" customWidth="1"/>
    <col min="12805" max="13056" width="8.88671875" hidden="1"/>
    <col min="13057" max="13057" width="14.6640625" bestFit="1" customWidth="1"/>
    <col min="13058" max="13058" width="27" bestFit="1" customWidth="1"/>
    <col min="13059" max="13059" width="50.33203125" bestFit="1" customWidth="1"/>
    <col min="13060" max="13060" width="5.109375" customWidth="1"/>
    <col min="13061" max="13312" width="8.88671875" hidden="1"/>
    <col min="13313" max="13313" width="14.6640625" bestFit="1" customWidth="1"/>
    <col min="13314" max="13314" width="27" bestFit="1" customWidth="1"/>
    <col min="13315" max="13315" width="50.33203125" bestFit="1" customWidth="1"/>
    <col min="13316" max="13316" width="5.109375" customWidth="1"/>
    <col min="13317" max="13568" width="8.88671875" hidden="1"/>
    <col min="13569" max="13569" width="14.6640625" bestFit="1" customWidth="1"/>
    <col min="13570" max="13570" width="27" bestFit="1" customWidth="1"/>
    <col min="13571" max="13571" width="50.33203125" bestFit="1" customWidth="1"/>
    <col min="13572" max="13572" width="5.109375" customWidth="1"/>
    <col min="13573" max="13824" width="8.88671875" hidden="1"/>
    <col min="13825" max="13825" width="14.6640625" bestFit="1" customWidth="1"/>
    <col min="13826" max="13826" width="27" bestFit="1" customWidth="1"/>
    <col min="13827" max="13827" width="50.33203125" bestFit="1" customWidth="1"/>
    <col min="13828" max="13828" width="5.109375" customWidth="1"/>
    <col min="13829" max="14080" width="8.88671875" hidden="1"/>
    <col min="14081" max="14081" width="14.6640625" bestFit="1" customWidth="1"/>
    <col min="14082" max="14082" width="27" bestFit="1" customWidth="1"/>
    <col min="14083" max="14083" width="50.33203125" bestFit="1" customWidth="1"/>
    <col min="14084" max="14084" width="5.109375" customWidth="1"/>
    <col min="14085" max="14336" width="8.88671875" hidden="1"/>
    <col min="14337" max="14337" width="14.6640625" bestFit="1" customWidth="1"/>
    <col min="14338" max="14338" width="27" bestFit="1" customWidth="1"/>
    <col min="14339" max="14339" width="50.33203125" bestFit="1" customWidth="1"/>
    <col min="14340" max="14340" width="5.109375" customWidth="1"/>
    <col min="14341" max="14592" width="8.88671875" hidden="1"/>
    <col min="14593" max="14593" width="14.6640625" bestFit="1" customWidth="1"/>
    <col min="14594" max="14594" width="27" bestFit="1" customWidth="1"/>
    <col min="14595" max="14595" width="50.33203125" bestFit="1" customWidth="1"/>
    <col min="14596" max="14596" width="5.109375" customWidth="1"/>
    <col min="14597" max="14848" width="8.88671875" hidden="1"/>
    <col min="14849" max="14849" width="14.6640625" bestFit="1" customWidth="1"/>
    <col min="14850" max="14850" width="27" bestFit="1" customWidth="1"/>
    <col min="14851" max="14851" width="50.33203125" bestFit="1" customWidth="1"/>
    <col min="14852" max="14852" width="5.109375" customWidth="1"/>
    <col min="14853" max="15104" width="8.88671875" hidden="1"/>
    <col min="15105" max="15105" width="14.6640625" bestFit="1" customWidth="1"/>
    <col min="15106" max="15106" width="27" bestFit="1" customWidth="1"/>
    <col min="15107" max="15107" width="50.33203125" bestFit="1" customWidth="1"/>
    <col min="15108" max="15108" width="5.109375" customWidth="1"/>
    <col min="15109" max="15360" width="8.88671875" hidden="1"/>
    <col min="15361" max="15361" width="14.6640625" bestFit="1" customWidth="1"/>
    <col min="15362" max="15362" width="27" bestFit="1" customWidth="1"/>
    <col min="15363" max="15363" width="50.33203125" bestFit="1" customWidth="1"/>
    <col min="15364" max="15364" width="5.109375" customWidth="1"/>
    <col min="15365" max="15616" width="8.88671875" hidden="1"/>
    <col min="15617" max="15617" width="14.6640625" bestFit="1" customWidth="1"/>
    <col min="15618" max="15618" width="27" bestFit="1" customWidth="1"/>
    <col min="15619" max="15619" width="50.33203125" bestFit="1" customWidth="1"/>
    <col min="15620" max="15620" width="5.109375" customWidth="1"/>
    <col min="15621" max="15872" width="8.88671875" hidden="1"/>
    <col min="15873" max="15873" width="14.6640625" bestFit="1" customWidth="1"/>
    <col min="15874" max="15874" width="27" bestFit="1" customWidth="1"/>
    <col min="15875" max="15875" width="50.33203125" bestFit="1" customWidth="1"/>
    <col min="15876" max="15876" width="5.109375" customWidth="1"/>
    <col min="15877" max="16128" width="8.88671875" hidden="1"/>
    <col min="16129" max="16129" width="14.6640625" bestFit="1" customWidth="1"/>
    <col min="16130" max="16130" width="27" bestFit="1" customWidth="1"/>
    <col min="16131" max="16131" width="50.33203125" bestFit="1" customWidth="1"/>
    <col min="16132" max="16132" width="5.109375" customWidth="1"/>
    <col min="16133" max="16384" width="8.88671875" hidden="1"/>
  </cols>
  <sheetData>
    <row r="1" spans="1:18">
      <c r="A1" s="139" t="s">
        <v>454</v>
      </c>
      <c r="B1" s="139" t="s">
        <v>455</v>
      </c>
      <c r="C1" s="139" t="s">
        <v>456</v>
      </c>
    </row>
    <row r="2" spans="1:18">
      <c r="A2" t="s">
        <v>457</v>
      </c>
      <c r="B2" t="s">
        <v>458</v>
      </c>
      <c r="C2" s="140" t="s">
        <v>4488</v>
      </c>
      <c r="R2" t="s">
        <v>458</v>
      </c>
    </row>
    <row r="3" spans="1:18">
      <c r="A3" s="141"/>
      <c r="B3" t="s">
        <v>459</v>
      </c>
      <c r="C3" s="140" t="s">
        <v>4489</v>
      </c>
      <c r="R3" t="s">
        <v>459</v>
      </c>
    </row>
    <row r="4" spans="1:18">
      <c r="A4" s="141"/>
      <c r="B4" t="s">
        <v>460</v>
      </c>
      <c r="C4" s="140" t="s">
        <v>4490</v>
      </c>
      <c r="R4" t="s">
        <v>460</v>
      </c>
    </row>
    <row r="5" spans="1:18">
      <c r="A5" s="141"/>
      <c r="B5" t="s">
        <v>461</v>
      </c>
      <c r="C5" s="140" t="s">
        <v>4491</v>
      </c>
      <c r="R5" t="s">
        <v>461</v>
      </c>
    </row>
    <row r="6" spans="1:18">
      <c r="A6" s="141"/>
      <c r="B6" t="s">
        <v>462</v>
      </c>
      <c r="C6" s="140" t="s">
        <v>4492</v>
      </c>
      <c r="R6" t="s">
        <v>462</v>
      </c>
    </row>
    <row r="7" spans="1:18">
      <c r="A7" s="141"/>
      <c r="B7" t="s">
        <v>457</v>
      </c>
      <c r="C7" s="140" t="s">
        <v>4493</v>
      </c>
      <c r="R7" t="s">
        <v>457</v>
      </c>
    </row>
    <row r="8" spans="1:18">
      <c r="A8" s="141"/>
      <c r="B8" t="s">
        <v>463</v>
      </c>
      <c r="C8" s="140" t="s">
        <v>4494</v>
      </c>
      <c r="R8" t="s">
        <v>463</v>
      </c>
    </row>
    <row r="9" spans="1:18">
      <c r="A9" s="141"/>
      <c r="B9" t="s">
        <v>464</v>
      </c>
      <c r="C9" s="140" t="s">
        <v>4495</v>
      </c>
      <c r="R9" t="s">
        <v>464</v>
      </c>
    </row>
    <row r="10" spans="1:18">
      <c r="A10" s="141"/>
      <c r="B10" t="s">
        <v>465</v>
      </c>
      <c r="C10" s="140" t="s">
        <v>4496</v>
      </c>
      <c r="R10" t="s">
        <v>465</v>
      </c>
    </row>
    <row r="11" spans="1:18">
      <c r="A11" s="141"/>
      <c r="B11" t="s">
        <v>466</v>
      </c>
      <c r="C11" s="390" t="s">
        <v>4497</v>
      </c>
      <c r="R11" t="s">
        <v>466</v>
      </c>
    </row>
    <row r="12" spans="1:18">
      <c r="A12" s="141"/>
      <c r="B12" t="s">
        <v>467</v>
      </c>
      <c r="C12" s="140" t="s">
        <v>4498</v>
      </c>
      <c r="R12" t="s">
        <v>467</v>
      </c>
    </row>
    <row r="13" spans="1:18">
      <c r="A13" t="s">
        <v>468</v>
      </c>
      <c r="B13" t="s">
        <v>469</v>
      </c>
      <c r="C13" s="140" t="s">
        <v>4499</v>
      </c>
      <c r="R13" t="s">
        <v>469</v>
      </c>
    </row>
    <row r="14" spans="1:18">
      <c r="A14" s="141"/>
      <c r="B14" t="s">
        <v>470</v>
      </c>
      <c r="C14" s="140" t="s">
        <v>4500</v>
      </c>
      <c r="R14" t="s">
        <v>470</v>
      </c>
    </row>
    <row r="15" spans="1:18">
      <c r="A15" s="141"/>
      <c r="B15" t="s">
        <v>471</v>
      </c>
      <c r="C15" s="140" t="s">
        <v>4501</v>
      </c>
      <c r="R15" t="s">
        <v>471</v>
      </c>
    </row>
    <row r="16" spans="1:18">
      <c r="A16" s="141"/>
      <c r="B16" t="s">
        <v>472</v>
      </c>
      <c r="C16" s="140" t="s">
        <v>4502</v>
      </c>
      <c r="R16" t="s">
        <v>472</v>
      </c>
    </row>
    <row r="17" spans="1:18">
      <c r="A17" s="141"/>
      <c r="B17" t="s">
        <v>473</v>
      </c>
      <c r="C17" s="140" t="s">
        <v>4503</v>
      </c>
      <c r="R17" t="s">
        <v>473</v>
      </c>
    </row>
    <row r="18" spans="1:18">
      <c r="A18" s="141"/>
      <c r="B18" t="s">
        <v>474</v>
      </c>
      <c r="C18" s="140" t="s">
        <v>4504</v>
      </c>
      <c r="R18" t="s">
        <v>474</v>
      </c>
    </row>
    <row r="19" spans="1:18">
      <c r="A19" s="141"/>
      <c r="B19" t="s">
        <v>475</v>
      </c>
      <c r="C19" s="140" t="s">
        <v>4505</v>
      </c>
      <c r="R19" t="s">
        <v>475</v>
      </c>
    </row>
    <row r="20" spans="1:18">
      <c r="A20" s="141"/>
      <c r="B20" t="s">
        <v>476</v>
      </c>
      <c r="C20" s="140" t="s">
        <v>4506</v>
      </c>
      <c r="R20" t="s">
        <v>476</v>
      </c>
    </row>
    <row r="21" spans="1:18">
      <c r="A21" s="141"/>
      <c r="B21" t="s">
        <v>477</v>
      </c>
      <c r="C21" s="140" t="s">
        <v>4507</v>
      </c>
      <c r="R21" t="s">
        <v>477</v>
      </c>
    </row>
    <row r="22" spans="1:18">
      <c r="A22" s="141"/>
      <c r="B22" t="s">
        <v>468</v>
      </c>
      <c r="C22" s="140" t="s">
        <v>4508</v>
      </c>
      <c r="R22" t="s">
        <v>468</v>
      </c>
    </row>
    <row r="23" spans="1:18">
      <c r="A23" s="141"/>
      <c r="B23" t="s">
        <v>478</v>
      </c>
      <c r="C23" s="140" t="s">
        <v>4509</v>
      </c>
      <c r="R23" t="s">
        <v>478</v>
      </c>
    </row>
    <row r="24" spans="1:18">
      <c r="A24" s="141"/>
      <c r="B24" t="s">
        <v>479</v>
      </c>
      <c r="C24" s="140" t="s">
        <v>4510</v>
      </c>
      <c r="R24" t="s">
        <v>479</v>
      </c>
    </row>
    <row r="25" spans="1:18">
      <c r="A25" s="141"/>
      <c r="B25" t="s">
        <v>480</v>
      </c>
      <c r="C25" s="140" t="s">
        <v>4511</v>
      </c>
      <c r="R25" t="s">
        <v>480</v>
      </c>
    </row>
    <row r="26" spans="1:18">
      <c r="A26" s="141"/>
      <c r="B26" t="s">
        <v>481</v>
      </c>
      <c r="C26" s="140" t="s">
        <v>4512</v>
      </c>
      <c r="R26" t="s">
        <v>481</v>
      </c>
    </row>
    <row r="27" spans="1:18">
      <c r="A27" s="141"/>
      <c r="B27" t="s">
        <v>481</v>
      </c>
      <c r="C27" s="140" t="s">
        <v>4513</v>
      </c>
      <c r="R27" t="s">
        <v>481</v>
      </c>
    </row>
    <row r="28" spans="1:18">
      <c r="A28" s="141"/>
      <c r="B28" t="s">
        <v>482</v>
      </c>
      <c r="C28" s="140" t="s">
        <v>4514</v>
      </c>
      <c r="R28" t="s">
        <v>482</v>
      </c>
    </row>
    <row r="29" spans="1:18">
      <c r="A29" s="141"/>
      <c r="B29" t="s">
        <v>483</v>
      </c>
      <c r="C29" s="140" t="s">
        <v>4515</v>
      </c>
      <c r="R29" t="s">
        <v>483</v>
      </c>
    </row>
    <row r="30" spans="1:18">
      <c r="A30" t="s">
        <v>484</v>
      </c>
      <c r="B30" t="s">
        <v>485</v>
      </c>
      <c r="C30" s="140" t="s">
        <v>4516</v>
      </c>
      <c r="R30" t="s">
        <v>485</v>
      </c>
    </row>
    <row r="31" spans="1:18">
      <c r="A31" s="141"/>
      <c r="B31" t="s">
        <v>486</v>
      </c>
      <c r="C31" s="140" t="s">
        <v>4517</v>
      </c>
      <c r="R31" t="s">
        <v>486</v>
      </c>
    </row>
    <row r="32" spans="1:18">
      <c r="A32" s="141"/>
      <c r="B32" t="s">
        <v>487</v>
      </c>
      <c r="C32" s="140" t="s">
        <v>4518</v>
      </c>
      <c r="R32" t="s">
        <v>487</v>
      </c>
    </row>
    <row r="33" spans="1:18">
      <c r="A33" s="141"/>
      <c r="B33" t="s">
        <v>488</v>
      </c>
      <c r="C33" s="140" t="s">
        <v>4519</v>
      </c>
      <c r="R33" t="s">
        <v>488</v>
      </c>
    </row>
    <row r="34" spans="1:18">
      <c r="A34" s="141"/>
      <c r="B34" t="s">
        <v>489</v>
      </c>
      <c r="C34" s="140" t="s">
        <v>4520</v>
      </c>
      <c r="R34" t="s">
        <v>489</v>
      </c>
    </row>
    <row r="35" spans="1:18">
      <c r="A35" s="141"/>
      <c r="B35" t="s">
        <v>490</v>
      </c>
      <c r="C35" s="140" t="s">
        <v>4521</v>
      </c>
      <c r="R35" t="s">
        <v>490</v>
      </c>
    </row>
    <row r="36" spans="1:18">
      <c r="A36" s="141"/>
      <c r="B36" t="s">
        <v>484</v>
      </c>
      <c r="C36" s="140" t="s">
        <v>4522</v>
      </c>
      <c r="R36" t="s">
        <v>484</v>
      </c>
    </row>
    <row r="37" spans="1:18">
      <c r="A37" s="141"/>
      <c r="B37" t="s">
        <v>491</v>
      </c>
      <c r="C37" s="140" t="s">
        <v>4523</v>
      </c>
      <c r="R37" t="s">
        <v>491</v>
      </c>
    </row>
    <row r="38" spans="1:18">
      <c r="A38" s="141"/>
      <c r="B38" t="s">
        <v>492</v>
      </c>
      <c r="C38" s="140" t="s">
        <v>4524</v>
      </c>
      <c r="R38" t="s">
        <v>492</v>
      </c>
    </row>
    <row r="39" spans="1:18">
      <c r="A39" s="141"/>
      <c r="B39" t="s">
        <v>493</v>
      </c>
      <c r="C39" s="140" t="s">
        <v>4525</v>
      </c>
      <c r="R39" t="s">
        <v>493</v>
      </c>
    </row>
    <row r="40" spans="1:18">
      <c r="A40" s="141"/>
      <c r="B40" t="s">
        <v>494</v>
      </c>
      <c r="C40" s="140" t="s">
        <v>4526</v>
      </c>
      <c r="R40" t="s">
        <v>494</v>
      </c>
    </row>
    <row r="41" spans="1:18">
      <c r="A41" s="141"/>
      <c r="B41" t="s">
        <v>495</v>
      </c>
      <c r="C41" s="140" t="s">
        <v>4527</v>
      </c>
      <c r="R41" t="s">
        <v>495</v>
      </c>
    </row>
    <row r="42" spans="1:18">
      <c r="A42" s="141"/>
      <c r="B42" t="s">
        <v>496</v>
      </c>
      <c r="C42" s="140" t="s">
        <v>4528</v>
      </c>
      <c r="R42" t="s">
        <v>496</v>
      </c>
    </row>
    <row r="43" spans="1:18">
      <c r="A43" s="141"/>
      <c r="B43" t="s">
        <v>497</v>
      </c>
      <c r="C43" s="140" t="s">
        <v>4529</v>
      </c>
      <c r="R43" t="s">
        <v>497</v>
      </c>
    </row>
    <row r="44" spans="1:18">
      <c r="A44" s="141"/>
      <c r="B44" t="s">
        <v>498</v>
      </c>
      <c r="C44" s="140" t="s">
        <v>4530</v>
      </c>
      <c r="R44" t="s">
        <v>498</v>
      </c>
    </row>
    <row r="45" spans="1:18">
      <c r="A45" t="s">
        <v>499</v>
      </c>
      <c r="B45" t="s">
        <v>500</v>
      </c>
      <c r="C45" s="140" t="s">
        <v>4531</v>
      </c>
      <c r="R45" t="s">
        <v>500</v>
      </c>
    </row>
    <row r="46" spans="1:18">
      <c r="A46" s="141"/>
      <c r="B46" t="s">
        <v>501</v>
      </c>
      <c r="C46" s="140" t="s">
        <v>4532</v>
      </c>
      <c r="R46" t="s">
        <v>501</v>
      </c>
    </row>
    <row r="47" spans="1:18">
      <c r="A47" s="141"/>
      <c r="B47" t="s">
        <v>502</v>
      </c>
      <c r="C47" s="140" t="s">
        <v>4533</v>
      </c>
      <c r="R47" t="s">
        <v>502</v>
      </c>
    </row>
    <row r="48" spans="1:18">
      <c r="A48" s="141"/>
      <c r="B48" t="s">
        <v>499</v>
      </c>
      <c r="C48" s="140" t="s">
        <v>4534</v>
      </c>
      <c r="R48" t="s">
        <v>499</v>
      </c>
    </row>
    <row r="49" spans="1:18">
      <c r="A49" s="141"/>
      <c r="B49" t="s">
        <v>503</v>
      </c>
      <c r="C49" s="140" t="s">
        <v>4535</v>
      </c>
      <c r="R49" t="s">
        <v>503</v>
      </c>
    </row>
    <row r="50" spans="1:18">
      <c r="A50" s="141"/>
      <c r="B50" t="s">
        <v>504</v>
      </c>
      <c r="C50" s="140" t="s">
        <v>4536</v>
      </c>
      <c r="R50" t="s">
        <v>504</v>
      </c>
    </row>
    <row r="51" spans="1:18">
      <c r="A51" s="141"/>
      <c r="B51" t="s">
        <v>505</v>
      </c>
      <c r="C51" s="140" t="s">
        <v>4537</v>
      </c>
      <c r="R51" t="s">
        <v>505</v>
      </c>
    </row>
    <row r="52" spans="1:18">
      <c r="A52" s="141"/>
      <c r="B52" t="s">
        <v>506</v>
      </c>
      <c r="C52" s="140" t="s">
        <v>4538</v>
      </c>
      <c r="R52" t="s">
        <v>506</v>
      </c>
    </row>
    <row r="53" spans="1:18">
      <c r="A53" s="141"/>
      <c r="B53" t="s">
        <v>507</v>
      </c>
      <c r="C53" s="140" t="s">
        <v>4539</v>
      </c>
      <c r="R53" t="s">
        <v>507</v>
      </c>
    </row>
    <row r="54" spans="1:18">
      <c r="A54" s="141"/>
      <c r="B54" t="s">
        <v>508</v>
      </c>
      <c r="C54" s="140" t="s">
        <v>4540</v>
      </c>
      <c r="R54" t="s">
        <v>508</v>
      </c>
    </row>
    <row r="55" spans="1:18">
      <c r="A55" s="141"/>
      <c r="B55" t="s">
        <v>509</v>
      </c>
      <c r="C55" s="140" t="s">
        <v>4541</v>
      </c>
      <c r="R55" t="s">
        <v>509</v>
      </c>
    </row>
    <row r="56" spans="1:18">
      <c r="A56" s="141"/>
      <c r="B56" t="s">
        <v>510</v>
      </c>
      <c r="C56" s="140" t="s">
        <v>4542</v>
      </c>
      <c r="R56" t="s">
        <v>510</v>
      </c>
    </row>
    <row r="57" spans="1:18">
      <c r="A57" s="141"/>
      <c r="B57" t="s">
        <v>511</v>
      </c>
      <c r="C57" s="140" t="s">
        <v>4543</v>
      </c>
      <c r="R57" t="s">
        <v>511</v>
      </c>
    </row>
    <row r="58" spans="1:18">
      <c r="A58" s="141"/>
      <c r="B58" t="s">
        <v>512</v>
      </c>
      <c r="C58" s="140" t="s">
        <v>4544</v>
      </c>
      <c r="R58" t="s">
        <v>512</v>
      </c>
    </row>
    <row r="59" spans="1:18">
      <c r="A59" t="s">
        <v>513</v>
      </c>
      <c r="B59" t="s">
        <v>514</v>
      </c>
      <c r="C59" s="140" t="s">
        <v>4545</v>
      </c>
      <c r="R59" t="s">
        <v>514</v>
      </c>
    </row>
    <row r="60" spans="1:18">
      <c r="A60" s="141"/>
      <c r="B60" t="s">
        <v>515</v>
      </c>
      <c r="C60" s="140" t="s">
        <v>4546</v>
      </c>
      <c r="R60" t="s">
        <v>515</v>
      </c>
    </row>
    <row r="61" spans="1:18">
      <c r="A61" s="141"/>
      <c r="B61" t="s">
        <v>516</v>
      </c>
      <c r="C61" s="140" t="s">
        <v>4547</v>
      </c>
      <c r="R61" t="s">
        <v>516</v>
      </c>
    </row>
    <row r="62" spans="1:18">
      <c r="A62" s="141"/>
      <c r="B62" t="s">
        <v>517</v>
      </c>
      <c r="C62" s="140" t="s">
        <v>4548</v>
      </c>
      <c r="R62" t="s">
        <v>517</v>
      </c>
    </row>
    <row r="63" spans="1:18">
      <c r="A63" s="141"/>
      <c r="B63" t="s">
        <v>518</v>
      </c>
      <c r="C63" s="140" t="s">
        <v>4549</v>
      </c>
      <c r="R63" t="s">
        <v>518</v>
      </c>
    </row>
    <row r="64" spans="1:18">
      <c r="A64" s="141"/>
      <c r="B64" t="s">
        <v>519</v>
      </c>
      <c r="C64" s="140" t="s">
        <v>4550</v>
      </c>
      <c r="R64" t="s">
        <v>519</v>
      </c>
    </row>
    <row r="65" spans="1:18">
      <c r="A65" s="141"/>
      <c r="B65" t="s">
        <v>520</v>
      </c>
      <c r="C65" s="140" t="s">
        <v>4551</v>
      </c>
      <c r="R65" t="s">
        <v>520</v>
      </c>
    </row>
    <row r="66" spans="1:18">
      <c r="A66" s="141"/>
      <c r="B66" t="s">
        <v>521</v>
      </c>
      <c r="C66" s="140" t="s">
        <v>4552</v>
      </c>
      <c r="R66" t="s">
        <v>521</v>
      </c>
    </row>
    <row r="67" spans="1:18">
      <c r="A67" s="141"/>
      <c r="B67" t="s">
        <v>522</v>
      </c>
      <c r="C67" s="140" t="s">
        <v>4553</v>
      </c>
      <c r="R67" t="s">
        <v>522</v>
      </c>
    </row>
    <row r="68" spans="1:18">
      <c r="A68" s="141"/>
      <c r="B68" t="s">
        <v>513</v>
      </c>
      <c r="C68" s="140" t="s">
        <v>4554</v>
      </c>
      <c r="R68" t="s">
        <v>513</v>
      </c>
    </row>
    <row r="69" spans="1:18">
      <c r="A69" s="141"/>
      <c r="B69" t="s">
        <v>523</v>
      </c>
      <c r="C69" s="140" t="s">
        <v>4555</v>
      </c>
      <c r="R69" t="s">
        <v>523</v>
      </c>
    </row>
    <row r="70" spans="1:18">
      <c r="A70" t="s">
        <v>524</v>
      </c>
      <c r="B70" t="s">
        <v>525</v>
      </c>
      <c r="C70" s="140" t="s">
        <v>4556</v>
      </c>
      <c r="R70" t="s">
        <v>525</v>
      </c>
    </row>
    <row r="71" spans="1:18">
      <c r="A71" s="141"/>
      <c r="B71" t="s">
        <v>526</v>
      </c>
      <c r="C71" s="140" t="s">
        <v>4557</v>
      </c>
      <c r="R71" t="s">
        <v>526</v>
      </c>
    </row>
    <row r="72" spans="1:18">
      <c r="A72" s="141"/>
      <c r="B72" t="s">
        <v>527</v>
      </c>
      <c r="C72" s="140" t="s">
        <v>4558</v>
      </c>
      <c r="R72" t="s">
        <v>527</v>
      </c>
    </row>
    <row r="73" spans="1:18">
      <c r="A73" s="141"/>
      <c r="B73" t="s">
        <v>528</v>
      </c>
      <c r="C73" s="140" t="s">
        <v>4559</v>
      </c>
      <c r="R73" t="s">
        <v>528</v>
      </c>
    </row>
    <row r="74" spans="1:18">
      <c r="A74" s="141"/>
      <c r="B74" t="s">
        <v>529</v>
      </c>
      <c r="C74" s="140" t="s">
        <v>4560</v>
      </c>
      <c r="R74" t="s">
        <v>529</v>
      </c>
    </row>
    <row r="75" spans="1:18">
      <c r="A75" s="141"/>
      <c r="B75" t="s">
        <v>530</v>
      </c>
      <c r="C75" s="140" t="s">
        <v>4561</v>
      </c>
      <c r="R75" t="s">
        <v>530</v>
      </c>
    </row>
    <row r="76" spans="1:18">
      <c r="A76" s="141"/>
      <c r="B76" t="s">
        <v>531</v>
      </c>
      <c r="C76" s="140" t="s">
        <v>4562</v>
      </c>
      <c r="R76" t="s">
        <v>531</v>
      </c>
    </row>
    <row r="77" spans="1:18">
      <c r="A77" s="141"/>
      <c r="B77" t="s">
        <v>532</v>
      </c>
      <c r="C77" s="140" t="s">
        <v>4563</v>
      </c>
      <c r="R77" t="s">
        <v>532</v>
      </c>
    </row>
    <row r="78" spans="1:18">
      <c r="A78" s="141"/>
      <c r="B78" t="s">
        <v>524</v>
      </c>
      <c r="C78" s="140" t="s">
        <v>4564</v>
      </c>
      <c r="R78" t="s">
        <v>524</v>
      </c>
    </row>
    <row r="79" spans="1:18">
      <c r="A79" t="s">
        <v>533</v>
      </c>
      <c r="B79" t="s">
        <v>534</v>
      </c>
      <c r="C79" s="140" t="s">
        <v>4565</v>
      </c>
      <c r="R79" t="s">
        <v>534</v>
      </c>
    </row>
    <row r="80" spans="1:18">
      <c r="A80" s="141"/>
      <c r="B80" t="s">
        <v>535</v>
      </c>
      <c r="C80" s="140" t="s">
        <v>4566</v>
      </c>
      <c r="R80" t="s">
        <v>535</v>
      </c>
    </row>
    <row r="81" spans="1:18">
      <c r="A81" s="141"/>
      <c r="B81" t="s">
        <v>536</v>
      </c>
      <c r="C81" s="140" t="s">
        <v>4567</v>
      </c>
      <c r="R81" t="s">
        <v>536</v>
      </c>
    </row>
    <row r="82" spans="1:18">
      <c r="A82" s="141"/>
      <c r="B82" t="s">
        <v>537</v>
      </c>
      <c r="C82" s="140" t="s">
        <v>4568</v>
      </c>
      <c r="R82" t="s">
        <v>537</v>
      </c>
    </row>
    <row r="83" spans="1:18">
      <c r="A83" s="141"/>
      <c r="B83" t="s">
        <v>538</v>
      </c>
      <c r="C83" s="140" t="s">
        <v>4569</v>
      </c>
      <c r="R83" t="s">
        <v>538</v>
      </c>
    </row>
    <row r="84" spans="1:18">
      <c r="A84" s="141"/>
      <c r="B84" t="s">
        <v>539</v>
      </c>
      <c r="C84" s="140" t="s">
        <v>4570</v>
      </c>
      <c r="R84" t="s">
        <v>539</v>
      </c>
    </row>
    <row r="85" spans="1:18">
      <c r="A85" s="141"/>
      <c r="B85" t="s">
        <v>540</v>
      </c>
      <c r="C85" s="140" t="s">
        <v>4571</v>
      </c>
      <c r="R85" t="s">
        <v>540</v>
      </c>
    </row>
    <row r="86" spans="1:18">
      <c r="A86" s="141"/>
      <c r="B86" t="s">
        <v>541</v>
      </c>
      <c r="C86" s="140" t="s">
        <v>4572</v>
      </c>
      <c r="R86" t="s">
        <v>541</v>
      </c>
    </row>
    <row r="87" spans="1:18">
      <c r="A87" s="141"/>
      <c r="B87" t="s">
        <v>542</v>
      </c>
      <c r="C87" s="140" t="s">
        <v>4573</v>
      </c>
      <c r="R87" t="s">
        <v>542</v>
      </c>
    </row>
    <row r="88" spans="1:18">
      <c r="A88" s="141"/>
      <c r="B88" t="s">
        <v>533</v>
      </c>
      <c r="C88" s="140" t="s">
        <v>4574</v>
      </c>
      <c r="R88" t="s">
        <v>533</v>
      </c>
    </row>
    <row r="89" spans="1:18">
      <c r="A89" t="s">
        <v>543</v>
      </c>
      <c r="B89" t="s">
        <v>544</v>
      </c>
      <c r="C89" s="140" t="s">
        <v>4575</v>
      </c>
      <c r="R89" t="s">
        <v>544</v>
      </c>
    </row>
    <row r="90" spans="1:18">
      <c r="A90" s="141"/>
      <c r="B90" t="s">
        <v>545</v>
      </c>
      <c r="C90" s="140" t="s">
        <v>4576</v>
      </c>
      <c r="R90" t="s">
        <v>545</v>
      </c>
    </row>
    <row r="91" spans="1:18">
      <c r="A91" s="141"/>
      <c r="B91" t="s">
        <v>546</v>
      </c>
      <c r="C91" s="140" t="s">
        <v>4577</v>
      </c>
      <c r="R91" t="s">
        <v>546</v>
      </c>
    </row>
    <row r="92" spans="1:18">
      <c r="A92" s="141"/>
      <c r="B92" t="s">
        <v>547</v>
      </c>
      <c r="C92" s="140" t="s">
        <v>4578</v>
      </c>
      <c r="R92" t="s">
        <v>547</v>
      </c>
    </row>
    <row r="93" spans="1:18">
      <c r="A93" s="141"/>
      <c r="B93" t="s">
        <v>548</v>
      </c>
      <c r="C93" s="140" t="s">
        <v>4579</v>
      </c>
      <c r="R93" t="s">
        <v>548</v>
      </c>
    </row>
    <row r="94" spans="1:18">
      <c r="A94" s="141"/>
      <c r="B94" t="s">
        <v>543</v>
      </c>
      <c r="C94" s="140" t="s">
        <v>4580</v>
      </c>
      <c r="R94" t="s">
        <v>543</v>
      </c>
    </row>
    <row r="95" spans="1:18">
      <c r="A95" s="141"/>
      <c r="B95" t="s">
        <v>549</v>
      </c>
      <c r="C95" s="140" t="s">
        <v>4581</v>
      </c>
      <c r="R95" t="s">
        <v>549</v>
      </c>
    </row>
    <row r="96" spans="1:18">
      <c r="A96" s="141"/>
      <c r="B96" t="s">
        <v>550</v>
      </c>
      <c r="C96" s="140" t="s">
        <v>4582</v>
      </c>
      <c r="R96" t="s">
        <v>550</v>
      </c>
    </row>
    <row r="97" spans="1:18">
      <c r="A97" s="141"/>
      <c r="B97" t="s">
        <v>551</v>
      </c>
      <c r="C97" s="140" t="s">
        <v>4583</v>
      </c>
      <c r="R97" t="s">
        <v>551</v>
      </c>
    </row>
    <row r="98" spans="1:18">
      <c r="A98" s="141"/>
      <c r="B98" t="s">
        <v>552</v>
      </c>
      <c r="C98" s="140" t="s">
        <v>4584</v>
      </c>
      <c r="R98" t="s">
        <v>552</v>
      </c>
    </row>
    <row r="99" spans="1:18">
      <c r="A99" s="141"/>
      <c r="B99" t="s">
        <v>553</v>
      </c>
      <c r="C99" s="140" t="s">
        <v>4585</v>
      </c>
      <c r="R99" t="s">
        <v>553</v>
      </c>
    </row>
    <row r="100" spans="1:18">
      <c r="A100" s="141"/>
      <c r="B100" t="s">
        <v>554</v>
      </c>
      <c r="C100" s="140" t="s">
        <v>4586</v>
      </c>
      <c r="R100" t="s">
        <v>554</v>
      </c>
    </row>
    <row r="101" spans="1:18">
      <c r="A101" t="s">
        <v>555</v>
      </c>
      <c r="B101" t="s">
        <v>556</v>
      </c>
      <c r="C101" s="140" t="s">
        <v>4587</v>
      </c>
      <c r="R101" t="s">
        <v>556</v>
      </c>
    </row>
    <row r="102" spans="1:18">
      <c r="A102" s="141"/>
      <c r="B102" t="s">
        <v>557</v>
      </c>
      <c r="C102" s="140" t="s">
        <v>4588</v>
      </c>
      <c r="R102" t="s">
        <v>557</v>
      </c>
    </row>
    <row r="103" spans="1:18">
      <c r="A103" s="141"/>
      <c r="B103" t="s">
        <v>558</v>
      </c>
      <c r="C103" s="140" t="s">
        <v>4589</v>
      </c>
      <c r="R103" t="s">
        <v>558</v>
      </c>
    </row>
    <row r="104" spans="1:18">
      <c r="A104" s="141"/>
      <c r="B104" t="s">
        <v>559</v>
      </c>
      <c r="C104" s="140" t="s">
        <v>4590</v>
      </c>
      <c r="R104" t="s">
        <v>559</v>
      </c>
    </row>
    <row r="105" spans="1:18">
      <c r="A105" s="141"/>
      <c r="B105" t="s">
        <v>560</v>
      </c>
      <c r="C105" s="140" t="s">
        <v>4591</v>
      </c>
      <c r="R105" t="s">
        <v>560</v>
      </c>
    </row>
    <row r="106" spans="1:18">
      <c r="A106" s="141"/>
      <c r="B106" t="s">
        <v>561</v>
      </c>
      <c r="C106" s="140" t="s">
        <v>4592</v>
      </c>
      <c r="R106" t="s">
        <v>561</v>
      </c>
    </row>
    <row r="107" spans="1:18">
      <c r="A107" s="141"/>
      <c r="B107" t="s">
        <v>562</v>
      </c>
      <c r="C107" s="140" t="s">
        <v>4593</v>
      </c>
      <c r="R107" t="s">
        <v>562</v>
      </c>
    </row>
    <row r="108" spans="1:18">
      <c r="A108" s="141"/>
      <c r="B108" t="s">
        <v>563</v>
      </c>
      <c r="C108" s="140" t="s">
        <v>4594</v>
      </c>
      <c r="R108" t="s">
        <v>563</v>
      </c>
    </row>
    <row r="109" spans="1:18">
      <c r="A109" s="141"/>
      <c r="B109" t="s">
        <v>564</v>
      </c>
      <c r="C109" s="140" t="s">
        <v>4595</v>
      </c>
      <c r="R109" t="s">
        <v>564</v>
      </c>
    </row>
    <row r="110" spans="1:18">
      <c r="A110" s="141"/>
      <c r="B110" t="s">
        <v>565</v>
      </c>
      <c r="C110" s="140" t="s">
        <v>4596</v>
      </c>
      <c r="R110" t="s">
        <v>565</v>
      </c>
    </row>
    <row r="111" spans="1:18">
      <c r="A111" s="141"/>
      <c r="B111" t="s">
        <v>566</v>
      </c>
      <c r="C111" s="140" t="s">
        <v>4597</v>
      </c>
      <c r="R111" t="s">
        <v>566</v>
      </c>
    </row>
    <row r="112" spans="1:18">
      <c r="A112" s="141"/>
      <c r="B112" t="s">
        <v>567</v>
      </c>
      <c r="C112" s="140" t="s">
        <v>4598</v>
      </c>
      <c r="R112" t="s">
        <v>567</v>
      </c>
    </row>
    <row r="113" spans="1:18">
      <c r="A113" s="141"/>
      <c r="B113" t="s">
        <v>568</v>
      </c>
      <c r="C113" s="140" t="s">
        <v>4599</v>
      </c>
      <c r="R113" t="s">
        <v>568</v>
      </c>
    </row>
    <row r="114" spans="1:18">
      <c r="A114" s="141"/>
      <c r="B114" t="s">
        <v>569</v>
      </c>
      <c r="C114" s="140" t="s">
        <v>4600</v>
      </c>
      <c r="R114" t="s">
        <v>569</v>
      </c>
    </row>
    <row r="115" spans="1:18">
      <c r="A115" s="141"/>
      <c r="B115" t="s">
        <v>570</v>
      </c>
      <c r="C115" s="140" t="s">
        <v>4601</v>
      </c>
      <c r="R115" t="s">
        <v>570</v>
      </c>
    </row>
    <row r="116" spans="1:18">
      <c r="A116" t="s">
        <v>571</v>
      </c>
      <c r="B116" t="s">
        <v>572</v>
      </c>
      <c r="C116" s="140" t="s">
        <v>4602</v>
      </c>
      <c r="R116" t="s">
        <v>572</v>
      </c>
    </row>
    <row r="117" spans="1:18">
      <c r="A117" s="141"/>
      <c r="B117" t="s">
        <v>573</v>
      </c>
      <c r="C117" s="140" t="s">
        <v>4603</v>
      </c>
      <c r="R117" t="s">
        <v>573</v>
      </c>
    </row>
    <row r="118" spans="1:18">
      <c r="A118" s="141"/>
      <c r="B118" t="s">
        <v>571</v>
      </c>
      <c r="C118" s="140" t="s">
        <v>4604</v>
      </c>
      <c r="R118" t="s">
        <v>571</v>
      </c>
    </row>
    <row r="119" spans="1:18">
      <c r="A119" s="141"/>
      <c r="B119" t="s">
        <v>574</v>
      </c>
      <c r="C119" s="140" t="s">
        <v>4605</v>
      </c>
      <c r="R119" t="s">
        <v>574</v>
      </c>
    </row>
    <row r="120" spans="1:18">
      <c r="A120" s="141"/>
      <c r="B120" t="s">
        <v>575</v>
      </c>
      <c r="C120" s="140" t="s">
        <v>4606</v>
      </c>
      <c r="R120" t="s">
        <v>575</v>
      </c>
    </row>
    <row r="121" spans="1:18">
      <c r="A121" s="141"/>
      <c r="B121" t="s">
        <v>576</v>
      </c>
      <c r="C121" s="140" t="s">
        <v>4607</v>
      </c>
      <c r="R121" t="s">
        <v>576</v>
      </c>
    </row>
    <row r="122" spans="1:18">
      <c r="A122" s="141"/>
      <c r="B122" t="s">
        <v>577</v>
      </c>
      <c r="C122" s="140" t="s">
        <v>4608</v>
      </c>
      <c r="R122" t="s">
        <v>577</v>
      </c>
    </row>
    <row r="123" spans="1:18">
      <c r="A123" t="s">
        <v>578</v>
      </c>
      <c r="B123" t="s">
        <v>579</v>
      </c>
      <c r="C123" s="140" t="s">
        <v>4609</v>
      </c>
      <c r="R123" t="s">
        <v>579</v>
      </c>
    </row>
    <row r="124" spans="1:18">
      <c r="A124" s="141"/>
      <c r="B124" t="s">
        <v>578</v>
      </c>
      <c r="C124" s="140" t="s">
        <v>4610</v>
      </c>
      <c r="R124" t="s">
        <v>578</v>
      </c>
    </row>
    <row r="125" spans="1:18">
      <c r="A125" s="141"/>
      <c r="B125" t="s">
        <v>580</v>
      </c>
      <c r="C125" s="140" t="s">
        <v>4611</v>
      </c>
      <c r="R125" t="s">
        <v>580</v>
      </c>
    </row>
    <row r="126" spans="1:18">
      <c r="A126" s="141"/>
      <c r="B126" t="s">
        <v>581</v>
      </c>
      <c r="C126" s="140" t="s">
        <v>4612</v>
      </c>
      <c r="R126" t="s">
        <v>581</v>
      </c>
    </row>
    <row r="127" spans="1:18">
      <c r="A127" t="s">
        <v>582</v>
      </c>
      <c r="B127" t="s">
        <v>583</v>
      </c>
      <c r="C127" s="140" t="s">
        <v>4613</v>
      </c>
      <c r="R127" t="s">
        <v>583</v>
      </c>
    </row>
    <row r="128" spans="1:18">
      <c r="A128" s="141"/>
      <c r="B128" t="s">
        <v>584</v>
      </c>
      <c r="C128" s="140" t="s">
        <v>4614</v>
      </c>
      <c r="R128" t="s">
        <v>584</v>
      </c>
    </row>
    <row r="129" spans="1:18">
      <c r="A129" s="141"/>
      <c r="B129" t="s">
        <v>585</v>
      </c>
      <c r="C129" s="140" t="s">
        <v>4615</v>
      </c>
      <c r="R129" t="s">
        <v>585</v>
      </c>
    </row>
    <row r="130" spans="1:18">
      <c r="A130" s="141"/>
      <c r="B130" t="s">
        <v>586</v>
      </c>
      <c r="C130" s="140" t="s">
        <v>4616</v>
      </c>
      <c r="R130" t="s">
        <v>586</v>
      </c>
    </row>
    <row r="131" spans="1:18">
      <c r="A131" s="141"/>
      <c r="B131" t="s">
        <v>582</v>
      </c>
      <c r="C131" s="140" t="s">
        <v>4617</v>
      </c>
      <c r="R131" t="s">
        <v>582</v>
      </c>
    </row>
    <row r="132" spans="1:18">
      <c r="A132" t="s">
        <v>587</v>
      </c>
      <c r="B132" t="s">
        <v>588</v>
      </c>
      <c r="C132" s="140" t="s">
        <v>4618</v>
      </c>
      <c r="R132" t="s">
        <v>588</v>
      </c>
    </row>
    <row r="133" spans="1:18">
      <c r="A133" s="141"/>
      <c r="B133" t="s">
        <v>589</v>
      </c>
      <c r="C133" s="140" t="s">
        <v>4619</v>
      </c>
      <c r="R133" t="s">
        <v>589</v>
      </c>
    </row>
    <row r="134" spans="1:18">
      <c r="A134" s="141"/>
      <c r="B134" t="s">
        <v>590</v>
      </c>
      <c r="C134" s="140" t="s">
        <v>4620</v>
      </c>
      <c r="R134" t="s">
        <v>590</v>
      </c>
    </row>
    <row r="135" spans="1:18">
      <c r="A135" s="141"/>
      <c r="B135" t="s">
        <v>591</v>
      </c>
      <c r="C135" s="140" t="s">
        <v>4621</v>
      </c>
      <c r="R135" t="s">
        <v>591</v>
      </c>
    </row>
    <row r="136" spans="1:18">
      <c r="A136" s="141"/>
      <c r="B136" t="s">
        <v>592</v>
      </c>
      <c r="C136" s="140" t="s">
        <v>4622</v>
      </c>
      <c r="R136" t="s">
        <v>592</v>
      </c>
    </row>
    <row r="137" spans="1:18">
      <c r="A137" s="141"/>
      <c r="B137" t="s">
        <v>593</v>
      </c>
      <c r="C137" s="140" t="s">
        <v>4623</v>
      </c>
      <c r="R137" t="s">
        <v>593</v>
      </c>
    </row>
    <row r="138" spans="1:18">
      <c r="A138" s="141"/>
      <c r="B138" t="s">
        <v>594</v>
      </c>
      <c r="C138" s="140" t="s">
        <v>4624</v>
      </c>
      <c r="R138" t="s">
        <v>594</v>
      </c>
    </row>
    <row r="139" spans="1:18">
      <c r="A139" s="141"/>
      <c r="B139" t="s">
        <v>595</v>
      </c>
      <c r="C139" s="140" t="s">
        <v>4625</v>
      </c>
      <c r="R139" t="s">
        <v>595</v>
      </c>
    </row>
    <row r="140" spans="1:18">
      <c r="A140" s="141"/>
      <c r="B140" t="s">
        <v>596</v>
      </c>
      <c r="C140" s="140" t="s">
        <v>4626</v>
      </c>
      <c r="R140" t="s">
        <v>596</v>
      </c>
    </row>
    <row r="141" spans="1:18">
      <c r="A141" s="141"/>
      <c r="B141" t="s">
        <v>597</v>
      </c>
      <c r="C141" s="140" t="s">
        <v>4627</v>
      </c>
      <c r="R141" t="s">
        <v>597</v>
      </c>
    </row>
    <row r="142" spans="1:18">
      <c r="A142" s="141"/>
      <c r="B142" t="s">
        <v>598</v>
      </c>
      <c r="C142" s="140" t="s">
        <v>4628</v>
      </c>
      <c r="R142" t="s">
        <v>598</v>
      </c>
    </row>
    <row r="143" spans="1:18">
      <c r="A143" s="141"/>
      <c r="B143" t="s">
        <v>599</v>
      </c>
      <c r="C143" s="140" t="s">
        <v>4629</v>
      </c>
      <c r="R143" t="s">
        <v>599</v>
      </c>
    </row>
    <row r="144" spans="1:18">
      <c r="A144" s="141"/>
      <c r="B144" t="s">
        <v>600</v>
      </c>
      <c r="C144" s="140" t="s">
        <v>4630</v>
      </c>
      <c r="R144" t="s">
        <v>600</v>
      </c>
    </row>
    <row r="145" spans="1:18">
      <c r="A145" s="141"/>
      <c r="B145" t="s">
        <v>601</v>
      </c>
      <c r="C145" s="140" t="s">
        <v>4631</v>
      </c>
      <c r="R145" t="s">
        <v>601</v>
      </c>
    </row>
    <row r="146" spans="1:18">
      <c r="A146" s="141"/>
      <c r="B146" t="s">
        <v>602</v>
      </c>
      <c r="C146" s="140" t="s">
        <v>4632</v>
      </c>
      <c r="R146" t="s">
        <v>602</v>
      </c>
    </row>
    <row r="147" spans="1:18">
      <c r="A147" s="141"/>
      <c r="B147" t="s">
        <v>587</v>
      </c>
      <c r="C147" s="140" t="s">
        <v>4633</v>
      </c>
      <c r="R147" t="s">
        <v>587</v>
      </c>
    </row>
    <row r="148" spans="1:18">
      <c r="A148" s="140"/>
      <c r="B148" t="s">
        <v>603</v>
      </c>
      <c r="C148" s="140" t="s">
        <v>4634</v>
      </c>
      <c r="R148" t="s">
        <v>603</v>
      </c>
    </row>
    <row r="149" spans="1:18">
      <c r="A149" s="141"/>
      <c r="B149" t="s">
        <v>604</v>
      </c>
      <c r="C149" s="140" t="s">
        <v>4635</v>
      </c>
      <c r="R149" t="s">
        <v>604</v>
      </c>
    </row>
    <row r="150" spans="1:18">
      <c r="A150" s="141"/>
      <c r="B150" t="s">
        <v>605</v>
      </c>
      <c r="C150" s="140" t="s">
        <v>4636</v>
      </c>
      <c r="R150" t="s">
        <v>605</v>
      </c>
    </row>
    <row r="151" spans="1:18">
      <c r="A151" s="141"/>
      <c r="B151" t="s">
        <v>606</v>
      </c>
      <c r="C151" s="140" t="s">
        <v>4637</v>
      </c>
      <c r="R151" t="s">
        <v>606</v>
      </c>
    </row>
    <row r="152" spans="1:18">
      <c r="A152" t="s">
        <v>607</v>
      </c>
      <c r="B152" t="s">
        <v>608</v>
      </c>
      <c r="C152" s="140" t="s">
        <v>4638</v>
      </c>
      <c r="R152" t="s">
        <v>608</v>
      </c>
    </row>
    <row r="153" spans="1:18">
      <c r="A153" s="141"/>
      <c r="B153" t="s">
        <v>609</v>
      </c>
      <c r="C153" s="140" t="s">
        <v>4639</v>
      </c>
      <c r="R153" t="s">
        <v>609</v>
      </c>
    </row>
    <row r="154" spans="1:18">
      <c r="A154" s="141"/>
      <c r="B154" t="s">
        <v>610</v>
      </c>
      <c r="C154" s="140" t="s">
        <v>4640</v>
      </c>
      <c r="R154" t="s">
        <v>610</v>
      </c>
    </row>
    <row r="155" spans="1:18">
      <c r="A155" s="141"/>
      <c r="B155" t="s">
        <v>611</v>
      </c>
      <c r="C155" s="140" t="s">
        <v>4641</v>
      </c>
      <c r="R155" t="s">
        <v>611</v>
      </c>
    </row>
    <row r="156" spans="1:18">
      <c r="A156" s="141"/>
      <c r="B156" t="s">
        <v>612</v>
      </c>
      <c r="C156" s="140" t="s">
        <v>4642</v>
      </c>
      <c r="R156" t="s">
        <v>612</v>
      </c>
    </row>
    <row r="157" spans="1:18">
      <c r="A157" s="141"/>
      <c r="B157" t="s">
        <v>613</v>
      </c>
      <c r="C157" s="140" t="s">
        <v>4643</v>
      </c>
      <c r="R157" t="s">
        <v>613</v>
      </c>
    </row>
    <row r="158" spans="1:18">
      <c r="A158" s="141"/>
      <c r="B158" t="s">
        <v>614</v>
      </c>
      <c r="C158" s="140" t="s">
        <v>4644</v>
      </c>
      <c r="R158" t="s">
        <v>614</v>
      </c>
    </row>
    <row r="159" spans="1:18">
      <c r="A159" s="141"/>
      <c r="B159" t="s">
        <v>615</v>
      </c>
      <c r="C159" s="140" t="s">
        <v>4645</v>
      </c>
      <c r="R159" t="s">
        <v>615</v>
      </c>
    </row>
    <row r="160" spans="1:18">
      <c r="A160" s="141"/>
      <c r="B160" t="s">
        <v>616</v>
      </c>
      <c r="C160" s="140" t="s">
        <v>4646</v>
      </c>
      <c r="R160" t="s">
        <v>616</v>
      </c>
    </row>
    <row r="161" spans="1:18">
      <c r="A161" s="141"/>
      <c r="B161" t="s">
        <v>617</v>
      </c>
      <c r="C161" s="140" t="s">
        <v>4647</v>
      </c>
      <c r="R161" t="s">
        <v>617</v>
      </c>
    </row>
    <row r="162" spans="1:18">
      <c r="A162" s="141"/>
      <c r="B162" t="s">
        <v>618</v>
      </c>
      <c r="C162" s="140" t="s">
        <v>4648</v>
      </c>
      <c r="R162" t="s">
        <v>618</v>
      </c>
    </row>
    <row r="163" spans="1:18">
      <c r="A163" s="141"/>
      <c r="B163" t="s">
        <v>619</v>
      </c>
      <c r="C163" s="140" t="s">
        <v>4649</v>
      </c>
      <c r="R163" t="s">
        <v>619</v>
      </c>
    </row>
    <row r="164" spans="1:18">
      <c r="A164" s="141"/>
      <c r="B164" t="s">
        <v>620</v>
      </c>
      <c r="C164" s="140" t="s">
        <v>4650</v>
      </c>
      <c r="R164" t="s">
        <v>620</v>
      </c>
    </row>
    <row r="165" spans="1:18">
      <c r="A165" s="141"/>
      <c r="B165" t="s">
        <v>621</v>
      </c>
      <c r="C165" s="140" t="s">
        <v>4651</v>
      </c>
      <c r="R165" t="s">
        <v>621</v>
      </c>
    </row>
    <row r="166" spans="1:18">
      <c r="A166" s="141"/>
      <c r="B166" t="s">
        <v>622</v>
      </c>
      <c r="C166" s="140" t="s">
        <v>4652</v>
      </c>
      <c r="R166" t="s">
        <v>622</v>
      </c>
    </row>
    <row r="167" spans="1:18">
      <c r="A167" s="141"/>
      <c r="B167" t="s">
        <v>623</v>
      </c>
      <c r="C167" s="140" t="s">
        <v>4653</v>
      </c>
      <c r="R167" t="s">
        <v>623</v>
      </c>
    </row>
    <row r="168" spans="1:18">
      <c r="A168" s="141"/>
      <c r="B168" t="s">
        <v>624</v>
      </c>
      <c r="C168" s="140" t="s">
        <v>4654</v>
      </c>
      <c r="R168" t="s">
        <v>624</v>
      </c>
    </row>
    <row r="169" spans="1:18">
      <c r="A169" s="141"/>
      <c r="B169" t="s">
        <v>625</v>
      </c>
      <c r="C169" s="140" t="s">
        <v>4655</v>
      </c>
      <c r="R169" t="s">
        <v>625</v>
      </c>
    </row>
    <row r="170" spans="1:18">
      <c r="A170" s="141"/>
      <c r="B170" t="s">
        <v>626</v>
      </c>
      <c r="C170" s="140" t="s">
        <v>4656</v>
      </c>
      <c r="R170" t="s">
        <v>626</v>
      </c>
    </row>
    <row r="171" spans="1:18">
      <c r="A171" s="141"/>
      <c r="B171" t="s">
        <v>627</v>
      </c>
      <c r="C171" s="140" t="s">
        <v>4657</v>
      </c>
      <c r="R171" t="s">
        <v>627</v>
      </c>
    </row>
    <row r="172" spans="1:18">
      <c r="A172" s="140"/>
      <c r="B172" t="s">
        <v>628</v>
      </c>
      <c r="C172" s="140" t="s">
        <v>4658</v>
      </c>
      <c r="R172" t="s">
        <v>628</v>
      </c>
    </row>
    <row r="173" spans="1:18">
      <c r="A173" s="141"/>
      <c r="B173" t="s">
        <v>629</v>
      </c>
      <c r="C173" s="140" t="s">
        <v>4659</v>
      </c>
      <c r="R173" t="s">
        <v>629</v>
      </c>
    </row>
    <row r="174" spans="1:18">
      <c r="A174" s="141"/>
      <c r="B174" t="s">
        <v>630</v>
      </c>
      <c r="C174" s="140" t="s">
        <v>4660</v>
      </c>
      <c r="R174" t="s">
        <v>630</v>
      </c>
    </row>
    <row r="175" spans="1:18">
      <c r="A175" s="141"/>
      <c r="B175" t="s">
        <v>631</v>
      </c>
      <c r="C175" s="140" t="s">
        <v>4661</v>
      </c>
      <c r="R175" t="s">
        <v>631</v>
      </c>
    </row>
    <row r="176" spans="1:18">
      <c r="A176" s="141"/>
      <c r="B176" t="s">
        <v>632</v>
      </c>
      <c r="C176" s="140" t="s">
        <v>4662</v>
      </c>
      <c r="R176" t="s">
        <v>632</v>
      </c>
    </row>
    <row r="177" spans="1:18">
      <c r="A177" s="141"/>
      <c r="B177" t="s">
        <v>633</v>
      </c>
      <c r="C177" s="140" t="s">
        <v>4663</v>
      </c>
      <c r="R177" t="s">
        <v>633</v>
      </c>
    </row>
    <row r="178" spans="1:18">
      <c r="A178" s="141"/>
      <c r="B178" t="s">
        <v>634</v>
      </c>
      <c r="C178" s="140" t="s">
        <v>4664</v>
      </c>
      <c r="R178" t="s">
        <v>634</v>
      </c>
    </row>
    <row r="179" spans="1:18">
      <c r="A179" s="141"/>
      <c r="B179" t="s">
        <v>635</v>
      </c>
      <c r="C179" s="140" t="s">
        <v>4665</v>
      </c>
      <c r="R179" t="s">
        <v>635</v>
      </c>
    </row>
    <row r="180" spans="1:18">
      <c r="A180" s="141"/>
      <c r="B180" t="s">
        <v>636</v>
      </c>
      <c r="C180" s="140" t="s">
        <v>4666</v>
      </c>
      <c r="R180" t="s">
        <v>636</v>
      </c>
    </row>
    <row r="181" spans="1:18">
      <c r="A181" t="s">
        <v>637</v>
      </c>
      <c r="B181" t="s">
        <v>638</v>
      </c>
      <c r="C181" s="140" t="s">
        <v>4667</v>
      </c>
      <c r="R181" t="s">
        <v>638</v>
      </c>
    </row>
    <row r="182" spans="1:18">
      <c r="A182" s="141"/>
      <c r="B182" t="s">
        <v>639</v>
      </c>
      <c r="C182" s="140" t="s">
        <v>4668</v>
      </c>
      <c r="R182" t="s">
        <v>639</v>
      </c>
    </row>
    <row r="183" spans="1:18">
      <c r="A183" s="141"/>
      <c r="B183" t="s">
        <v>640</v>
      </c>
      <c r="C183" s="140" t="s">
        <v>4669</v>
      </c>
      <c r="R183" t="s">
        <v>640</v>
      </c>
    </row>
    <row r="184" spans="1:18">
      <c r="A184" s="141"/>
      <c r="B184" t="s">
        <v>637</v>
      </c>
      <c r="C184" s="140" t="s">
        <v>4670</v>
      </c>
      <c r="R184" t="s">
        <v>637</v>
      </c>
    </row>
    <row r="185" spans="1:18">
      <c r="A185" s="141"/>
      <c r="B185" t="s">
        <v>641</v>
      </c>
      <c r="C185" s="140" t="s">
        <v>4671</v>
      </c>
      <c r="R185" t="s">
        <v>641</v>
      </c>
    </row>
    <row r="186" spans="1:18">
      <c r="A186" s="141"/>
      <c r="B186" t="s">
        <v>642</v>
      </c>
      <c r="C186" s="140" t="s">
        <v>4672</v>
      </c>
      <c r="R186" t="s">
        <v>642</v>
      </c>
    </row>
    <row r="187" spans="1:18">
      <c r="A187" s="141"/>
      <c r="B187" t="s">
        <v>643</v>
      </c>
      <c r="C187" s="140" t="s">
        <v>4673</v>
      </c>
      <c r="R187" t="s">
        <v>643</v>
      </c>
    </row>
    <row r="188" spans="1:18">
      <c r="A188" s="141"/>
      <c r="B188" t="s">
        <v>644</v>
      </c>
      <c r="C188" s="140" t="s">
        <v>4674</v>
      </c>
      <c r="R188" t="s">
        <v>644</v>
      </c>
    </row>
    <row r="189" spans="1:18">
      <c r="A189" s="141"/>
      <c r="B189" t="s">
        <v>645</v>
      </c>
      <c r="C189" s="140" t="s">
        <v>4675</v>
      </c>
      <c r="R189" t="s">
        <v>645</v>
      </c>
    </row>
    <row r="190" spans="1:18">
      <c r="A190" s="141"/>
      <c r="B190" t="s">
        <v>646</v>
      </c>
      <c r="C190" s="140" t="s">
        <v>4676</v>
      </c>
      <c r="R190" t="s">
        <v>646</v>
      </c>
    </row>
    <row r="191" spans="1:18">
      <c r="A191" s="141"/>
      <c r="B191" t="s">
        <v>647</v>
      </c>
      <c r="C191" s="140" t="s">
        <v>4677</v>
      </c>
      <c r="R191" t="s">
        <v>647</v>
      </c>
    </row>
    <row r="192" spans="1:18">
      <c r="A192" s="141"/>
      <c r="B192" t="s">
        <v>648</v>
      </c>
      <c r="C192" s="140" t="s">
        <v>4678</v>
      </c>
      <c r="R192" t="s">
        <v>648</v>
      </c>
    </row>
    <row r="193" spans="1:18">
      <c r="A193" s="141"/>
      <c r="B193" t="s">
        <v>649</v>
      </c>
      <c r="C193" s="140" t="s">
        <v>4679</v>
      </c>
      <c r="R193" t="s">
        <v>649</v>
      </c>
    </row>
    <row r="194" spans="1:18">
      <c r="A194" t="s">
        <v>650</v>
      </c>
      <c r="B194" t="s">
        <v>651</v>
      </c>
      <c r="C194" s="140" t="s">
        <v>4680</v>
      </c>
      <c r="R194" t="s">
        <v>651</v>
      </c>
    </row>
    <row r="195" spans="1:18">
      <c r="A195" s="141"/>
      <c r="B195" t="s">
        <v>652</v>
      </c>
      <c r="C195" s="140" t="s">
        <v>4681</v>
      </c>
      <c r="R195" t="s">
        <v>652</v>
      </c>
    </row>
    <row r="196" spans="1:18">
      <c r="A196" s="141"/>
      <c r="B196" t="s">
        <v>653</v>
      </c>
      <c r="C196" s="140" t="s">
        <v>4682</v>
      </c>
      <c r="R196" t="s">
        <v>653</v>
      </c>
    </row>
    <row r="197" spans="1:18">
      <c r="A197" s="141"/>
      <c r="B197" t="s">
        <v>654</v>
      </c>
      <c r="C197" s="140" t="s">
        <v>4683</v>
      </c>
      <c r="R197" t="s">
        <v>654</v>
      </c>
    </row>
    <row r="198" spans="1:18">
      <c r="A198" s="141"/>
      <c r="B198" t="s">
        <v>655</v>
      </c>
      <c r="C198" s="140" t="s">
        <v>4684</v>
      </c>
      <c r="R198" t="s">
        <v>655</v>
      </c>
    </row>
    <row r="199" spans="1:18">
      <c r="A199" s="141"/>
      <c r="B199" t="s">
        <v>656</v>
      </c>
      <c r="C199" s="140" t="s">
        <v>4685</v>
      </c>
      <c r="R199" t="s">
        <v>656</v>
      </c>
    </row>
    <row r="200" spans="1:18">
      <c r="A200" s="141"/>
      <c r="B200" t="s">
        <v>657</v>
      </c>
      <c r="C200" s="140" t="s">
        <v>4686</v>
      </c>
      <c r="R200" t="s">
        <v>657</v>
      </c>
    </row>
    <row r="201" spans="1:18">
      <c r="A201" s="141"/>
      <c r="B201" t="s">
        <v>555</v>
      </c>
      <c r="C201" s="140" t="s">
        <v>4687</v>
      </c>
      <c r="R201" t="s">
        <v>555</v>
      </c>
    </row>
    <row r="202" spans="1:18">
      <c r="A202" s="141"/>
      <c r="B202" t="s">
        <v>658</v>
      </c>
      <c r="C202" s="140" t="s">
        <v>4688</v>
      </c>
      <c r="R202" t="s">
        <v>658</v>
      </c>
    </row>
    <row r="203" spans="1:18">
      <c r="A203" s="141"/>
      <c r="B203" t="s">
        <v>659</v>
      </c>
      <c r="C203" s="140" t="s">
        <v>4689</v>
      </c>
      <c r="R203" t="s">
        <v>659</v>
      </c>
    </row>
    <row r="204" spans="1:18">
      <c r="A204" s="141"/>
      <c r="B204" t="s">
        <v>660</v>
      </c>
      <c r="C204" s="140" t="s">
        <v>4690</v>
      </c>
      <c r="R204" t="s">
        <v>660</v>
      </c>
    </row>
    <row r="205" spans="1:18">
      <c r="A205" s="141"/>
      <c r="B205" t="s">
        <v>661</v>
      </c>
      <c r="C205" s="140" t="s">
        <v>4691</v>
      </c>
      <c r="R205" t="s">
        <v>661</v>
      </c>
    </row>
    <row r="206" spans="1:18">
      <c r="A206" t="s">
        <v>448</v>
      </c>
      <c r="B206" t="s">
        <v>662</v>
      </c>
      <c r="C206" s="140" t="s">
        <v>4692</v>
      </c>
      <c r="R206" t="s">
        <v>662</v>
      </c>
    </row>
    <row r="207" spans="1:18">
      <c r="A207" s="141"/>
      <c r="B207" t="s">
        <v>663</v>
      </c>
      <c r="C207" s="140" t="s">
        <v>4693</v>
      </c>
      <c r="R207" t="s">
        <v>663</v>
      </c>
    </row>
    <row r="208" spans="1:18">
      <c r="A208" s="141"/>
      <c r="B208" t="s">
        <v>664</v>
      </c>
      <c r="C208" s="140" t="s">
        <v>4694</v>
      </c>
      <c r="R208" t="s">
        <v>664</v>
      </c>
    </row>
    <row r="209" spans="1:18">
      <c r="A209" s="141"/>
      <c r="B209" t="s">
        <v>665</v>
      </c>
      <c r="C209" s="140" t="s">
        <v>4695</v>
      </c>
      <c r="R209" t="s">
        <v>665</v>
      </c>
    </row>
    <row r="210" spans="1:18">
      <c r="A210" s="141"/>
      <c r="B210" t="s">
        <v>666</v>
      </c>
      <c r="C210" s="140" t="s">
        <v>4696</v>
      </c>
      <c r="R210" t="s">
        <v>666</v>
      </c>
    </row>
    <row r="211" spans="1:18">
      <c r="A211" s="141"/>
      <c r="B211" t="s">
        <v>667</v>
      </c>
      <c r="C211" s="140" t="s">
        <v>4697</v>
      </c>
      <c r="R211" t="s">
        <v>667</v>
      </c>
    </row>
    <row r="212" spans="1:18">
      <c r="A212" s="141"/>
      <c r="B212" t="s">
        <v>668</v>
      </c>
      <c r="C212" s="140" t="s">
        <v>4698</v>
      </c>
      <c r="R212" t="s">
        <v>668</v>
      </c>
    </row>
    <row r="213" spans="1:18">
      <c r="A213" s="141"/>
      <c r="B213" t="s">
        <v>448</v>
      </c>
      <c r="C213" s="140" t="s">
        <v>4699</v>
      </c>
      <c r="R213" t="s">
        <v>448</v>
      </c>
    </row>
    <row r="214" spans="1:18">
      <c r="A214" s="141"/>
      <c r="B214" t="s">
        <v>669</v>
      </c>
      <c r="C214" s="140" t="s">
        <v>4700</v>
      </c>
      <c r="R214" t="s">
        <v>669</v>
      </c>
    </row>
    <row r="215" spans="1:18">
      <c r="A215" s="141"/>
      <c r="B215" t="s">
        <v>670</v>
      </c>
      <c r="C215" s="140" t="s">
        <v>4701</v>
      </c>
      <c r="R215" t="s">
        <v>670</v>
      </c>
    </row>
    <row r="216" spans="1:18">
      <c r="A216" s="141"/>
      <c r="B216" t="s">
        <v>671</v>
      </c>
      <c r="C216" s="140" t="s">
        <v>4702</v>
      </c>
      <c r="R216" t="s">
        <v>671</v>
      </c>
    </row>
    <row r="217" spans="1:18">
      <c r="A217" s="141"/>
      <c r="B217" t="s">
        <v>672</v>
      </c>
      <c r="C217" s="140" t="s">
        <v>4703</v>
      </c>
      <c r="R217" t="s">
        <v>672</v>
      </c>
    </row>
    <row r="218" spans="1:18">
      <c r="A218" s="141"/>
      <c r="B218" t="s">
        <v>673</v>
      </c>
      <c r="C218" s="140" t="s">
        <v>4704</v>
      </c>
      <c r="R218" t="s">
        <v>673</v>
      </c>
    </row>
    <row r="219" spans="1:18">
      <c r="A219" t="s">
        <v>674</v>
      </c>
      <c r="B219" t="s">
        <v>675</v>
      </c>
      <c r="C219" s="140" t="s">
        <v>4705</v>
      </c>
      <c r="R219" t="s">
        <v>675</v>
      </c>
    </row>
    <row r="220" spans="1:18">
      <c r="A220" s="141"/>
      <c r="B220" t="s">
        <v>676</v>
      </c>
      <c r="C220" s="140" t="s">
        <v>4706</v>
      </c>
      <c r="R220" t="s">
        <v>676</v>
      </c>
    </row>
    <row r="221" spans="1:18">
      <c r="A221" s="141"/>
      <c r="B221" t="s">
        <v>677</v>
      </c>
      <c r="C221" s="140" t="s">
        <v>4707</v>
      </c>
      <c r="R221" t="s">
        <v>677</v>
      </c>
    </row>
    <row r="222" spans="1:18">
      <c r="A222" s="141"/>
      <c r="B222" t="s">
        <v>678</v>
      </c>
      <c r="C222" s="140" t="s">
        <v>4708</v>
      </c>
      <c r="R222" t="s">
        <v>678</v>
      </c>
    </row>
    <row r="223" spans="1:18">
      <c r="A223" s="141"/>
      <c r="B223" t="s">
        <v>679</v>
      </c>
      <c r="C223" s="140" t="s">
        <v>4709</v>
      </c>
      <c r="R223" t="s">
        <v>679</v>
      </c>
    </row>
    <row r="224" spans="1:18">
      <c r="A224" s="141"/>
      <c r="B224" t="s">
        <v>680</v>
      </c>
      <c r="C224" s="140" t="s">
        <v>4710</v>
      </c>
      <c r="R224" t="s">
        <v>680</v>
      </c>
    </row>
    <row r="225" spans="1:18">
      <c r="A225" s="141"/>
      <c r="B225" t="s">
        <v>681</v>
      </c>
      <c r="C225" s="140" t="s">
        <v>4711</v>
      </c>
      <c r="R225" t="s">
        <v>681</v>
      </c>
    </row>
    <row r="226" spans="1:18">
      <c r="A226" t="s">
        <v>682</v>
      </c>
      <c r="B226" t="s">
        <v>683</v>
      </c>
      <c r="C226" s="140" t="s">
        <v>4712</v>
      </c>
      <c r="R226" t="s">
        <v>683</v>
      </c>
    </row>
    <row r="227" spans="1:18">
      <c r="A227" s="141"/>
      <c r="B227" t="s">
        <v>684</v>
      </c>
      <c r="C227" s="140" t="s">
        <v>4713</v>
      </c>
      <c r="R227" t="s">
        <v>684</v>
      </c>
    </row>
    <row r="228" spans="1:18">
      <c r="A228" s="141"/>
      <c r="B228" t="s">
        <v>685</v>
      </c>
      <c r="C228" s="140" t="s">
        <v>4714</v>
      </c>
      <c r="R228" t="s">
        <v>685</v>
      </c>
    </row>
    <row r="229" spans="1:18">
      <c r="A229" s="141"/>
      <c r="B229" t="s">
        <v>686</v>
      </c>
      <c r="C229" s="140" t="s">
        <v>4715</v>
      </c>
      <c r="R229" t="s">
        <v>686</v>
      </c>
    </row>
    <row r="230" spans="1:18">
      <c r="A230" s="141"/>
      <c r="B230" t="s">
        <v>687</v>
      </c>
      <c r="C230" s="140" t="s">
        <v>4716</v>
      </c>
      <c r="R230" t="s">
        <v>687</v>
      </c>
    </row>
    <row r="231" spans="1:18">
      <c r="A231" s="141"/>
      <c r="B231" t="s">
        <v>688</v>
      </c>
      <c r="C231" s="140" t="s">
        <v>4717</v>
      </c>
      <c r="R231" t="s">
        <v>688</v>
      </c>
    </row>
    <row r="232" spans="1:18">
      <c r="A232" s="141"/>
      <c r="B232" t="s">
        <v>689</v>
      </c>
      <c r="C232" s="140" t="s">
        <v>4718</v>
      </c>
      <c r="R232" t="s">
        <v>689</v>
      </c>
    </row>
    <row r="233" spans="1:18">
      <c r="A233" s="141"/>
      <c r="B233" t="s">
        <v>690</v>
      </c>
      <c r="C233" s="140" t="s">
        <v>4719</v>
      </c>
      <c r="R233" t="s">
        <v>690</v>
      </c>
    </row>
    <row r="234" spans="1:18">
      <c r="A234" s="141"/>
      <c r="B234" t="s">
        <v>691</v>
      </c>
      <c r="C234" s="140" t="s">
        <v>4720</v>
      </c>
      <c r="R234" t="s">
        <v>691</v>
      </c>
    </row>
    <row r="235" spans="1:18">
      <c r="A235" s="141"/>
      <c r="B235" t="s">
        <v>692</v>
      </c>
      <c r="C235" s="140" t="s">
        <v>4721</v>
      </c>
      <c r="R235" t="s">
        <v>692</v>
      </c>
    </row>
    <row r="236" spans="1:18">
      <c r="A236" s="141"/>
      <c r="B236" t="s">
        <v>693</v>
      </c>
      <c r="C236" s="140" t="s">
        <v>4722</v>
      </c>
      <c r="R236" t="s">
        <v>693</v>
      </c>
    </row>
    <row r="237" spans="1:18">
      <c r="A237" s="141"/>
      <c r="B237" t="s">
        <v>694</v>
      </c>
      <c r="C237" s="140" t="s">
        <v>4723</v>
      </c>
      <c r="R237" t="s">
        <v>694</v>
      </c>
    </row>
    <row r="238" spans="1:18">
      <c r="A238" s="141"/>
      <c r="B238" t="s">
        <v>695</v>
      </c>
      <c r="C238" s="140" t="s">
        <v>4724</v>
      </c>
      <c r="R238" t="s">
        <v>695</v>
      </c>
    </row>
    <row r="239" spans="1:18">
      <c r="A239" s="141"/>
      <c r="B239" t="s">
        <v>696</v>
      </c>
      <c r="C239" s="140" t="s">
        <v>4725</v>
      </c>
      <c r="R239" t="s">
        <v>696</v>
      </c>
    </row>
    <row r="240" spans="1:18">
      <c r="A240" s="141"/>
      <c r="B240" t="s">
        <v>697</v>
      </c>
      <c r="C240" s="140" t="s">
        <v>4726</v>
      </c>
      <c r="R240" t="s">
        <v>697</v>
      </c>
    </row>
    <row r="241" spans="1:18">
      <c r="A241" s="141"/>
      <c r="B241" t="s">
        <v>698</v>
      </c>
      <c r="C241" s="140" t="s">
        <v>4727</v>
      </c>
      <c r="R241" t="s">
        <v>698</v>
      </c>
    </row>
    <row r="242" spans="1:18">
      <c r="A242" t="s">
        <v>699</v>
      </c>
      <c r="B242" t="s">
        <v>700</v>
      </c>
      <c r="C242" s="140" t="s">
        <v>4728</v>
      </c>
      <c r="R242" t="s">
        <v>700</v>
      </c>
    </row>
    <row r="243" spans="1:18">
      <c r="A243" s="141"/>
      <c r="B243" t="s">
        <v>701</v>
      </c>
      <c r="C243" s="140" t="s">
        <v>4729</v>
      </c>
      <c r="R243" t="s">
        <v>701</v>
      </c>
    </row>
    <row r="244" spans="1:18">
      <c r="A244" s="141"/>
      <c r="B244" t="s">
        <v>702</v>
      </c>
      <c r="C244" s="140" t="s">
        <v>4730</v>
      </c>
      <c r="R244" t="s">
        <v>702</v>
      </c>
    </row>
    <row r="245" spans="1:18">
      <c r="A245" s="141"/>
      <c r="B245" t="s">
        <v>703</v>
      </c>
      <c r="C245" s="140" t="s">
        <v>4731</v>
      </c>
      <c r="R245" t="s">
        <v>703</v>
      </c>
    </row>
    <row r="246" spans="1:18">
      <c r="A246" s="141"/>
      <c r="B246" t="s">
        <v>704</v>
      </c>
      <c r="C246" s="140" t="s">
        <v>4732</v>
      </c>
      <c r="R246" t="s">
        <v>704</v>
      </c>
    </row>
    <row r="247" spans="1:18">
      <c r="A247" s="141"/>
      <c r="B247" t="s">
        <v>705</v>
      </c>
      <c r="C247" s="140" t="s">
        <v>4733</v>
      </c>
      <c r="R247" t="s">
        <v>705</v>
      </c>
    </row>
    <row r="248" spans="1:18">
      <c r="A248" s="141"/>
      <c r="B248" t="s">
        <v>706</v>
      </c>
      <c r="C248" s="140" t="s">
        <v>4734</v>
      </c>
      <c r="R248" t="s">
        <v>706</v>
      </c>
    </row>
    <row r="249" spans="1:18">
      <c r="A249" s="141"/>
      <c r="B249" t="s">
        <v>699</v>
      </c>
      <c r="C249" s="140" t="s">
        <v>4735</v>
      </c>
      <c r="R249" t="s">
        <v>699</v>
      </c>
    </row>
    <row r="250" spans="1:18">
      <c r="A250" s="141"/>
      <c r="B250" t="s">
        <v>707</v>
      </c>
      <c r="C250" s="140" t="s">
        <v>4736</v>
      </c>
      <c r="R250" t="s">
        <v>707</v>
      </c>
    </row>
    <row r="251" spans="1:18">
      <c r="A251" s="141"/>
      <c r="B251" t="s">
        <v>708</v>
      </c>
      <c r="C251" s="140" t="s">
        <v>4737</v>
      </c>
      <c r="R251" t="s">
        <v>708</v>
      </c>
    </row>
    <row r="252" spans="1:18">
      <c r="A252" s="141"/>
      <c r="B252" t="s">
        <v>709</v>
      </c>
      <c r="C252" s="140" t="s">
        <v>4738</v>
      </c>
      <c r="R252" t="s">
        <v>709</v>
      </c>
    </row>
    <row r="253" spans="1:18">
      <c r="A253" s="141"/>
      <c r="B253" t="s">
        <v>710</v>
      </c>
      <c r="C253" s="140" t="s">
        <v>4739</v>
      </c>
      <c r="R253" t="s">
        <v>710</v>
      </c>
    </row>
    <row r="254" spans="1:18">
      <c r="A254" s="141"/>
      <c r="B254" t="s">
        <v>711</v>
      </c>
      <c r="C254" s="140" t="s">
        <v>4740</v>
      </c>
      <c r="R254" t="s">
        <v>711</v>
      </c>
    </row>
    <row r="255" spans="1:18">
      <c r="A255" s="141"/>
      <c r="B255" t="s">
        <v>712</v>
      </c>
      <c r="C255" s="140" t="s">
        <v>4741</v>
      </c>
      <c r="R255" t="s">
        <v>712</v>
      </c>
    </row>
    <row r="256" spans="1:18">
      <c r="A256" t="s">
        <v>713</v>
      </c>
      <c r="B256" t="s">
        <v>714</v>
      </c>
      <c r="C256" s="140" t="s">
        <v>4742</v>
      </c>
      <c r="R256" t="s">
        <v>714</v>
      </c>
    </row>
    <row r="257" spans="1:18">
      <c r="A257" s="141"/>
      <c r="B257" t="s">
        <v>715</v>
      </c>
      <c r="C257" s="140" t="s">
        <v>4743</v>
      </c>
      <c r="R257" t="s">
        <v>715</v>
      </c>
    </row>
    <row r="258" spans="1:18">
      <c r="A258" s="141"/>
      <c r="B258" t="s">
        <v>716</v>
      </c>
      <c r="C258" s="140" t="s">
        <v>4744</v>
      </c>
      <c r="R258" t="s">
        <v>716</v>
      </c>
    </row>
    <row r="259" spans="1:18">
      <c r="A259" s="141"/>
      <c r="B259" t="s">
        <v>713</v>
      </c>
      <c r="C259" s="140" t="s">
        <v>4745</v>
      </c>
      <c r="R259" t="s">
        <v>713</v>
      </c>
    </row>
    <row r="260" spans="1:18">
      <c r="A260" s="141"/>
      <c r="B260" t="s">
        <v>717</v>
      </c>
      <c r="C260" s="140" t="s">
        <v>4746</v>
      </c>
      <c r="R260" t="s">
        <v>717</v>
      </c>
    </row>
    <row r="261" spans="1:18">
      <c r="A261" s="141"/>
      <c r="B261" t="s">
        <v>496</v>
      </c>
      <c r="C261" s="140" t="s">
        <v>4747</v>
      </c>
      <c r="R261" t="s">
        <v>496</v>
      </c>
    </row>
    <row r="262" spans="1:18">
      <c r="A262" s="141"/>
      <c r="B262" t="s">
        <v>718</v>
      </c>
      <c r="C262" s="140" t="s">
        <v>4748</v>
      </c>
      <c r="R262" t="s">
        <v>718</v>
      </c>
    </row>
    <row r="263" spans="1:18">
      <c r="A263" s="141"/>
      <c r="B263" t="s">
        <v>719</v>
      </c>
      <c r="C263" s="140" t="s">
        <v>4749</v>
      </c>
      <c r="R263" t="s">
        <v>719</v>
      </c>
    </row>
    <row r="264" spans="1:18">
      <c r="A264" s="141"/>
      <c r="B264" t="s">
        <v>720</v>
      </c>
      <c r="C264" s="140" t="s">
        <v>4750</v>
      </c>
      <c r="R264" t="s">
        <v>720</v>
      </c>
    </row>
    <row r="265" spans="1:18">
      <c r="A265" t="s">
        <v>721</v>
      </c>
      <c r="B265" t="s">
        <v>722</v>
      </c>
      <c r="C265" s="140" t="s">
        <v>4751</v>
      </c>
      <c r="R265" t="s">
        <v>722</v>
      </c>
    </row>
    <row r="266" spans="1:18">
      <c r="A266" s="141"/>
      <c r="B266" t="s">
        <v>723</v>
      </c>
      <c r="C266" s="140" t="s">
        <v>4752</v>
      </c>
      <c r="R266" t="s">
        <v>723</v>
      </c>
    </row>
    <row r="267" spans="1:18">
      <c r="A267" s="141"/>
      <c r="B267" t="s">
        <v>724</v>
      </c>
      <c r="C267" s="140" t="s">
        <v>4753</v>
      </c>
      <c r="R267" t="s">
        <v>724</v>
      </c>
    </row>
    <row r="268" spans="1:18">
      <c r="A268" s="141"/>
      <c r="B268" t="s">
        <v>725</v>
      </c>
      <c r="C268" s="140" t="s">
        <v>4754</v>
      </c>
      <c r="R268" t="s">
        <v>725</v>
      </c>
    </row>
    <row r="269" spans="1:18">
      <c r="A269" s="141"/>
      <c r="B269" t="s">
        <v>726</v>
      </c>
      <c r="C269" s="140" t="s">
        <v>4755</v>
      </c>
      <c r="R269" t="s">
        <v>726</v>
      </c>
    </row>
    <row r="270" spans="1:18">
      <c r="A270" s="141"/>
      <c r="B270" t="s">
        <v>727</v>
      </c>
      <c r="C270" s="140" t="s">
        <v>4756</v>
      </c>
      <c r="R270" t="s">
        <v>727</v>
      </c>
    </row>
    <row r="271" spans="1:18">
      <c r="A271" s="141"/>
      <c r="B271" t="s">
        <v>728</v>
      </c>
      <c r="C271" s="140" t="s">
        <v>4757</v>
      </c>
      <c r="R271" t="s">
        <v>728</v>
      </c>
    </row>
    <row r="272" spans="1:18">
      <c r="A272" s="141"/>
      <c r="B272" t="s">
        <v>729</v>
      </c>
      <c r="C272" s="140" t="s">
        <v>4758</v>
      </c>
      <c r="R272" t="s">
        <v>729</v>
      </c>
    </row>
    <row r="273" spans="1:18">
      <c r="A273" s="141"/>
      <c r="B273" t="s">
        <v>730</v>
      </c>
      <c r="C273" s="140" t="s">
        <v>4759</v>
      </c>
      <c r="R273" t="s">
        <v>730</v>
      </c>
    </row>
    <row r="274" spans="1:18">
      <c r="A274" s="141"/>
      <c r="B274" t="s">
        <v>731</v>
      </c>
      <c r="C274" s="140" t="s">
        <v>4760</v>
      </c>
      <c r="R274" t="s">
        <v>731</v>
      </c>
    </row>
    <row r="275" spans="1:18">
      <c r="A275" s="141"/>
      <c r="B275" t="s">
        <v>732</v>
      </c>
      <c r="C275" s="140" t="s">
        <v>4761</v>
      </c>
      <c r="R275" t="s">
        <v>732</v>
      </c>
    </row>
    <row r="276" spans="1:18">
      <c r="A276" s="141"/>
      <c r="B276" t="s">
        <v>733</v>
      </c>
      <c r="C276" s="140" t="s">
        <v>4762</v>
      </c>
      <c r="R276" t="s">
        <v>733</v>
      </c>
    </row>
    <row r="277" spans="1:18">
      <c r="A277" s="141"/>
      <c r="B277" t="s">
        <v>734</v>
      </c>
      <c r="C277" s="140" t="s">
        <v>4763</v>
      </c>
      <c r="R277" t="s">
        <v>734</v>
      </c>
    </row>
    <row r="278" spans="1:18">
      <c r="A278" s="141"/>
      <c r="B278" t="s">
        <v>735</v>
      </c>
      <c r="C278" s="140" t="s">
        <v>4764</v>
      </c>
      <c r="R278" t="s">
        <v>735</v>
      </c>
    </row>
    <row r="279" spans="1:18">
      <c r="A279" s="141"/>
      <c r="B279" t="s">
        <v>736</v>
      </c>
      <c r="C279" s="140" t="s">
        <v>4765</v>
      </c>
      <c r="R279" t="s">
        <v>736</v>
      </c>
    </row>
    <row r="280" spans="1:18">
      <c r="A280" s="141"/>
      <c r="B280" t="s">
        <v>737</v>
      </c>
      <c r="C280" s="140" t="s">
        <v>4766</v>
      </c>
      <c r="R280" t="s">
        <v>737</v>
      </c>
    </row>
    <row r="281" spans="1:18">
      <c r="A281" s="140"/>
      <c r="B281" t="s">
        <v>738</v>
      </c>
      <c r="C281" s="140" t="s">
        <v>4767</v>
      </c>
      <c r="R281" t="s">
        <v>738</v>
      </c>
    </row>
    <row r="282" spans="1:18">
      <c r="A282" t="s">
        <v>739</v>
      </c>
      <c r="B282" t="s">
        <v>740</v>
      </c>
      <c r="C282" s="140" t="s">
        <v>4768</v>
      </c>
      <c r="R282" t="s">
        <v>740</v>
      </c>
    </row>
    <row r="283" spans="1:18">
      <c r="A283" s="141"/>
      <c r="B283" t="s">
        <v>741</v>
      </c>
      <c r="C283" s="140" t="s">
        <v>4769</v>
      </c>
      <c r="R283" t="s">
        <v>741</v>
      </c>
    </row>
    <row r="284" spans="1:18">
      <c r="A284" s="141"/>
      <c r="B284" t="s">
        <v>742</v>
      </c>
      <c r="C284" s="140" t="s">
        <v>4770</v>
      </c>
      <c r="R284" t="s">
        <v>742</v>
      </c>
    </row>
    <row r="285" spans="1:18">
      <c r="A285" s="141"/>
      <c r="B285" t="s">
        <v>743</v>
      </c>
      <c r="C285" s="140" t="s">
        <v>4771</v>
      </c>
      <c r="R285" t="s">
        <v>743</v>
      </c>
    </row>
    <row r="286" spans="1:18">
      <c r="A286" s="141"/>
      <c r="B286" t="s">
        <v>744</v>
      </c>
      <c r="C286" s="140" t="s">
        <v>4772</v>
      </c>
      <c r="R286" t="s">
        <v>744</v>
      </c>
    </row>
    <row r="287" spans="1:18">
      <c r="A287" s="141"/>
      <c r="B287" t="s">
        <v>745</v>
      </c>
      <c r="C287" s="140" t="s">
        <v>4773</v>
      </c>
      <c r="R287" t="s">
        <v>745</v>
      </c>
    </row>
    <row r="288" spans="1:18">
      <c r="A288" s="141"/>
      <c r="B288" t="s">
        <v>746</v>
      </c>
      <c r="C288" s="140" t="s">
        <v>4774</v>
      </c>
      <c r="R288" t="s">
        <v>746</v>
      </c>
    </row>
    <row r="289" spans="1:18">
      <c r="A289" s="141"/>
      <c r="B289" t="s">
        <v>747</v>
      </c>
      <c r="C289" s="140" t="s">
        <v>4775</v>
      </c>
      <c r="R289" t="s">
        <v>747</v>
      </c>
    </row>
    <row r="290" spans="1:18">
      <c r="A290" s="141"/>
      <c r="B290" t="s">
        <v>748</v>
      </c>
      <c r="C290" s="140" t="s">
        <v>4776</v>
      </c>
      <c r="R290" t="s">
        <v>748</v>
      </c>
    </row>
    <row r="291" spans="1:18">
      <c r="A291" s="141"/>
      <c r="B291" t="s">
        <v>749</v>
      </c>
      <c r="C291" s="140" t="s">
        <v>4777</v>
      </c>
      <c r="R291" t="s">
        <v>749</v>
      </c>
    </row>
    <row r="292" spans="1:18">
      <c r="A292" s="141"/>
      <c r="B292" t="s">
        <v>750</v>
      </c>
      <c r="C292" s="140" t="s">
        <v>4778</v>
      </c>
      <c r="R292" t="s">
        <v>750</v>
      </c>
    </row>
    <row r="293" spans="1:18">
      <c r="A293" s="141"/>
      <c r="B293" t="s">
        <v>751</v>
      </c>
      <c r="C293" s="140" t="s">
        <v>4779</v>
      </c>
      <c r="R293" t="s">
        <v>751</v>
      </c>
    </row>
    <row r="294" spans="1:18">
      <c r="A294" s="141"/>
      <c r="B294" t="s">
        <v>752</v>
      </c>
      <c r="C294" s="140" t="s">
        <v>4780</v>
      </c>
      <c r="R294" t="s">
        <v>752</v>
      </c>
    </row>
    <row r="295" spans="1:18">
      <c r="A295" s="141"/>
      <c r="B295" t="s">
        <v>753</v>
      </c>
      <c r="C295" s="140" t="s">
        <v>4781</v>
      </c>
      <c r="R295" t="s">
        <v>753</v>
      </c>
    </row>
    <row r="296" spans="1:18">
      <c r="A296" t="s">
        <v>754</v>
      </c>
      <c r="B296" t="s">
        <v>755</v>
      </c>
      <c r="C296" s="140" t="s">
        <v>4782</v>
      </c>
      <c r="R296" t="s">
        <v>755</v>
      </c>
    </row>
    <row r="297" spans="1:18">
      <c r="A297" s="141"/>
      <c r="B297" t="s">
        <v>756</v>
      </c>
      <c r="C297" s="140" t="s">
        <v>4783</v>
      </c>
      <c r="R297" t="s">
        <v>756</v>
      </c>
    </row>
    <row r="298" spans="1:18">
      <c r="A298" s="141"/>
      <c r="B298" t="s">
        <v>757</v>
      </c>
      <c r="C298" s="140" t="s">
        <v>4784</v>
      </c>
      <c r="R298" t="s">
        <v>757</v>
      </c>
    </row>
    <row r="299" spans="1:18">
      <c r="A299" s="141"/>
      <c r="B299" t="s">
        <v>758</v>
      </c>
      <c r="C299" s="140" t="s">
        <v>4785</v>
      </c>
      <c r="R299" t="s">
        <v>758</v>
      </c>
    </row>
    <row r="300" spans="1:18">
      <c r="A300" s="141"/>
      <c r="B300" t="s">
        <v>759</v>
      </c>
      <c r="C300" s="140" t="s">
        <v>4786</v>
      </c>
      <c r="R300" t="s">
        <v>759</v>
      </c>
    </row>
    <row r="301" spans="1:18">
      <c r="A301" s="141"/>
      <c r="B301" t="s">
        <v>760</v>
      </c>
      <c r="C301" s="140" t="s">
        <v>4787</v>
      </c>
      <c r="R301" t="s">
        <v>760</v>
      </c>
    </row>
    <row r="302" spans="1:18">
      <c r="A302" s="141"/>
      <c r="B302" t="s">
        <v>761</v>
      </c>
      <c r="C302" s="140" t="s">
        <v>4788</v>
      </c>
      <c r="R302" t="s">
        <v>761</v>
      </c>
    </row>
    <row r="303" spans="1:18">
      <c r="A303" s="141"/>
      <c r="B303" t="s">
        <v>762</v>
      </c>
      <c r="C303" s="140" t="s">
        <v>4789</v>
      </c>
      <c r="R303" t="s">
        <v>762</v>
      </c>
    </row>
    <row r="304" spans="1:18">
      <c r="A304" t="s">
        <v>763</v>
      </c>
      <c r="B304" t="s">
        <v>764</v>
      </c>
      <c r="C304" s="140" t="s">
        <v>4790</v>
      </c>
      <c r="R304" t="s">
        <v>764</v>
      </c>
    </row>
    <row r="305" spans="1:18">
      <c r="A305" s="141"/>
      <c r="B305" t="s">
        <v>765</v>
      </c>
      <c r="C305" s="140" t="s">
        <v>4791</v>
      </c>
      <c r="R305" t="s">
        <v>765</v>
      </c>
    </row>
    <row r="306" spans="1:18">
      <c r="A306" s="141"/>
      <c r="B306" t="s">
        <v>766</v>
      </c>
      <c r="C306" s="140" t="s">
        <v>4792</v>
      </c>
      <c r="R306" t="s">
        <v>766</v>
      </c>
    </row>
    <row r="307" spans="1:18">
      <c r="A307" s="141"/>
      <c r="B307" t="s">
        <v>767</v>
      </c>
      <c r="C307" s="140" t="s">
        <v>4793</v>
      </c>
      <c r="R307" t="s">
        <v>767</v>
      </c>
    </row>
    <row r="308" spans="1:18">
      <c r="A308" s="141"/>
      <c r="B308" t="s">
        <v>768</v>
      </c>
      <c r="C308" s="140" t="s">
        <v>4794</v>
      </c>
      <c r="R308" t="s">
        <v>768</v>
      </c>
    </row>
    <row r="309" spans="1:18">
      <c r="A309" s="141"/>
      <c r="B309" t="s">
        <v>769</v>
      </c>
      <c r="C309" s="140" t="s">
        <v>4795</v>
      </c>
      <c r="R309" t="s">
        <v>769</v>
      </c>
    </row>
    <row r="310" spans="1:18">
      <c r="A310" s="141"/>
      <c r="B310" t="s">
        <v>770</v>
      </c>
      <c r="C310" s="140" t="s">
        <v>4796</v>
      </c>
      <c r="R310" t="s">
        <v>770</v>
      </c>
    </row>
    <row r="311" spans="1:18">
      <c r="A311" s="141"/>
      <c r="B311" t="s">
        <v>771</v>
      </c>
      <c r="C311" s="140" t="s">
        <v>4797</v>
      </c>
      <c r="R311" t="s">
        <v>771</v>
      </c>
    </row>
    <row r="312" spans="1:18">
      <c r="A312" s="141"/>
      <c r="B312" t="s">
        <v>772</v>
      </c>
      <c r="C312" s="140" t="s">
        <v>4798</v>
      </c>
      <c r="R312" t="s">
        <v>772</v>
      </c>
    </row>
    <row r="313" spans="1:18">
      <c r="A313" s="141"/>
      <c r="B313" t="s">
        <v>773</v>
      </c>
      <c r="C313" s="140" t="s">
        <v>4799</v>
      </c>
      <c r="R313" t="s">
        <v>773</v>
      </c>
    </row>
    <row r="314" spans="1:18">
      <c r="A314" s="141"/>
      <c r="B314" t="s">
        <v>774</v>
      </c>
      <c r="C314" s="140" t="s">
        <v>4800</v>
      </c>
      <c r="R314" t="s">
        <v>774</v>
      </c>
    </row>
    <row r="315" spans="1:18">
      <c r="A315" s="141"/>
      <c r="B315" t="s">
        <v>775</v>
      </c>
      <c r="C315" s="140" t="s">
        <v>4801</v>
      </c>
      <c r="R315" t="s">
        <v>775</v>
      </c>
    </row>
    <row r="316" spans="1:18">
      <c r="A316" t="s">
        <v>776</v>
      </c>
      <c r="B316" t="s">
        <v>777</v>
      </c>
      <c r="C316" s="140" t="s">
        <v>4802</v>
      </c>
      <c r="R316" t="s">
        <v>777</v>
      </c>
    </row>
    <row r="317" spans="1:18">
      <c r="A317" s="141"/>
      <c r="B317" t="s">
        <v>778</v>
      </c>
      <c r="C317" s="140" t="s">
        <v>4803</v>
      </c>
      <c r="R317" t="s">
        <v>778</v>
      </c>
    </row>
    <row r="318" spans="1:18">
      <c r="A318" s="141"/>
      <c r="B318" t="s">
        <v>779</v>
      </c>
      <c r="C318" s="140" t="s">
        <v>4804</v>
      </c>
      <c r="R318" t="s">
        <v>779</v>
      </c>
    </row>
    <row r="319" spans="1:18">
      <c r="A319" s="141"/>
      <c r="B319" t="s">
        <v>780</v>
      </c>
      <c r="C319" s="140" t="s">
        <v>4805</v>
      </c>
      <c r="R319" t="s">
        <v>780</v>
      </c>
    </row>
    <row r="320" spans="1:18">
      <c r="A320" s="141"/>
      <c r="B320" t="s">
        <v>781</v>
      </c>
      <c r="C320" s="140" t="s">
        <v>4806</v>
      </c>
      <c r="R320" t="s">
        <v>781</v>
      </c>
    </row>
    <row r="321" spans="1:18">
      <c r="A321" s="141"/>
      <c r="B321" t="s">
        <v>782</v>
      </c>
      <c r="C321" s="140" t="s">
        <v>4807</v>
      </c>
      <c r="R321" t="s">
        <v>782</v>
      </c>
    </row>
    <row r="322" spans="1:18">
      <c r="A322" s="141"/>
      <c r="B322" t="s">
        <v>783</v>
      </c>
      <c r="C322" s="140" t="s">
        <v>4808</v>
      </c>
      <c r="R322" t="s">
        <v>783</v>
      </c>
    </row>
    <row r="323" spans="1:18">
      <c r="A323" s="141"/>
      <c r="B323" t="s">
        <v>784</v>
      </c>
      <c r="C323" s="140" t="s">
        <v>4809</v>
      </c>
      <c r="R323" t="s">
        <v>784</v>
      </c>
    </row>
    <row r="324" spans="1:18">
      <c r="A324" s="141"/>
      <c r="B324" t="s">
        <v>785</v>
      </c>
      <c r="C324" s="140" t="s">
        <v>4810</v>
      </c>
      <c r="R324" t="s">
        <v>785</v>
      </c>
    </row>
    <row r="325" spans="1:18">
      <c r="A325" s="141"/>
      <c r="B325" t="s">
        <v>786</v>
      </c>
      <c r="C325" s="140" t="s">
        <v>4811</v>
      </c>
      <c r="R325" t="s">
        <v>786</v>
      </c>
    </row>
    <row r="326" spans="1:18">
      <c r="A326" s="141"/>
      <c r="B326" t="s">
        <v>787</v>
      </c>
      <c r="C326" s="140" t="s">
        <v>4812</v>
      </c>
      <c r="R326" t="s">
        <v>787</v>
      </c>
    </row>
    <row r="327" spans="1:18">
      <c r="A327" s="141"/>
      <c r="B327" t="s">
        <v>788</v>
      </c>
      <c r="C327" s="140" t="s">
        <v>4813</v>
      </c>
      <c r="R327" t="s">
        <v>788</v>
      </c>
    </row>
    <row r="328" spans="1:18">
      <c r="A328" t="s">
        <v>789</v>
      </c>
      <c r="B328" t="s">
        <v>790</v>
      </c>
      <c r="C328" s="140" t="s">
        <v>4814</v>
      </c>
      <c r="R328" t="s">
        <v>790</v>
      </c>
    </row>
    <row r="329" spans="1:18">
      <c r="A329" s="141"/>
      <c r="B329" t="s">
        <v>791</v>
      </c>
      <c r="C329" s="140" t="s">
        <v>4815</v>
      </c>
      <c r="R329" t="s">
        <v>791</v>
      </c>
    </row>
    <row r="330" spans="1:18">
      <c r="A330" s="141"/>
      <c r="B330" t="s">
        <v>792</v>
      </c>
      <c r="C330" s="140" t="s">
        <v>4816</v>
      </c>
      <c r="R330" t="s">
        <v>792</v>
      </c>
    </row>
    <row r="331" spans="1:18">
      <c r="A331" s="141"/>
      <c r="B331" t="s">
        <v>793</v>
      </c>
      <c r="C331" s="140" t="s">
        <v>4817</v>
      </c>
      <c r="R331" t="s">
        <v>793</v>
      </c>
    </row>
    <row r="332" spans="1:18">
      <c r="A332" s="141"/>
      <c r="B332" t="s">
        <v>794</v>
      </c>
      <c r="C332" s="140" t="s">
        <v>4818</v>
      </c>
      <c r="R332" t="s">
        <v>794</v>
      </c>
    </row>
    <row r="333" spans="1:18">
      <c r="A333" s="141"/>
      <c r="B333" t="s">
        <v>795</v>
      </c>
      <c r="C333" s="140" t="s">
        <v>4819</v>
      </c>
      <c r="R333" t="s">
        <v>795</v>
      </c>
    </row>
    <row r="334" spans="1:18">
      <c r="A334" t="s">
        <v>796</v>
      </c>
      <c r="B334" t="s">
        <v>797</v>
      </c>
      <c r="C334" s="140" t="s">
        <v>4820</v>
      </c>
      <c r="R334" t="s">
        <v>797</v>
      </c>
    </row>
    <row r="335" spans="1:18">
      <c r="A335" s="141"/>
      <c r="B335" t="s">
        <v>798</v>
      </c>
      <c r="C335" s="140" t="s">
        <v>4821</v>
      </c>
      <c r="R335" t="s">
        <v>798</v>
      </c>
    </row>
    <row r="336" spans="1:18">
      <c r="A336" s="141"/>
      <c r="B336" t="s">
        <v>799</v>
      </c>
      <c r="C336" s="140" t="s">
        <v>4822</v>
      </c>
      <c r="R336" t="s">
        <v>799</v>
      </c>
    </row>
    <row r="337" spans="1:18">
      <c r="A337" s="141"/>
      <c r="B337" t="s">
        <v>800</v>
      </c>
      <c r="C337" s="140" t="s">
        <v>4823</v>
      </c>
      <c r="R337" t="s">
        <v>800</v>
      </c>
    </row>
    <row r="338" spans="1:18">
      <c r="A338" s="141"/>
      <c r="B338" t="s">
        <v>801</v>
      </c>
      <c r="C338" s="140" t="s">
        <v>4824</v>
      </c>
      <c r="R338" t="s">
        <v>801</v>
      </c>
    </row>
    <row r="339" spans="1:18">
      <c r="A339" s="141"/>
      <c r="B339" t="s">
        <v>802</v>
      </c>
      <c r="C339" s="140" t="s">
        <v>4825</v>
      </c>
      <c r="R339" t="s">
        <v>802</v>
      </c>
    </row>
    <row r="340" spans="1:18">
      <c r="A340" s="141"/>
      <c r="B340" t="s">
        <v>803</v>
      </c>
      <c r="C340" s="140" t="s">
        <v>4826</v>
      </c>
      <c r="R340" t="s">
        <v>803</v>
      </c>
    </row>
    <row r="341" spans="1:18">
      <c r="A341" s="141"/>
      <c r="B341" t="s">
        <v>804</v>
      </c>
      <c r="C341" s="140" t="s">
        <v>4827</v>
      </c>
      <c r="R341" t="s">
        <v>804</v>
      </c>
    </row>
    <row r="342" spans="1:18">
      <c r="A342" s="141"/>
      <c r="B342" t="s">
        <v>805</v>
      </c>
      <c r="C342" s="140" t="s">
        <v>4828</v>
      </c>
      <c r="R342" t="s">
        <v>805</v>
      </c>
    </row>
    <row r="343" spans="1:18">
      <c r="A343" s="141"/>
      <c r="B343" t="s">
        <v>806</v>
      </c>
      <c r="C343" s="140" t="s">
        <v>4829</v>
      </c>
      <c r="R343" t="s">
        <v>806</v>
      </c>
    </row>
    <row r="344" spans="1:18">
      <c r="A344" t="s">
        <v>807</v>
      </c>
      <c r="B344" t="s">
        <v>808</v>
      </c>
      <c r="C344" s="140" t="s">
        <v>4830</v>
      </c>
      <c r="R344" t="s">
        <v>808</v>
      </c>
    </row>
    <row r="345" spans="1:18">
      <c r="A345" s="141"/>
      <c r="B345" t="s">
        <v>809</v>
      </c>
      <c r="C345" s="140" t="s">
        <v>4831</v>
      </c>
      <c r="R345" t="s">
        <v>809</v>
      </c>
    </row>
    <row r="346" spans="1:18">
      <c r="A346" s="141"/>
      <c r="B346" t="s">
        <v>810</v>
      </c>
      <c r="C346" s="140" t="s">
        <v>4832</v>
      </c>
      <c r="R346" t="s">
        <v>810</v>
      </c>
    </row>
    <row r="347" spans="1:18">
      <c r="A347" s="141"/>
      <c r="B347" t="s">
        <v>807</v>
      </c>
      <c r="C347" s="140" t="s">
        <v>4833</v>
      </c>
      <c r="R347" t="s">
        <v>807</v>
      </c>
    </row>
    <row r="348" spans="1:18">
      <c r="A348" s="141"/>
      <c r="B348" t="s">
        <v>811</v>
      </c>
      <c r="C348" s="140" t="s">
        <v>4834</v>
      </c>
      <c r="R348" t="s">
        <v>811</v>
      </c>
    </row>
    <row r="349" spans="1:18">
      <c r="A349" t="s">
        <v>812</v>
      </c>
      <c r="B349" t="s">
        <v>813</v>
      </c>
      <c r="C349" s="140" t="s">
        <v>4835</v>
      </c>
      <c r="R349" t="s">
        <v>813</v>
      </c>
    </row>
    <row r="350" spans="1:18">
      <c r="A350" s="141"/>
      <c r="B350" t="s">
        <v>814</v>
      </c>
      <c r="C350" s="140" t="s">
        <v>4836</v>
      </c>
      <c r="R350" t="s">
        <v>814</v>
      </c>
    </row>
    <row r="351" spans="1:18">
      <c r="A351" s="141"/>
      <c r="B351" t="s">
        <v>815</v>
      </c>
      <c r="C351" s="140" t="s">
        <v>4837</v>
      </c>
      <c r="R351" t="s">
        <v>815</v>
      </c>
    </row>
    <row r="352" spans="1:18">
      <c r="A352" s="141"/>
      <c r="B352" t="s">
        <v>815</v>
      </c>
      <c r="C352" s="140" t="s">
        <v>4838</v>
      </c>
      <c r="R352" t="s">
        <v>815</v>
      </c>
    </row>
    <row r="353" spans="1:18">
      <c r="A353" s="141"/>
      <c r="B353" t="s">
        <v>816</v>
      </c>
      <c r="C353" s="140" t="s">
        <v>4839</v>
      </c>
      <c r="R353" t="s">
        <v>816</v>
      </c>
    </row>
    <row r="354" spans="1:18">
      <c r="A354" s="141"/>
      <c r="B354" t="s">
        <v>817</v>
      </c>
      <c r="C354" s="140" t="s">
        <v>4840</v>
      </c>
      <c r="R354" t="s">
        <v>817</v>
      </c>
    </row>
    <row r="355" spans="1:18">
      <c r="A355" s="141"/>
      <c r="B355" t="s">
        <v>818</v>
      </c>
      <c r="C355" s="140" t="s">
        <v>4841</v>
      </c>
      <c r="R355" t="s">
        <v>818</v>
      </c>
    </row>
    <row r="356" spans="1:18">
      <c r="A356" s="141"/>
      <c r="B356" t="s">
        <v>819</v>
      </c>
      <c r="C356" s="140" t="s">
        <v>4842</v>
      </c>
      <c r="R356" t="s">
        <v>819</v>
      </c>
    </row>
    <row r="357" spans="1:18">
      <c r="A357" s="141"/>
      <c r="B357" t="s">
        <v>820</v>
      </c>
      <c r="C357" s="140" t="s">
        <v>4843</v>
      </c>
      <c r="R357" t="s">
        <v>820</v>
      </c>
    </row>
    <row r="358" spans="1:18">
      <c r="A358" s="141"/>
      <c r="B358" t="s">
        <v>821</v>
      </c>
      <c r="C358" s="140" t="s">
        <v>4844</v>
      </c>
      <c r="R358" t="s">
        <v>821</v>
      </c>
    </row>
    <row r="359" spans="1:18">
      <c r="A359" t="s">
        <v>822</v>
      </c>
      <c r="B359" t="s">
        <v>823</v>
      </c>
      <c r="C359" s="140" t="s">
        <v>4845</v>
      </c>
      <c r="R359" t="s">
        <v>823</v>
      </c>
    </row>
    <row r="360" spans="1:18">
      <c r="A360" s="141"/>
      <c r="B360" t="s">
        <v>824</v>
      </c>
      <c r="C360" s="140" t="s">
        <v>4846</v>
      </c>
      <c r="R360" t="s">
        <v>824</v>
      </c>
    </row>
    <row r="361" spans="1:18">
      <c r="A361" s="141"/>
      <c r="B361" t="s">
        <v>825</v>
      </c>
      <c r="C361" s="140" t="s">
        <v>4847</v>
      </c>
      <c r="R361" t="s">
        <v>825</v>
      </c>
    </row>
    <row r="362" spans="1:18">
      <c r="A362" s="141"/>
      <c r="B362" t="s">
        <v>826</v>
      </c>
      <c r="C362" s="140" t="s">
        <v>4848</v>
      </c>
      <c r="R362" t="s">
        <v>826</v>
      </c>
    </row>
    <row r="363" spans="1:18">
      <c r="A363" s="141"/>
      <c r="B363" t="s">
        <v>827</v>
      </c>
      <c r="C363" s="140" t="s">
        <v>4849</v>
      </c>
      <c r="R363" t="s">
        <v>827</v>
      </c>
    </row>
    <row r="364" spans="1:18">
      <c r="A364" s="141"/>
      <c r="B364" t="s">
        <v>828</v>
      </c>
      <c r="C364" s="140" t="s">
        <v>4850</v>
      </c>
      <c r="R364" t="s">
        <v>828</v>
      </c>
    </row>
    <row r="365" spans="1:18">
      <c r="A365" s="141"/>
      <c r="B365" t="s">
        <v>829</v>
      </c>
      <c r="C365" s="140" t="s">
        <v>4851</v>
      </c>
      <c r="R365" t="s">
        <v>829</v>
      </c>
    </row>
    <row r="366" spans="1:18">
      <c r="A366" s="141"/>
      <c r="B366" t="s">
        <v>830</v>
      </c>
      <c r="C366" s="140" t="s">
        <v>4852</v>
      </c>
      <c r="R366" t="s">
        <v>830</v>
      </c>
    </row>
    <row r="367" spans="1:18">
      <c r="A367" s="141"/>
      <c r="B367" t="s">
        <v>831</v>
      </c>
      <c r="C367" s="140" t="s">
        <v>4853</v>
      </c>
      <c r="R367" t="s">
        <v>831</v>
      </c>
    </row>
    <row r="368" spans="1:18">
      <c r="A368" s="141"/>
      <c r="B368" t="s">
        <v>832</v>
      </c>
      <c r="C368" s="140" t="s">
        <v>4854</v>
      </c>
      <c r="R368" t="s">
        <v>832</v>
      </c>
    </row>
    <row r="369" spans="1:18">
      <c r="A369" s="141"/>
      <c r="B369" t="s">
        <v>833</v>
      </c>
      <c r="C369" s="140" t="s">
        <v>4855</v>
      </c>
      <c r="R369" t="s">
        <v>833</v>
      </c>
    </row>
    <row r="370" spans="1:18">
      <c r="A370" s="141"/>
      <c r="B370" t="s">
        <v>834</v>
      </c>
      <c r="C370" s="140" t="s">
        <v>4856</v>
      </c>
      <c r="R370" t="s">
        <v>834</v>
      </c>
    </row>
    <row r="371" spans="1:18">
      <c r="A371" s="141"/>
      <c r="B371" t="s">
        <v>835</v>
      </c>
      <c r="C371" s="140" t="s">
        <v>4857</v>
      </c>
      <c r="R371" t="s">
        <v>835</v>
      </c>
    </row>
    <row r="372" spans="1:18">
      <c r="A372" s="141"/>
      <c r="B372" t="s">
        <v>836</v>
      </c>
      <c r="C372" s="140" t="s">
        <v>4858</v>
      </c>
      <c r="R372" t="s">
        <v>836</v>
      </c>
    </row>
    <row r="373" spans="1:18">
      <c r="A373" s="141"/>
      <c r="B373" t="s">
        <v>837</v>
      </c>
      <c r="C373" s="140" t="s">
        <v>4859</v>
      </c>
      <c r="R373" t="s">
        <v>837</v>
      </c>
    </row>
    <row r="374" spans="1:18">
      <c r="A374" s="141"/>
      <c r="B374" t="s">
        <v>838</v>
      </c>
      <c r="C374" s="140" t="s">
        <v>4860</v>
      </c>
      <c r="R374" t="s">
        <v>838</v>
      </c>
    </row>
    <row r="375" spans="1:18">
      <c r="A375" s="140"/>
      <c r="B375" t="s">
        <v>839</v>
      </c>
      <c r="C375" s="140" t="s">
        <v>4861</v>
      </c>
      <c r="R375" t="s">
        <v>839</v>
      </c>
    </row>
    <row r="376" spans="1:18">
      <c r="A376" s="141"/>
      <c r="B376" t="s">
        <v>840</v>
      </c>
      <c r="C376" s="140" t="s">
        <v>4862</v>
      </c>
      <c r="R376" t="s">
        <v>840</v>
      </c>
    </row>
    <row r="377" spans="1:18">
      <c r="A377" s="141"/>
      <c r="B377" t="s">
        <v>841</v>
      </c>
      <c r="C377" s="140" t="s">
        <v>4863</v>
      </c>
      <c r="R377" t="s">
        <v>841</v>
      </c>
    </row>
    <row r="378" spans="1:18">
      <c r="A378" s="141"/>
      <c r="B378" t="s">
        <v>842</v>
      </c>
      <c r="C378" s="140" t="s">
        <v>4864</v>
      </c>
      <c r="R378" t="s">
        <v>842</v>
      </c>
    </row>
    <row r="379" spans="1:18">
      <c r="A379" s="141"/>
      <c r="B379" t="s">
        <v>843</v>
      </c>
      <c r="C379" s="140" t="s">
        <v>4865</v>
      </c>
      <c r="R379" t="s">
        <v>843</v>
      </c>
    </row>
    <row r="380" spans="1:18">
      <c r="A380" t="s">
        <v>844</v>
      </c>
      <c r="B380" t="s">
        <v>845</v>
      </c>
      <c r="C380" s="140" t="s">
        <v>4866</v>
      </c>
      <c r="R380" t="s">
        <v>845</v>
      </c>
    </row>
    <row r="381" spans="1:18">
      <c r="A381" s="141"/>
      <c r="B381" t="s">
        <v>846</v>
      </c>
      <c r="C381" s="140" t="s">
        <v>4867</v>
      </c>
      <c r="R381" t="s">
        <v>846</v>
      </c>
    </row>
    <row r="382" spans="1:18">
      <c r="A382" s="141"/>
      <c r="B382" t="s">
        <v>847</v>
      </c>
      <c r="C382" s="140" t="s">
        <v>4868</v>
      </c>
      <c r="R382" t="s">
        <v>847</v>
      </c>
    </row>
    <row r="383" spans="1:18">
      <c r="A383" s="141"/>
      <c r="B383" t="s">
        <v>848</v>
      </c>
      <c r="C383" s="140" t="s">
        <v>4869</v>
      </c>
      <c r="R383" t="s">
        <v>848</v>
      </c>
    </row>
    <row r="384" spans="1:18">
      <c r="A384" s="141"/>
      <c r="B384" t="s">
        <v>849</v>
      </c>
      <c r="C384" s="140" t="s">
        <v>4870</v>
      </c>
      <c r="R384" t="s">
        <v>849</v>
      </c>
    </row>
    <row r="385" spans="1:18">
      <c r="A385" s="141"/>
      <c r="B385" t="s">
        <v>850</v>
      </c>
      <c r="C385" s="140" t="s">
        <v>4871</v>
      </c>
      <c r="R385" t="s">
        <v>850</v>
      </c>
    </row>
    <row r="386" spans="1:18">
      <c r="A386" s="141"/>
      <c r="B386" t="s">
        <v>851</v>
      </c>
      <c r="C386" s="140" t="s">
        <v>4872</v>
      </c>
      <c r="R386" t="s">
        <v>851</v>
      </c>
    </row>
    <row r="387" spans="1:18">
      <c r="A387" s="141"/>
      <c r="B387" t="s">
        <v>852</v>
      </c>
      <c r="C387" s="140" t="s">
        <v>4873</v>
      </c>
      <c r="R387" t="s">
        <v>852</v>
      </c>
    </row>
    <row r="388" spans="1:18">
      <c r="A388" s="141"/>
      <c r="B388" t="s">
        <v>853</v>
      </c>
      <c r="C388" s="140" t="s">
        <v>4874</v>
      </c>
      <c r="R388" t="s">
        <v>853</v>
      </c>
    </row>
    <row r="389" spans="1:18">
      <c r="A389" t="s">
        <v>854</v>
      </c>
      <c r="B389" t="s">
        <v>846</v>
      </c>
      <c r="C389" s="140" t="s">
        <v>4875</v>
      </c>
      <c r="R389" t="s">
        <v>846</v>
      </c>
    </row>
    <row r="390" spans="1:18">
      <c r="A390" s="141"/>
      <c r="B390" t="s">
        <v>855</v>
      </c>
      <c r="C390" s="140" t="s">
        <v>4876</v>
      </c>
      <c r="R390" t="s">
        <v>855</v>
      </c>
    </row>
    <row r="391" spans="1:18">
      <c r="A391" s="141"/>
      <c r="B391" t="s">
        <v>856</v>
      </c>
      <c r="C391" s="140" t="s">
        <v>4877</v>
      </c>
      <c r="R391" t="s">
        <v>856</v>
      </c>
    </row>
    <row r="392" spans="1:18">
      <c r="A392" s="141"/>
      <c r="B392" t="s">
        <v>857</v>
      </c>
      <c r="C392" s="140" t="s">
        <v>4878</v>
      </c>
      <c r="R392" t="s">
        <v>857</v>
      </c>
    </row>
    <row r="393" spans="1:18">
      <c r="A393" s="141"/>
      <c r="B393" t="s">
        <v>858</v>
      </c>
      <c r="C393" s="140" t="s">
        <v>4879</v>
      </c>
      <c r="R393" t="s">
        <v>858</v>
      </c>
    </row>
    <row r="394" spans="1:18">
      <c r="A394" s="141"/>
      <c r="B394" t="s">
        <v>859</v>
      </c>
      <c r="C394" s="140" t="s">
        <v>4880</v>
      </c>
      <c r="R394" t="s">
        <v>859</v>
      </c>
    </row>
    <row r="395" spans="1:18">
      <c r="A395" s="141"/>
      <c r="B395" t="s">
        <v>860</v>
      </c>
      <c r="C395" s="140" t="s">
        <v>4881</v>
      </c>
      <c r="R395" t="s">
        <v>860</v>
      </c>
    </row>
    <row r="396" spans="1:18">
      <c r="A396" s="141"/>
      <c r="B396" t="s">
        <v>861</v>
      </c>
      <c r="C396" s="140" t="s">
        <v>4882</v>
      </c>
      <c r="R396" t="s">
        <v>861</v>
      </c>
    </row>
    <row r="397" spans="1:18">
      <c r="A397" s="141"/>
      <c r="B397" t="s">
        <v>862</v>
      </c>
      <c r="C397" s="140" t="s">
        <v>4883</v>
      </c>
      <c r="R397" t="s">
        <v>862</v>
      </c>
    </row>
    <row r="398" spans="1:18">
      <c r="A398" s="141"/>
      <c r="B398" t="s">
        <v>863</v>
      </c>
      <c r="C398" s="140" t="s">
        <v>4884</v>
      </c>
      <c r="R398" t="s">
        <v>863</v>
      </c>
    </row>
    <row r="399" spans="1:18">
      <c r="A399" t="s">
        <v>864</v>
      </c>
      <c r="B399" t="s">
        <v>865</v>
      </c>
      <c r="C399" s="140" t="s">
        <v>4885</v>
      </c>
      <c r="R399" t="s">
        <v>865</v>
      </c>
    </row>
    <row r="400" spans="1:18">
      <c r="A400" s="141"/>
      <c r="B400" t="s">
        <v>866</v>
      </c>
      <c r="C400" s="140" t="s">
        <v>4886</v>
      </c>
      <c r="R400" t="s">
        <v>866</v>
      </c>
    </row>
    <row r="401" spans="1:18">
      <c r="A401" s="141"/>
      <c r="B401" t="s">
        <v>867</v>
      </c>
      <c r="C401" s="140" t="s">
        <v>4887</v>
      </c>
      <c r="R401" t="s">
        <v>867</v>
      </c>
    </row>
    <row r="402" spans="1:18">
      <c r="A402" s="141"/>
      <c r="B402" t="s">
        <v>868</v>
      </c>
      <c r="C402" s="140" t="s">
        <v>4888</v>
      </c>
      <c r="R402" t="s">
        <v>868</v>
      </c>
    </row>
    <row r="403" spans="1:18">
      <c r="A403" s="141"/>
      <c r="B403" t="s">
        <v>869</v>
      </c>
      <c r="C403" s="140" t="s">
        <v>4889</v>
      </c>
      <c r="R403" t="s">
        <v>869</v>
      </c>
    </row>
    <row r="404" spans="1:18">
      <c r="A404" s="141"/>
      <c r="B404" t="s">
        <v>870</v>
      </c>
      <c r="C404" s="140" t="s">
        <v>4890</v>
      </c>
      <c r="R404" t="s">
        <v>870</v>
      </c>
    </row>
    <row r="405" spans="1:18">
      <c r="A405" s="141"/>
      <c r="B405" t="s">
        <v>871</v>
      </c>
      <c r="C405" s="140" t="s">
        <v>4891</v>
      </c>
      <c r="R405" t="s">
        <v>871</v>
      </c>
    </row>
    <row r="406" spans="1:18">
      <c r="A406" t="s">
        <v>872</v>
      </c>
      <c r="B406" t="s">
        <v>873</v>
      </c>
      <c r="C406" s="140" t="s">
        <v>4892</v>
      </c>
      <c r="R406" t="s">
        <v>873</v>
      </c>
    </row>
    <row r="407" spans="1:18">
      <c r="A407" s="141"/>
      <c r="B407" t="s">
        <v>874</v>
      </c>
      <c r="C407" s="140" t="s">
        <v>4893</v>
      </c>
      <c r="R407" t="s">
        <v>874</v>
      </c>
    </row>
    <row r="408" spans="1:18">
      <c r="A408" t="s">
        <v>875</v>
      </c>
      <c r="B408" t="s">
        <v>876</v>
      </c>
      <c r="C408" s="140" t="s">
        <v>4894</v>
      </c>
      <c r="R408" t="s">
        <v>876</v>
      </c>
    </row>
    <row r="409" spans="1:18">
      <c r="A409" s="141"/>
      <c r="B409" t="s">
        <v>877</v>
      </c>
      <c r="C409" s="140" t="s">
        <v>4895</v>
      </c>
      <c r="R409" t="s">
        <v>877</v>
      </c>
    </row>
    <row r="410" spans="1:18">
      <c r="A410" s="141"/>
      <c r="B410" t="s">
        <v>878</v>
      </c>
      <c r="C410" s="140" t="s">
        <v>4896</v>
      </c>
      <c r="R410" t="s">
        <v>878</v>
      </c>
    </row>
    <row r="411" spans="1:18">
      <c r="A411" s="141"/>
      <c r="B411" t="s">
        <v>879</v>
      </c>
      <c r="C411" s="140" t="s">
        <v>4897</v>
      </c>
      <c r="R411" t="s">
        <v>879</v>
      </c>
    </row>
    <row r="412" spans="1:18">
      <c r="A412" s="141"/>
      <c r="B412" t="s">
        <v>880</v>
      </c>
      <c r="C412" s="140" t="s">
        <v>4898</v>
      </c>
      <c r="R412" t="s">
        <v>880</v>
      </c>
    </row>
    <row r="413" spans="1:18">
      <c r="A413" s="141"/>
      <c r="B413" t="s">
        <v>881</v>
      </c>
      <c r="C413" s="140" t="s">
        <v>4899</v>
      </c>
      <c r="R413" t="s">
        <v>881</v>
      </c>
    </row>
    <row r="414" spans="1:18">
      <c r="A414" s="141"/>
      <c r="B414" t="s">
        <v>882</v>
      </c>
      <c r="C414" s="140" t="s">
        <v>4900</v>
      </c>
      <c r="R414" t="s">
        <v>882</v>
      </c>
    </row>
    <row r="415" spans="1:18">
      <c r="A415" t="s">
        <v>883</v>
      </c>
      <c r="B415" t="s">
        <v>884</v>
      </c>
      <c r="C415" s="140" t="s">
        <v>4901</v>
      </c>
      <c r="R415" t="s">
        <v>884</v>
      </c>
    </row>
    <row r="416" spans="1:18">
      <c r="A416" s="141"/>
      <c r="B416" t="s">
        <v>885</v>
      </c>
      <c r="C416" s="140" t="s">
        <v>4902</v>
      </c>
      <c r="R416" t="s">
        <v>885</v>
      </c>
    </row>
    <row r="417" spans="1:18">
      <c r="A417" s="141"/>
      <c r="B417" t="s">
        <v>856</v>
      </c>
      <c r="C417" s="140" t="s">
        <v>4903</v>
      </c>
      <c r="R417" t="s">
        <v>856</v>
      </c>
    </row>
    <row r="418" spans="1:18">
      <c r="A418" s="141"/>
      <c r="B418" t="s">
        <v>886</v>
      </c>
      <c r="C418" s="140" t="s">
        <v>4904</v>
      </c>
      <c r="R418" t="s">
        <v>886</v>
      </c>
    </row>
    <row r="419" spans="1:18">
      <c r="A419" s="141"/>
      <c r="B419" t="s">
        <v>887</v>
      </c>
      <c r="C419" s="140" t="s">
        <v>4905</v>
      </c>
      <c r="R419" t="s">
        <v>887</v>
      </c>
    </row>
    <row r="420" spans="1:18">
      <c r="A420" s="141"/>
      <c r="B420" t="s">
        <v>888</v>
      </c>
      <c r="C420" s="140" t="s">
        <v>4906</v>
      </c>
      <c r="R420" t="s">
        <v>888</v>
      </c>
    </row>
    <row r="421" spans="1:18">
      <c r="A421" s="141"/>
      <c r="B421" t="s">
        <v>889</v>
      </c>
      <c r="C421" s="140" t="s">
        <v>4907</v>
      </c>
      <c r="R421" t="s">
        <v>889</v>
      </c>
    </row>
    <row r="422" spans="1:18">
      <c r="A422" t="s">
        <v>890</v>
      </c>
      <c r="B422" t="s">
        <v>891</v>
      </c>
      <c r="C422" s="140" t="s">
        <v>4908</v>
      </c>
      <c r="R422" t="s">
        <v>891</v>
      </c>
    </row>
    <row r="423" spans="1:18">
      <c r="A423" s="141"/>
      <c r="B423" t="s">
        <v>892</v>
      </c>
      <c r="C423" s="140" t="s">
        <v>4909</v>
      </c>
      <c r="R423" t="s">
        <v>892</v>
      </c>
    </row>
    <row r="424" spans="1:18">
      <c r="A424" s="141"/>
      <c r="B424" t="s">
        <v>890</v>
      </c>
      <c r="C424" s="140" t="s">
        <v>4910</v>
      </c>
      <c r="R424" t="s">
        <v>890</v>
      </c>
    </row>
    <row r="425" spans="1:18">
      <c r="A425" t="s">
        <v>893</v>
      </c>
      <c r="B425" t="s">
        <v>894</v>
      </c>
      <c r="C425" s="140" t="s">
        <v>4911</v>
      </c>
      <c r="R425" t="s">
        <v>894</v>
      </c>
    </row>
    <row r="426" spans="1:18">
      <c r="A426" s="141"/>
      <c r="B426" t="s">
        <v>893</v>
      </c>
      <c r="C426" s="140" t="s">
        <v>4912</v>
      </c>
      <c r="R426" t="s">
        <v>893</v>
      </c>
    </row>
    <row r="427" spans="1:18">
      <c r="A427" s="141"/>
      <c r="B427" t="s">
        <v>895</v>
      </c>
      <c r="C427" s="140" t="s">
        <v>4913</v>
      </c>
      <c r="R427" t="s">
        <v>895</v>
      </c>
    </row>
    <row r="428" spans="1:18">
      <c r="A428" s="141"/>
      <c r="B428" t="s">
        <v>896</v>
      </c>
      <c r="C428" s="140" t="s">
        <v>4914</v>
      </c>
      <c r="R428" t="s">
        <v>896</v>
      </c>
    </row>
    <row r="429" spans="1:18">
      <c r="A429" s="141"/>
      <c r="B429" t="s">
        <v>897</v>
      </c>
      <c r="C429" s="140" t="s">
        <v>4915</v>
      </c>
      <c r="R429" t="s">
        <v>897</v>
      </c>
    </row>
    <row r="430" spans="1:18">
      <c r="A430" s="141"/>
      <c r="B430" t="s">
        <v>898</v>
      </c>
      <c r="C430" s="140" t="s">
        <v>4916</v>
      </c>
      <c r="R430" t="s">
        <v>898</v>
      </c>
    </row>
    <row r="431" spans="1:18">
      <c r="A431" t="s">
        <v>899</v>
      </c>
      <c r="B431" t="s">
        <v>900</v>
      </c>
      <c r="C431" s="140" t="s">
        <v>4917</v>
      </c>
      <c r="R431" t="s">
        <v>900</v>
      </c>
    </row>
    <row r="432" spans="1:18">
      <c r="A432" s="141"/>
      <c r="B432" t="s">
        <v>901</v>
      </c>
      <c r="C432" s="140" t="s">
        <v>4918</v>
      </c>
      <c r="R432" t="s">
        <v>901</v>
      </c>
    </row>
    <row r="433" spans="1:18">
      <c r="A433" s="141"/>
      <c r="B433" t="s">
        <v>902</v>
      </c>
      <c r="C433" s="140" t="s">
        <v>4919</v>
      </c>
      <c r="R433" t="s">
        <v>902</v>
      </c>
    </row>
    <row r="434" spans="1:18">
      <c r="A434" s="141"/>
      <c r="B434" t="s">
        <v>903</v>
      </c>
      <c r="C434" s="140" t="s">
        <v>4920</v>
      </c>
      <c r="R434" t="s">
        <v>903</v>
      </c>
    </row>
    <row r="435" spans="1:18">
      <c r="A435" s="141"/>
      <c r="B435" t="s">
        <v>904</v>
      </c>
      <c r="C435" s="140" t="s">
        <v>4921</v>
      </c>
      <c r="R435" t="s">
        <v>904</v>
      </c>
    </row>
    <row r="436" spans="1:18">
      <c r="A436" s="141"/>
      <c r="B436" t="s">
        <v>899</v>
      </c>
      <c r="C436" s="140" t="s">
        <v>4922</v>
      </c>
      <c r="R436" t="s">
        <v>899</v>
      </c>
    </row>
    <row r="437" spans="1:18">
      <c r="A437" t="s">
        <v>905</v>
      </c>
      <c r="B437" t="s">
        <v>906</v>
      </c>
      <c r="C437" s="140" t="s">
        <v>4923</v>
      </c>
      <c r="R437" t="s">
        <v>906</v>
      </c>
    </row>
    <row r="438" spans="1:18">
      <c r="A438" s="141"/>
      <c r="B438" t="s">
        <v>907</v>
      </c>
      <c r="C438" s="140" t="s">
        <v>4924</v>
      </c>
      <c r="R438" t="s">
        <v>907</v>
      </c>
    </row>
    <row r="439" spans="1:18">
      <c r="A439" s="141"/>
      <c r="B439" t="s">
        <v>908</v>
      </c>
      <c r="C439" s="140" t="s">
        <v>4925</v>
      </c>
      <c r="R439" t="s">
        <v>908</v>
      </c>
    </row>
    <row r="440" spans="1:18">
      <c r="A440" s="141"/>
      <c r="B440" t="s">
        <v>909</v>
      </c>
      <c r="C440" s="140" t="s">
        <v>4926</v>
      </c>
      <c r="R440" t="s">
        <v>909</v>
      </c>
    </row>
    <row r="441" spans="1:18">
      <c r="A441" s="141"/>
      <c r="B441" t="s">
        <v>905</v>
      </c>
      <c r="C441" s="140" t="s">
        <v>4927</v>
      </c>
      <c r="R441" t="s">
        <v>905</v>
      </c>
    </row>
    <row r="442" spans="1:18">
      <c r="A442" s="141"/>
      <c r="B442" t="s">
        <v>910</v>
      </c>
      <c r="C442" s="140" t="s">
        <v>4928</v>
      </c>
      <c r="R442" t="s">
        <v>910</v>
      </c>
    </row>
    <row r="443" spans="1:18">
      <c r="A443" t="s">
        <v>911</v>
      </c>
      <c r="B443" t="s">
        <v>911</v>
      </c>
      <c r="C443" s="140" t="s">
        <v>4929</v>
      </c>
      <c r="R443" t="s">
        <v>911</v>
      </c>
    </row>
    <row r="444" spans="1:18">
      <c r="A444" s="141"/>
      <c r="B444" t="s">
        <v>501</v>
      </c>
      <c r="C444" s="140" t="s">
        <v>4930</v>
      </c>
      <c r="R444" t="s">
        <v>501</v>
      </c>
    </row>
    <row r="445" spans="1:18">
      <c r="A445" s="141"/>
      <c r="B445" t="s">
        <v>912</v>
      </c>
      <c r="C445" s="140" t="s">
        <v>4931</v>
      </c>
      <c r="R445" t="s">
        <v>912</v>
      </c>
    </row>
    <row r="446" spans="1:18">
      <c r="A446" s="141"/>
      <c r="B446" t="s">
        <v>866</v>
      </c>
      <c r="C446" s="140" t="s">
        <v>4932</v>
      </c>
      <c r="R446" t="s">
        <v>866</v>
      </c>
    </row>
    <row r="447" spans="1:18">
      <c r="A447" s="141"/>
      <c r="B447" t="s">
        <v>913</v>
      </c>
      <c r="C447" s="140" t="s">
        <v>4933</v>
      </c>
      <c r="R447" t="s">
        <v>913</v>
      </c>
    </row>
    <row r="448" spans="1:18">
      <c r="A448" s="141"/>
      <c r="B448" t="s">
        <v>914</v>
      </c>
      <c r="C448" s="140" t="s">
        <v>4934</v>
      </c>
      <c r="R448" t="s">
        <v>914</v>
      </c>
    </row>
    <row r="449" spans="1:18">
      <c r="A449" s="141"/>
      <c r="B449" t="s">
        <v>915</v>
      </c>
      <c r="C449" s="140" t="s">
        <v>4935</v>
      </c>
      <c r="R449" t="s">
        <v>915</v>
      </c>
    </row>
    <row r="450" spans="1:18">
      <c r="A450" t="s">
        <v>916</v>
      </c>
      <c r="B450" t="s">
        <v>916</v>
      </c>
      <c r="C450" s="140" t="s">
        <v>4936</v>
      </c>
      <c r="R450" t="s">
        <v>916</v>
      </c>
    </row>
    <row r="451" spans="1:18">
      <c r="A451" s="141"/>
      <c r="B451" t="s">
        <v>917</v>
      </c>
      <c r="C451" s="140" t="s">
        <v>4937</v>
      </c>
      <c r="R451" t="s">
        <v>917</v>
      </c>
    </row>
    <row r="452" spans="1:18">
      <c r="A452" s="141"/>
      <c r="B452" t="s">
        <v>918</v>
      </c>
      <c r="C452" s="140" t="s">
        <v>4938</v>
      </c>
      <c r="R452" t="s">
        <v>918</v>
      </c>
    </row>
    <row r="453" spans="1:18">
      <c r="A453" s="141"/>
      <c r="B453" t="s">
        <v>919</v>
      </c>
      <c r="C453" s="140" t="s">
        <v>4939</v>
      </c>
      <c r="R453" t="s">
        <v>919</v>
      </c>
    </row>
    <row r="454" spans="1:18">
      <c r="A454" s="141"/>
      <c r="B454" t="s">
        <v>920</v>
      </c>
      <c r="C454" s="140" t="s">
        <v>4940</v>
      </c>
      <c r="R454" t="s">
        <v>920</v>
      </c>
    </row>
    <row r="455" spans="1:18">
      <c r="A455" s="141"/>
      <c r="B455" t="s">
        <v>921</v>
      </c>
      <c r="C455" s="140" t="s">
        <v>4941</v>
      </c>
      <c r="R455" t="s">
        <v>921</v>
      </c>
    </row>
    <row r="456" spans="1:18">
      <c r="A456" s="141"/>
      <c r="B456" t="s">
        <v>922</v>
      </c>
      <c r="C456" s="140" t="s">
        <v>4942</v>
      </c>
      <c r="R456" t="s">
        <v>922</v>
      </c>
    </row>
    <row r="457" spans="1:18">
      <c r="A457" s="141"/>
      <c r="B457" t="s">
        <v>923</v>
      </c>
      <c r="C457" s="140" t="s">
        <v>4943</v>
      </c>
      <c r="R457" t="s">
        <v>923</v>
      </c>
    </row>
    <row r="458" spans="1:18">
      <c r="A458" t="s">
        <v>924</v>
      </c>
      <c r="B458" t="s">
        <v>925</v>
      </c>
      <c r="C458" s="140" t="s">
        <v>4944</v>
      </c>
      <c r="R458" t="s">
        <v>925</v>
      </c>
    </row>
    <row r="459" spans="1:18">
      <c r="A459" s="141"/>
      <c r="B459" t="s">
        <v>925</v>
      </c>
      <c r="C459" s="140" t="s">
        <v>4945</v>
      </c>
      <c r="R459" t="s">
        <v>925</v>
      </c>
    </row>
    <row r="460" spans="1:18">
      <c r="A460" s="141"/>
      <c r="B460" t="s">
        <v>924</v>
      </c>
      <c r="C460" s="140" t="s">
        <v>4946</v>
      </c>
      <c r="R460" t="s">
        <v>924</v>
      </c>
    </row>
    <row r="461" spans="1:18">
      <c r="A461" s="141"/>
      <c r="B461" t="s">
        <v>926</v>
      </c>
      <c r="C461" s="140" t="s">
        <v>4947</v>
      </c>
      <c r="R461" t="s">
        <v>926</v>
      </c>
    </row>
    <row r="462" spans="1:18">
      <c r="A462" s="141"/>
      <c r="B462" t="s">
        <v>927</v>
      </c>
      <c r="C462" s="140" t="s">
        <v>4948</v>
      </c>
      <c r="R462" t="s">
        <v>927</v>
      </c>
    </row>
    <row r="463" spans="1:18">
      <c r="A463" t="s">
        <v>928</v>
      </c>
      <c r="B463" t="s">
        <v>928</v>
      </c>
      <c r="C463" s="140" t="s">
        <v>4949</v>
      </c>
      <c r="R463" t="s">
        <v>928</v>
      </c>
    </row>
    <row r="464" spans="1:18">
      <c r="A464" s="141"/>
      <c r="B464" t="s">
        <v>929</v>
      </c>
      <c r="C464" s="140" t="s">
        <v>4950</v>
      </c>
      <c r="R464" t="s">
        <v>929</v>
      </c>
    </row>
    <row r="465" spans="1:18">
      <c r="A465" s="141"/>
      <c r="B465" t="s">
        <v>930</v>
      </c>
      <c r="C465" s="140" t="s">
        <v>4951</v>
      </c>
      <c r="R465" t="s">
        <v>930</v>
      </c>
    </row>
    <row r="466" spans="1:18">
      <c r="A466" t="s">
        <v>931</v>
      </c>
      <c r="B466" t="s">
        <v>932</v>
      </c>
      <c r="C466" s="140" t="s">
        <v>4952</v>
      </c>
      <c r="R466" t="s">
        <v>932</v>
      </c>
    </row>
    <row r="467" spans="1:18">
      <c r="A467" s="141"/>
      <c r="B467" t="s">
        <v>933</v>
      </c>
      <c r="C467" s="140" t="s">
        <v>4953</v>
      </c>
      <c r="R467" t="s">
        <v>933</v>
      </c>
    </row>
    <row r="468" spans="1:18">
      <c r="A468" s="141"/>
      <c r="B468" t="s">
        <v>934</v>
      </c>
      <c r="C468" s="140" t="s">
        <v>4954</v>
      </c>
      <c r="R468" t="s">
        <v>934</v>
      </c>
    </row>
    <row r="469" spans="1:18">
      <c r="A469" s="141"/>
      <c r="B469" t="s">
        <v>935</v>
      </c>
      <c r="C469" s="140" t="s">
        <v>4955</v>
      </c>
      <c r="R469" t="s">
        <v>935</v>
      </c>
    </row>
    <row r="470" spans="1:18">
      <c r="A470" s="141"/>
      <c r="B470" t="s">
        <v>936</v>
      </c>
      <c r="C470" s="140" t="s">
        <v>4956</v>
      </c>
      <c r="R470" t="s">
        <v>936</v>
      </c>
    </row>
    <row r="471" spans="1:18">
      <c r="A471" s="141"/>
      <c r="B471" t="s">
        <v>937</v>
      </c>
      <c r="C471" s="140" t="s">
        <v>4957</v>
      </c>
      <c r="R471" t="s">
        <v>937</v>
      </c>
    </row>
    <row r="472" spans="1:18">
      <c r="A472" s="141"/>
      <c r="B472" t="s">
        <v>938</v>
      </c>
      <c r="C472" s="140" t="s">
        <v>4958</v>
      </c>
      <c r="R472" t="s">
        <v>938</v>
      </c>
    </row>
    <row r="473" spans="1:18">
      <c r="A473" t="s">
        <v>849</v>
      </c>
      <c r="B473" t="s">
        <v>939</v>
      </c>
      <c r="C473" s="140" t="s">
        <v>4959</v>
      </c>
      <c r="R473" t="s">
        <v>939</v>
      </c>
    </row>
    <row r="474" spans="1:18">
      <c r="A474" s="141"/>
      <c r="B474" t="s">
        <v>940</v>
      </c>
      <c r="C474" s="140" t="s">
        <v>4960</v>
      </c>
      <c r="R474" t="s">
        <v>940</v>
      </c>
    </row>
    <row r="475" spans="1:18">
      <c r="A475" s="141"/>
      <c r="B475" t="s">
        <v>941</v>
      </c>
      <c r="C475" s="140" t="s">
        <v>4961</v>
      </c>
      <c r="R475" t="s">
        <v>941</v>
      </c>
    </row>
    <row r="476" spans="1:18">
      <c r="A476" s="141"/>
      <c r="B476" t="s">
        <v>942</v>
      </c>
      <c r="C476" s="140" t="s">
        <v>4962</v>
      </c>
      <c r="R476" t="s">
        <v>942</v>
      </c>
    </row>
    <row r="477" spans="1:18">
      <c r="A477" s="141"/>
      <c r="B477" t="s">
        <v>943</v>
      </c>
      <c r="C477" s="140" t="s">
        <v>4963</v>
      </c>
      <c r="R477" t="s">
        <v>943</v>
      </c>
    </row>
    <row r="478" spans="1:18">
      <c r="A478" s="141"/>
      <c r="B478" t="s">
        <v>944</v>
      </c>
      <c r="C478" s="140" t="s">
        <v>4964</v>
      </c>
      <c r="R478" t="s">
        <v>944</v>
      </c>
    </row>
    <row r="479" spans="1:18">
      <c r="A479" s="141"/>
      <c r="B479" t="s">
        <v>945</v>
      </c>
      <c r="C479" s="140" t="s">
        <v>4965</v>
      </c>
      <c r="R479" t="s">
        <v>945</v>
      </c>
    </row>
    <row r="480" spans="1:18">
      <c r="A480" s="141"/>
      <c r="B480" t="s">
        <v>946</v>
      </c>
      <c r="C480" s="140" t="s">
        <v>4966</v>
      </c>
      <c r="R480" t="s">
        <v>946</v>
      </c>
    </row>
    <row r="481" spans="1:18">
      <c r="A481" s="141"/>
      <c r="B481" t="s">
        <v>947</v>
      </c>
      <c r="C481" s="140" t="s">
        <v>4967</v>
      </c>
      <c r="R481" t="s">
        <v>947</v>
      </c>
    </row>
    <row r="482" spans="1:18">
      <c r="A482" s="141"/>
      <c r="B482" t="s">
        <v>948</v>
      </c>
      <c r="C482" s="140" t="s">
        <v>4968</v>
      </c>
      <c r="R482" t="s">
        <v>948</v>
      </c>
    </row>
    <row r="483" spans="1:18">
      <c r="A483" t="s">
        <v>949</v>
      </c>
      <c r="B483" t="s">
        <v>950</v>
      </c>
      <c r="C483" s="140" t="s">
        <v>4969</v>
      </c>
      <c r="R483" t="s">
        <v>950</v>
      </c>
    </row>
    <row r="484" spans="1:18">
      <c r="A484" s="141"/>
      <c r="B484" t="s">
        <v>949</v>
      </c>
      <c r="C484" s="140" t="s">
        <v>4970</v>
      </c>
      <c r="R484" t="s">
        <v>949</v>
      </c>
    </row>
    <row r="485" spans="1:18">
      <c r="A485" s="141"/>
      <c r="B485" t="s">
        <v>951</v>
      </c>
      <c r="C485" s="140" t="s">
        <v>4971</v>
      </c>
      <c r="R485" t="s">
        <v>951</v>
      </c>
    </row>
    <row r="486" spans="1:18">
      <c r="A486" s="141"/>
      <c r="B486" t="s">
        <v>952</v>
      </c>
      <c r="C486" s="140" t="s">
        <v>4972</v>
      </c>
      <c r="R486" t="s">
        <v>952</v>
      </c>
    </row>
    <row r="487" spans="1:18">
      <c r="A487" s="141"/>
      <c r="B487" t="s">
        <v>953</v>
      </c>
      <c r="C487" s="140" t="s">
        <v>4973</v>
      </c>
      <c r="R487" t="s">
        <v>953</v>
      </c>
    </row>
    <row r="488" spans="1:18">
      <c r="A488" s="141"/>
      <c r="B488" t="s">
        <v>954</v>
      </c>
      <c r="C488" s="140" t="s">
        <v>4974</v>
      </c>
      <c r="R488" t="s">
        <v>954</v>
      </c>
    </row>
    <row r="489" spans="1:18">
      <c r="A489" s="141"/>
      <c r="B489" t="s">
        <v>852</v>
      </c>
      <c r="C489" s="140" t="s">
        <v>4975</v>
      </c>
      <c r="R489" t="s">
        <v>852</v>
      </c>
    </row>
    <row r="490" spans="1:18">
      <c r="A490" s="141"/>
      <c r="B490" t="s">
        <v>955</v>
      </c>
      <c r="C490" s="140" t="s">
        <v>4976</v>
      </c>
      <c r="R490" t="s">
        <v>955</v>
      </c>
    </row>
    <row r="491" spans="1:18">
      <c r="A491" t="s">
        <v>956</v>
      </c>
      <c r="B491" t="s">
        <v>957</v>
      </c>
      <c r="C491" s="140" t="s">
        <v>4977</v>
      </c>
      <c r="R491" t="s">
        <v>957</v>
      </c>
    </row>
    <row r="492" spans="1:18">
      <c r="A492" s="141"/>
      <c r="B492" t="s">
        <v>956</v>
      </c>
      <c r="C492" s="140" t="s">
        <v>4978</v>
      </c>
      <c r="R492" t="s">
        <v>956</v>
      </c>
    </row>
    <row r="493" spans="1:18">
      <c r="A493" s="141"/>
      <c r="B493" t="s">
        <v>958</v>
      </c>
      <c r="C493" s="140" t="s">
        <v>4979</v>
      </c>
      <c r="R493" t="s">
        <v>958</v>
      </c>
    </row>
    <row r="494" spans="1:18">
      <c r="A494" s="141"/>
      <c r="B494" t="s">
        <v>959</v>
      </c>
      <c r="C494" s="140" t="s">
        <v>4980</v>
      </c>
      <c r="R494" t="s">
        <v>959</v>
      </c>
    </row>
    <row r="495" spans="1:18">
      <c r="A495" t="s">
        <v>477</v>
      </c>
      <c r="B495" t="s">
        <v>960</v>
      </c>
      <c r="C495" s="140" t="s">
        <v>4981</v>
      </c>
      <c r="R495" t="s">
        <v>960</v>
      </c>
    </row>
    <row r="496" spans="1:18">
      <c r="A496" s="141"/>
      <c r="B496" t="s">
        <v>961</v>
      </c>
      <c r="C496" s="140" t="s">
        <v>4982</v>
      </c>
      <c r="R496" t="s">
        <v>961</v>
      </c>
    </row>
    <row r="497" spans="1:18">
      <c r="A497" t="s">
        <v>962</v>
      </c>
      <c r="B497" t="s">
        <v>963</v>
      </c>
      <c r="C497" s="140" t="s">
        <v>4983</v>
      </c>
      <c r="R497" t="s">
        <v>963</v>
      </c>
    </row>
    <row r="498" spans="1:18">
      <c r="A498" s="141"/>
      <c r="B498" t="s">
        <v>964</v>
      </c>
      <c r="C498" s="140" t="s">
        <v>4984</v>
      </c>
      <c r="R498" t="s">
        <v>964</v>
      </c>
    </row>
    <row r="499" spans="1:18">
      <c r="A499" s="141"/>
      <c r="B499" t="s">
        <v>965</v>
      </c>
      <c r="C499" s="140" t="s">
        <v>4985</v>
      </c>
      <c r="R499" t="s">
        <v>965</v>
      </c>
    </row>
    <row r="500" spans="1:18">
      <c r="A500" s="141"/>
      <c r="B500" t="s">
        <v>966</v>
      </c>
      <c r="C500" s="140" t="s">
        <v>4986</v>
      </c>
      <c r="R500" t="s">
        <v>966</v>
      </c>
    </row>
    <row r="501" spans="1:18">
      <c r="A501" s="141"/>
      <c r="B501" t="s">
        <v>571</v>
      </c>
      <c r="C501" s="140" t="s">
        <v>4987</v>
      </c>
      <c r="R501" t="s">
        <v>571</v>
      </c>
    </row>
    <row r="502" spans="1:18">
      <c r="A502" s="141"/>
      <c r="B502" t="s">
        <v>962</v>
      </c>
      <c r="C502" s="140" t="s">
        <v>4988</v>
      </c>
      <c r="R502" t="s">
        <v>962</v>
      </c>
    </row>
    <row r="503" spans="1:18">
      <c r="A503" s="141"/>
      <c r="B503" t="s">
        <v>967</v>
      </c>
      <c r="C503" s="140" t="s">
        <v>4989</v>
      </c>
      <c r="R503" t="s">
        <v>967</v>
      </c>
    </row>
    <row r="504" spans="1:18">
      <c r="A504" t="s">
        <v>968</v>
      </c>
      <c r="B504" t="s">
        <v>969</v>
      </c>
      <c r="C504" s="140" t="s">
        <v>4990</v>
      </c>
      <c r="R504" t="s">
        <v>969</v>
      </c>
    </row>
    <row r="505" spans="1:18">
      <c r="A505" s="141"/>
      <c r="B505" t="s">
        <v>970</v>
      </c>
      <c r="C505" s="140" t="s">
        <v>4991</v>
      </c>
      <c r="R505" t="s">
        <v>970</v>
      </c>
    </row>
    <row r="506" spans="1:18">
      <c r="A506" s="141"/>
      <c r="B506" t="s">
        <v>968</v>
      </c>
      <c r="C506" s="140" t="s">
        <v>4992</v>
      </c>
      <c r="R506" t="s">
        <v>968</v>
      </c>
    </row>
    <row r="507" spans="1:18">
      <c r="A507" s="141"/>
      <c r="B507" t="s">
        <v>971</v>
      </c>
      <c r="C507" s="140" t="s">
        <v>4993</v>
      </c>
      <c r="R507" t="s">
        <v>971</v>
      </c>
    </row>
    <row r="508" spans="1:18">
      <c r="A508" s="141"/>
      <c r="B508" t="s">
        <v>972</v>
      </c>
      <c r="C508" s="140" t="s">
        <v>4994</v>
      </c>
      <c r="R508" t="s">
        <v>972</v>
      </c>
    </row>
    <row r="509" spans="1:18">
      <c r="A509" s="141"/>
      <c r="B509" t="s">
        <v>973</v>
      </c>
      <c r="C509" s="140" t="s">
        <v>4995</v>
      </c>
      <c r="R509" t="s">
        <v>973</v>
      </c>
    </row>
    <row r="510" spans="1:18">
      <c r="A510" s="141"/>
      <c r="B510" t="s">
        <v>974</v>
      </c>
      <c r="C510" s="140" t="s">
        <v>4996</v>
      </c>
      <c r="R510" t="s">
        <v>974</v>
      </c>
    </row>
    <row r="511" spans="1:18">
      <c r="A511" s="141"/>
      <c r="B511" t="s">
        <v>975</v>
      </c>
      <c r="C511" s="140" t="s">
        <v>4997</v>
      </c>
      <c r="R511" t="s">
        <v>975</v>
      </c>
    </row>
    <row r="512" spans="1:18">
      <c r="A512" s="141"/>
      <c r="B512" t="s">
        <v>976</v>
      </c>
      <c r="C512" s="140" t="s">
        <v>4998</v>
      </c>
      <c r="R512" t="s">
        <v>976</v>
      </c>
    </row>
    <row r="513" spans="1:18">
      <c r="A513" s="141"/>
      <c r="B513" t="s">
        <v>977</v>
      </c>
      <c r="C513" s="140" t="s">
        <v>4999</v>
      </c>
      <c r="R513" t="s">
        <v>977</v>
      </c>
    </row>
    <row r="514" spans="1:18">
      <c r="A514" t="s">
        <v>978</v>
      </c>
      <c r="B514" t="s">
        <v>979</v>
      </c>
      <c r="C514" s="140" t="s">
        <v>5000</v>
      </c>
      <c r="R514" t="s">
        <v>979</v>
      </c>
    </row>
    <row r="515" spans="1:18">
      <c r="A515" s="141"/>
      <c r="B515" t="s">
        <v>978</v>
      </c>
      <c r="C515" s="140" t="s">
        <v>5001</v>
      </c>
      <c r="R515" t="s">
        <v>978</v>
      </c>
    </row>
    <row r="516" spans="1:18">
      <c r="A516" s="141"/>
      <c r="B516" t="s">
        <v>980</v>
      </c>
      <c r="C516" s="140" t="s">
        <v>5002</v>
      </c>
      <c r="R516" t="s">
        <v>980</v>
      </c>
    </row>
    <row r="517" spans="1:18">
      <c r="A517" s="141"/>
      <c r="B517" t="s">
        <v>981</v>
      </c>
      <c r="C517" s="140" t="s">
        <v>5003</v>
      </c>
      <c r="R517" t="s">
        <v>981</v>
      </c>
    </row>
    <row r="518" spans="1:18">
      <c r="A518" s="141"/>
      <c r="B518" t="s">
        <v>982</v>
      </c>
      <c r="C518" s="140" t="s">
        <v>5004</v>
      </c>
      <c r="R518" t="s">
        <v>982</v>
      </c>
    </row>
    <row r="519" spans="1:18">
      <c r="A519" s="141"/>
      <c r="B519" t="s">
        <v>983</v>
      </c>
      <c r="C519" s="140" t="s">
        <v>5005</v>
      </c>
      <c r="R519" t="s">
        <v>983</v>
      </c>
    </row>
    <row r="520" spans="1:18">
      <c r="A520" s="141"/>
      <c r="B520" t="s">
        <v>984</v>
      </c>
      <c r="C520" s="140" t="s">
        <v>5006</v>
      </c>
      <c r="R520" t="s">
        <v>984</v>
      </c>
    </row>
    <row r="521" spans="1:18">
      <c r="A521" s="141"/>
      <c r="B521" t="s">
        <v>985</v>
      </c>
      <c r="C521" s="140" t="s">
        <v>5007</v>
      </c>
      <c r="R521" t="s">
        <v>985</v>
      </c>
    </row>
    <row r="522" spans="1:18">
      <c r="A522" t="s">
        <v>986</v>
      </c>
      <c r="B522" t="s">
        <v>987</v>
      </c>
      <c r="C522" s="140" t="s">
        <v>5008</v>
      </c>
      <c r="R522" t="s">
        <v>987</v>
      </c>
    </row>
    <row r="523" spans="1:18">
      <c r="A523" s="141"/>
      <c r="B523" t="s">
        <v>986</v>
      </c>
      <c r="C523" s="140" t="s">
        <v>5009</v>
      </c>
      <c r="R523" t="s">
        <v>986</v>
      </c>
    </row>
    <row r="524" spans="1:18">
      <c r="A524" t="s">
        <v>753</v>
      </c>
      <c r="B524" t="s">
        <v>988</v>
      </c>
      <c r="C524" s="140" t="s">
        <v>5010</v>
      </c>
      <c r="R524" t="s">
        <v>988</v>
      </c>
    </row>
    <row r="525" spans="1:18">
      <c r="A525" t="s">
        <v>989</v>
      </c>
      <c r="B525" t="s">
        <v>990</v>
      </c>
      <c r="C525" s="140" t="s">
        <v>5011</v>
      </c>
      <c r="R525" t="s">
        <v>990</v>
      </c>
    </row>
    <row r="526" spans="1:18">
      <c r="A526" s="141"/>
      <c r="B526" t="s">
        <v>991</v>
      </c>
      <c r="C526" s="140" t="s">
        <v>5012</v>
      </c>
      <c r="R526" t="s">
        <v>991</v>
      </c>
    </row>
    <row r="527" spans="1:18">
      <c r="A527" s="141"/>
      <c r="B527" t="s">
        <v>992</v>
      </c>
      <c r="C527" s="140" t="s">
        <v>5013</v>
      </c>
      <c r="R527" t="s">
        <v>992</v>
      </c>
    </row>
    <row r="528" spans="1:18">
      <c r="A528" s="141"/>
      <c r="B528" t="s">
        <v>993</v>
      </c>
      <c r="C528" s="140" t="s">
        <v>5014</v>
      </c>
      <c r="R528" t="s">
        <v>993</v>
      </c>
    </row>
    <row r="529" spans="1:18">
      <c r="A529" s="141"/>
      <c r="B529" t="s">
        <v>994</v>
      </c>
      <c r="C529" s="140" t="s">
        <v>5015</v>
      </c>
      <c r="R529" t="s">
        <v>994</v>
      </c>
    </row>
    <row r="530" spans="1:18">
      <c r="A530" s="141"/>
      <c r="B530" t="s">
        <v>995</v>
      </c>
      <c r="C530" s="140" t="s">
        <v>5016</v>
      </c>
      <c r="R530" t="s">
        <v>995</v>
      </c>
    </row>
    <row r="531" spans="1:18">
      <c r="A531" s="141"/>
      <c r="B531" t="s">
        <v>996</v>
      </c>
      <c r="C531" s="140" t="s">
        <v>5017</v>
      </c>
      <c r="R531" t="s">
        <v>996</v>
      </c>
    </row>
    <row r="532" spans="1:18">
      <c r="A532" s="141"/>
      <c r="B532" t="s">
        <v>989</v>
      </c>
      <c r="C532" s="140" t="s">
        <v>5018</v>
      </c>
      <c r="R532" t="s">
        <v>989</v>
      </c>
    </row>
    <row r="533" spans="1:18">
      <c r="A533" s="141"/>
      <c r="B533" t="s">
        <v>997</v>
      </c>
      <c r="C533" s="140" t="s">
        <v>5019</v>
      </c>
      <c r="R533" t="s">
        <v>997</v>
      </c>
    </row>
    <row r="534" spans="1:18">
      <c r="A534" s="141"/>
      <c r="B534" t="s">
        <v>998</v>
      </c>
      <c r="C534" s="140" t="s">
        <v>5020</v>
      </c>
      <c r="R534" t="s">
        <v>998</v>
      </c>
    </row>
    <row r="535" spans="1:18">
      <c r="A535" s="141"/>
      <c r="B535" t="s">
        <v>999</v>
      </c>
      <c r="C535" s="140" t="s">
        <v>5021</v>
      </c>
      <c r="R535" t="s">
        <v>999</v>
      </c>
    </row>
    <row r="536" spans="1:18">
      <c r="A536" s="141"/>
      <c r="B536" t="s">
        <v>1000</v>
      </c>
      <c r="C536" s="140" t="s">
        <v>5022</v>
      </c>
      <c r="R536" t="s">
        <v>1000</v>
      </c>
    </row>
    <row r="537" spans="1:18">
      <c r="A537" s="141"/>
      <c r="B537" t="s">
        <v>1000</v>
      </c>
      <c r="C537" s="140" t="s">
        <v>5023</v>
      </c>
      <c r="R537" t="s">
        <v>1000</v>
      </c>
    </row>
    <row r="538" spans="1:18">
      <c r="A538" s="141"/>
      <c r="B538" t="s">
        <v>1001</v>
      </c>
      <c r="C538" s="140" t="s">
        <v>5024</v>
      </c>
      <c r="R538" t="s">
        <v>1001</v>
      </c>
    </row>
    <row r="539" spans="1:18">
      <c r="A539" t="s">
        <v>1002</v>
      </c>
      <c r="B539" t="s">
        <v>1003</v>
      </c>
      <c r="C539" s="140" t="s">
        <v>5025</v>
      </c>
      <c r="R539" t="s">
        <v>1003</v>
      </c>
    </row>
    <row r="540" spans="1:18">
      <c r="A540" s="141"/>
      <c r="B540" t="s">
        <v>1004</v>
      </c>
      <c r="C540" s="140" t="s">
        <v>5026</v>
      </c>
      <c r="R540" t="s">
        <v>1004</v>
      </c>
    </row>
    <row r="541" spans="1:18">
      <c r="A541" s="141"/>
      <c r="B541" t="s">
        <v>1005</v>
      </c>
      <c r="C541" s="140" t="s">
        <v>5027</v>
      </c>
      <c r="R541" t="s">
        <v>1005</v>
      </c>
    </row>
    <row r="542" spans="1:18">
      <c r="A542" s="141"/>
      <c r="B542" t="s">
        <v>1006</v>
      </c>
      <c r="C542" s="140" t="s">
        <v>5028</v>
      </c>
      <c r="R542" t="s">
        <v>1006</v>
      </c>
    </row>
    <row r="543" spans="1:18">
      <c r="A543" t="s">
        <v>1007</v>
      </c>
      <c r="B543" t="s">
        <v>1008</v>
      </c>
      <c r="C543" s="140" t="s">
        <v>5029</v>
      </c>
      <c r="R543" t="s">
        <v>1008</v>
      </c>
    </row>
    <row r="544" spans="1:18">
      <c r="A544" s="141"/>
      <c r="B544" t="s">
        <v>1009</v>
      </c>
      <c r="C544" s="140" t="s">
        <v>5030</v>
      </c>
      <c r="R544" t="s">
        <v>1009</v>
      </c>
    </row>
    <row r="545" spans="1:18">
      <c r="A545" s="141"/>
      <c r="B545" t="s">
        <v>1010</v>
      </c>
      <c r="C545" s="140" t="s">
        <v>5031</v>
      </c>
      <c r="R545" t="s">
        <v>1010</v>
      </c>
    </row>
    <row r="546" spans="1:18">
      <c r="A546" s="141"/>
      <c r="B546" t="s">
        <v>1011</v>
      </c>
      <c r="C546" s="140" t="s">
        <v>5032</v>
      </c>
      <c r="R546" t="s">
        <v>1011</v>
      </c>
    </row>
    <row r="547" spans="1:18">
      <c r="A547" t="s">
        <v>1012</v>
      </c>
      <c r="B547" t="s">
        <v>1012</v>
      </c>
      <c r="C547" s="140" t="s">
        <v>5033</v>
      </c>
      <c r="R547" t="s">
        <v>1012</v>
      </c>
    </row>
    <row r="548" spans="1:18">
      <c r="A548" s="141"/>
      <c r="B548" t="s">
        <v>1013</v>
      </c>
      <c r="C548" s="140" t="s">
        <v>5034</v>
      </c>
      <c r="R548" t="s">
        <v>1013</v>
      </c>
    </row>
    <row r="549" spans="1:18">
      <c r="A549" s="141"/>
      <c r="B549" t="s">
        <v>1014</v>
      </c>
      <c r="C549" s="140" t="s">
        <v>5035</v>
      </c>
      <c r="R549" t="s">
        <v>1014</v>
      </c>
    </row>
    <row r="550" spans="1:18">
      <c r="A550" t="s">
        <v>1015</v>
      </c>
      <c r="B550" t="s">
        <v>1016</v>
      </c>
      <c r="C550" s="140" t="s">
        <v>5036</v>
      </c>
      <c r="R550" t="s">
        <v>1016</v>
      </c>
    </row>
    <row r="551" spans="1:18">
      <c r="A551" s="141"/>
      <c r="B551" t="s">
        <v>1015</v>
      </c>
      <c r="C551" s="140" t="s">
        <v>5037</v>
      </c>
      <c r="R551" t="s">
        <v>1015</v>
      </c>
    </row>
    <row r="552" spans="1:18">
      <c r="A552" s="141"/>
      <c r="B552" t="s">
        <v>1017</v>
      </c>
      <c r="C552" s="140" t="s">
        <v>5038</v>
      </c>
      <c r="R552" t="s">
        <v>1017</v>
      </c>
    </row>
    <row r="553" spans="1:18">
      <c r="A553" t="s">
        <v>1018</v>
      </c>
      <c r="B553" t="s">
        <v>1019</v>
      </c>
      <c r="C553" s="140" t="s">
        <v>5039</v>
      </c>
      <c r="R553" t="s">
        <v>1019</v>
      </c>
    </row>
    <row r="554" spans="1:18">
      <c r="A554" s="141"/>
      <c r="B554" t="s">
        <v>1020</v>
      </c>
      <c r="C554" s="140" t="s">
        <v>5040</v>
      </c>
      <c r="R554" t="s">
        <v>1020</v>
      </c>
    </row>
    <row r="555" spans="1:18">
      <c r="A555" s="141"/>
      <c r="B555" t="s">
        <v>1021</v>
      </c>
      <c r="C555" s="140" t="s">
        <v>5041</v>
      </c>
      <c r="R555" t="s">
        <v>1021</v>
      </c>
    </row>
    <row r="556" spans="1:18">
      <c r="A556" s="141"/>
      <c r="B556" t="s">
        <v>1022</v>
      </c>
      <c r="C556" s="140" t="s">
        <v>5042</v>
      </c>
      <c r="R556" t="s">
        <v>1022</v>
      </c>
    </row>
    <row r="557" spans="1:18">
      <c r="A557" s="141"/>
      <c r="B557" t="s">
        <v>1023</v>
      </c>
      <c r="C557" s="140" t="s">
        <v>5043</v>
      </c>
      <c r="R557" t="s">
        <v>1023</v>
      </c>
    </row>
    <row r="558" spans="1:18">
      <c r="A558" s="141"/>
      <c r="B558" t="s">
        <v>1024</v>
      </c>
      <c r="C558" s="140" t="s">
        <v>5044</v>
      </c>
      <c r="R558" t="s">
        <v>1024</v>
      </c>
    </row>
    <row r="559" spans="1:18">
      <c r="A559" s="141"/>
      <c r="B559" t="s">
        <v>1025</v>
      </c>
      <c r="C559" s="140" t="s">
        <v>5045</v>
      </c>
      <c r="R559" t="s">
        <v>1025</v>
      </c>
    </row>
    <row r="560" spans="1:18">
      <c r="A560" s="141"/>
      <c r="B560" t="s">
        <v>560</v>
      </c>
      <c r="C560" s="140" t="s">
        <v>5046</v>
      </c>
      <c r="R560" t="s">
        <v>560</v>
      </c>
    </row>
    <row r="561" spans="1:18">
      <c r="A561" s="141"/>
      <c r="B561" t="s">
        <v>1018</v>
      </c>
      <c r="C561" s="140" t="s">
        <v>5047</v>
      </c>
      <c r="R561" t="s">
        <v>1018</v>
      </c>
    </row>
    <row r="562" spans="1:18">
      <c r="A562" s="141"/>
      <c r="B562" t="s">
        <v>1026</v>
      </c>
      <c r="C562" s="140" t="s">
        <v>5048</v>
      </c>
      <c r="R562" t="s">
        <v>1026</v>
      </c>
    </row>
    <row r="563" spans="1:18">
      <c r="A563" s="141"/>
      <c r="B563" t="s">
        <v>1027</v>
      </c>
      <c r="C563" s="140" t="s">
        <v>5049</v>
      </c>
      <c r="R563" t="s">
        <v>1027</v>
      </c>
    </row>
    <row r="564" spans="1:18">
      <c r="A564" s="141"/>
      <c r="B564" t="s">
        <v>1028</v>
      </c>
      <c r="C564" s="140" t="s">
        <v>5050</v>
      </c>
      <c r="R564" t="s">
        <v>1028</v>
      </c>
    </row>
    <row r="565" spans="1:18">
      <c r="A565" s="141"/>
      <c r="B565" t="s">
        <v>1029</v>
      </c>
      <c r="C565" s="140" t="s">
        <v>5051</v>
      </c>
      <c r="R565" t="s">
        <v>1029</v>
      </c>
    </row>
    <row r="566" spans="1:18">
      <c r="A566" s="141"/>
      <c r="B566" t="s">
        <v>1030</v>
      </c>
      <c r="C566" s="140" t="s">
        <v>5052</v>
      </c>
      <c r="R566" t="s">
        <v>1030</v>
      </c>
    </row>
    <row r="567" spans="1:18">
      <c r="A567" s="141"/>
      <c r="B567" t="s">
        <v>1031</v>
      </c>
      <c r="C567" s="140" t="s">
        <v>5053</v>
      </c>
      <c r="R567" t="s">
        <v>1031</v>
      </c>
    </row>
    <row r="568" spans="1:18">
      <c r="A568" s="141"/>
      <c r="B568" t="s">
        <v>753</v>
      </c>
      <c r="C568" s="140" t="s">
        <v>5054</v>
      </c>
      <c r="R568" t="s">
        <v>753</v>
      </c>
    </row>
    <row r="569" spans="1:18">
      <c r="A569" t="s">
        <v>1032</v>
      </c>
      <c r="B569" t="s">
        <v>1033</v>
      </c>
      <c r="C569" s="140" t="s">
        <v>5055</v>
      </c>
      <c r="R569" t="s">
        <v>1033</v>
      </c>
    </row>
    <row r="570" spans="1:18">
      <c r="A570" s="141"/>
      <c r="B570" t="s">
        <v>1034</v>
      </c>
      <c r="C570" s="140" t="s">
        <v>5056</v>
      </c>
      <c r="R570" t="s">
        <v>1034</v>
      </c>
    </row>
    <row r="571" spans="1:18">
      <c r="A571" s="141"/>
      <c r="B571" t="s">
        <v>1035</v>
      </c>
      <c r="C571" s="140" t="s">
        <v>5057</v>
      </c>
      <c r="R571" t="s">
        <v>1035</v>
      </c>
    </row>
    <row r="572" spans="1:18">
      <c r="A572" s="141"/>
      <c r="B572" t="s">
        <v>1032</v>
      </c>
      <c r="C572" s="140" t="s">
        <v>5058</v>
      </c>
      <c r="R572" t="s">
        <v>1032</v>
      </c>
    </row>
    <row r="573" spans="1:18">
      <c r="A573" s="141"/>
      <c r="B573" t="s">
        <v>1036</v>
      </c>
      <c r="C573" s="140" t="s">
        <v>5059</v>
      </c>
      <c r="R573" t="s">
        <v>1036</v>
      </c>
    </row>
    <row r="574" spans="1:18">
      <c r="A574" s="141"/>
      <c r="B574" t="s">
        <v>1037</v>
      </c>
      <c r="C574" s="140" t="s">
        <v>5060</v>
      </c>
      <c r="R574" t="s">
        <v>1037</v>
      </c>
    </row>
    <row r="575" spans="1:18">
      <c r="A575" t="s">
        <v>1038</v>
      </c>
      <c r="B575" t="s">
        <v>1039</v>
      </c>
      <c r="C575" s="140" t="s">
        <v>5061</v>
      </c>
      <c r="R575" t="s">
        <v>1039</v>
      </c>
    </row>
    <row r="576" spans="1:18">
      <c r="A576" s="140"/>
      <c r="B576" t="s">
        <v>1040</v>
      </c>
      <c r="C576" s="140" t="s">
        <v>5062</v>
      </c>
      <c r="R576" t="s">
        <v>1040</v>
      </c>
    </row>
    <row r="577" spans="1:18">
      <c r="A577" s="140"/>
      <c r="B577" t="s">
        <v>1041</v>
      </c>
      <c r="C577" s="140" t="s">
        <v>5063</v>
      </c>
      <c r="R577" t="s">
        <v>1041</v>
      </c>
    </row>
    <row r="578" spans="1:18">
      <c r="A578" s="140"/>
      <c r="B578" t="s">
        <v>1042</v>
      </c>
      <c r="C578" s="140" t="s">
        <v>5064</v>
      </c>
      <c r="R578" t="s">
        <v>1042</v>
      </c>
    </row>
    <row r="579" spans="1:18">
      <c r="A579" s="140"/>
      <c r="B579" t="s">
        <v>1043</v>
      </c>
      <c r="C579" s="140" t="s">
        <v>5065</v>
      </c>
      <c r="R579" t="s">
        <v>1043</v>
      </c>
    </row>
    <row r="580" spans="1:18">
      <c r="A580" s="140"/>
      <c r="B580" t="s">
        <v>1044</v>
      </c>
      <c r="C580" s="140" t="s">
        <v>5066</v>
      </c>
      <c r="R580" t="s">
        <v>1044</v>
      </c>
    </row>
    <row r="581" spans="1:18">
      <c r="A581" s="140"/>
      <c r="B581" t="s">
        <v>1045</v>
      </c>
      <c r="C581" s="140" t="s">
        <v>5067</v>
      </c>
      <c r="R581" t="s">
        <v>1045</v>
      </c>
    </row>
    <row r="582" spans="1:18">
      <c r="A582" s="140"/>
      <c r="B582" t="s">
        <v>1046</v>
      </c>
      <c r="C582" s="140" t="s">
        <v>5068</v>
      </c>
      <c r="R582" t="s">
        <v>1046</v>
      </c>
    </row>
    <row r="583" spans="1:18">
      <c r="A583" s="140"/>
      <c r="B583" t="s">
        <v>1047</v>
      </c>
      <c r="C583" s="140" t="s">
        <v>5069</v>
      </c>
      <c r="R583" t="s">
        <v>1047</v>
      </c>
    </row>
  </sheetData>
  <hyperlinks>
    <hyperlink ref="C11" r:id="rId1" display="https://www.accuweather.com/vi/vn/nam-bon/354285/"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dimension ref="A1:Q124"/>
  <sheetViews>
    <sheetView defaultGridColor="0" colorId="22" zoomScaleNormal="100" workbookViewId="0">
      <pane xSplit="14" ySplit="5" topLeftCell="O18" activePane="bottomRight" state="frozen"/>
      <selection pane="topRight" activeCell="O1" sqref="O1"/>
      <selection pane="bottomLeft" activeCell="A6" sqref="A6"/>
      <selection pane="bottomRight" activeCell="H20" sqref="H20"/>
    </sheetView>
  </sheetViews>
  <sheetFormatPr defaultRowHeight="18.75"/>
  <cols>
    <col min="1" max="1" width="4.109375" style="514" customWidth="1"/>
    <col min="2" max="2" width="5" style="514" customWidth="1"/>
    <col min="3" max="3" width="8.77734375" style="514" customWidth="1"/>
    <col min="4" max="4" width="25.6640625" style="437" customWidth="1"/>
    <col min="5" max="5" width="19.44140625" style="515" customWidth="1"/>
    <col min="6" max="6" width="8.77734375" style="516" customWidth="1"/>
    <col min="7" max="7" width="8.33203125" style="516" customWidth="1"/>
    <col min="8" max="8" width="5.33203125" style="517" customWidth="1"/>
    <col min="9" max="9" width="7.88671875" style="518" customWidth="1"/>
    <col min="10" max="10" width="8.109375" style="519" customWidth="1"/>
    <col min="11" max="11" width="10.33203125" style="519" customWidth="1"/>
    <col min="12" max="12" width="8.109375" style="520" customWidth="1"/>
    <col min="13" max="13" width="13.5546875" style="521" customWidth="1"/>
    <col min="14" max="14" width="13.109375" style="532" customWidth="1"/>
    <col min="15" max="15" width="7.77734375" style="522" bestFit="1" customWidth="1"/>
    <col min="16" max="17" width="7.44140625" style="522" bestFit="1" customWidth="1"/>
    <col min="18" max="16383" width="8.88671875" style="523"/>
    <col min="16384" max="16384" width="8.77734375" style="523" customWidth="1"/>
  </cols>
  <sheetData>
    <row r="1" spans="1:17" s="437" customFormat="1">
      <c r="A1" s="1429" t="s">
        <v>27</v>
      </c>
      <c r="B1" s="1429"/>
      <c r="C1" s="1429"/>
      <c r="D1" s="1430"/>
      <c r="E1" s="1428" t="str">
        <f>"     "&amp;IF(NDtieude1&lt;&gt;"",Tieude1&amp;": "&amp;NDtieude1,Tieude2&amp;": "&amp;NDtieude2)</f>
        <v xml:space="preserve">     Công trình: Gia cố nâng cấp kênh Bà Xoài từ K0+300÷K0+600 - Hệ thống thủy lợi Nha Trinh, huyện Ninh Hải, tỉnh Ninh Thuận</v>
      </c>
      <c r="F1" s="1428"/>
      <c r="G1" s="1428"/>
      <c r="H1" s="1428"/>
      <c r="I1" s="1428"/>
      <c r="J1" s="1428"/>
      <c r="K1" s="1428"/>
      <c r="L1" s="1428"/>
      <c r="M1" s="1428"/>
      <c r="N1" s="1428"/>
      <c r="O1" s="436"/>
      <c r="P1" s="436"/>
      <c r="Q1" s="436"/>
    </row>
    <row r="2" spans="1:17" s="437" customFormat="1">
      <c r="A2" s="1431"/>
      <c r="B2" s="1431"/>
      <c r="C2" s="1431"/>
      <c r="D2" s="1432"/>
      <c r="E2" s="1428" t="str">
        <f>"     Địa điểm XD: "&amp;DDXD</f>
        <v xml:space="preserve">     Địa điểm XD: Huyện Ninh Hải - Tỉnh Ninh Thuận</v>
      </c>
      <c r="F2" s="1428"/>
      <c r="G2" s="1428"/>
      <c r="H2" s="1428"/>
      <c r="I2" s="1428"/>
      <c r="J2" s="1428"/>
      <c r="K2" s="1428"/>
      <c r="L2" s="1428"/>
      <c r="M2" s="1428"/>
      <c r="N2" s="1428"/>
      <c r="O2" s="436"/>
      <c r="P2" s="436"/>
      <c r="Q2" s="436"/>
    </row>
    <row r="3" spans="1:17" s="437" customFormat="1">
      <c r="A3" s="438"/>
      <c r="B3" s="438"/>
      <c r="C3" s="1434">
        <f>Ngaykhoicong</f>
        <v>43953</v>
      </c>
      <c r="D3" s="1434"/>
      <c r="E3" s="439"/>
      <c r="F3" s="1433" t="s">
        <v>28</v>
      </c>
      <c r="G3" s="1433"/>
      <c r="H3" s="1433"/>
      <c r="I3" s="440"/>
      <c r="J3" s="1436" t="str">
        <f>"Số biên bản nhiều nhất trong 1 ngày: "</f>
        <v xml:space="preserve">Số biên bản nhiều nhất trong 1 ngày: </v>
      </c>
      <c r="K3" s="1436"/>
      <c r="L3" s="1436"/>
      <c r="M3" s="1436"/>
      <c r="N3" s="439"/>
      <c r="O3" s="436"/>
      <c r="P3" s="436"/>
      <c r="Q3" s="436"/>
    </row>
    <row r="4" spans="1:17" s="437" customFormat="1">
      <c r="A4" s="441"/>
      <c r="B4" s="441"/>
      <c r="C4" s="1435">
        <f>MAX(K6:K120)</f>
        <v>43989</v>
      </c>
      <c r="D4" s="1435"/>
      <c r="E4" s="442"/>
      <c r="F4" s="1427">
        <f>(C4-C3+1)</f>
        <v>37</v>
      </c>
      <c r="G4" s="1427"/>
      <c r="H4" s="1427"/>
      <c r="I4" s="443"/>
      <c r="J4" s="1437" t="str">
        <f>MAX(Q6:Q120)&amp;" biên bản"</f>
        <v>4 biên bản</v>
      </c>
      <c r="K4" s="1437"/>
      <c r="L4" s="1437"/>
      <c r="M4" s="1437"/>
      <c r="N4" s="442"/>
      <c r="O4" s="436"/>
      <c r="P4" s="436"/>
      <c r="Q4" s="436"/>
    </row>
    <row r="5" spans="1:17" s="437" customFormat="1" ht="45">
      <c r="A5" s="1219" t="s">
        <v>21</v>
      </c>
      <c r="B5" s="1219" t="s">
        <v>449</v>
      </c>
      <c r="C5" s="1219" t="s">
        <v>29</v>
      </c>
      <c r="D5" s="1219" t="s">
        <v>23</v>
      </c>
      <c r="E5" s="1219" t="s">
        <v>30</v>
      </c>
      <c r="F5" s="1220" t="s">
        <v>164</v>
      </c>
      <c r="G5" s="1220" t="s">
        <v>165</v>
      </c>
      <c r="H5" s="1219" t="s">
        <v>4260</v>
      </c>
      <c r="I5" s="1220" t="s">
        <v>1061</v>
      </c>
      <c r="J5" s="1220" t="s">
        <v>4240</v>
      </c>
      <c r="K5" s="1220" t="s">
        <v>4241</v>
      </c>
      <c r="L5" s="1219" t="s">
        <v>4261</v>
      </c>
      <c r="M5" s="1219" t="s">
        <v>146</v>
      </c>
      <c r="N5" s="1219" t="s">
        <v>26</v>
      </c>
      <c r="O5" s="444" t="s">
        <v>176</v>
      </c>
      <c r="P5" s="444" t="s">
        <v>1076</v>
      </c>
      <c r="Q5" s="444" t="s">
        <v>177</v>
      </c>
    </row>
    <row r="6" spans="1:17" s="437" customFormat="1">
      <c r="A6" s="445"/>
      <c r="B6" s="445"/>
      <c r="C6" s="445"/>
      <c r="D6" s="446" t="s">
        <v>63</v>
      </c>
      <c r="E6" s="445"/>
      <c r="F6" s="447"/>
      <c r="G6" s="447"/>
      <c r="H6" s="448"/>
      <c r="I6" s="449"/>
      <c r="J6" s="450"/>
      <c r="K6" s="449"/>
      <c r="L6" s="451"/>
      <c r="M6" s="452"/>
      <c r="N6" s="524"/>
      <c r="O6" s="436"/>
      <c r="P6" s="436"/>
      <c r="Q6" s="436"/>
    </row>
    <row r="7" spans="1:17" s="462" customFormat="1">
      <c r="A7" s="453">
        <v>1</v>
      </c>
      <c r="B7" s="453"/>
      <c r="C7" s="453" t="s">
        <v>169</v>
      </c>
      <c r="D7" s="454" t="s">
        <v>3880</v>
      </c>
      <c r="E7" s="453"/>
      <c r="F7" s="455">
        <f>C3+1</f>
        <v>43954</v>
      </c>
      <c r="G7" s="455">
        <f>F7</f>
        <v>43954</v>
      </c>
      <c r="H7" s="456"/>
      <c r="I7" s="457"/>
      <c r="J7" s="458"/>
      <c r="K7" s="457"/>
      <c r="L7" s="459"/>
      <c r="M7" s="460"/>
      <c r="N7" s="525"/>
      <c r="O7" s="461"/>
      <c r="P7" s="461"/>
      <c r="Q7" s="461"/>
    </row>
    <row r="8" spans="1:17" s="470" customFormat="1" ht="30">
      <c r="A8" s="463">
        <v>2</v>
      </c>
      <c r="B8" s="463"/>
      <c r="C8" s="463" t="s">
        <v>267</v>
      </c>
      <c r="D8" s="464" t="s">
        <v>268</v>
      </c>
      <c r="E8" s="463"/>
      <c r="F8" s="465"/>
      <c r="G8" s="465"/>
      <c r="H8" s="466"/>
      <c r="I8" s="465"/>
      <c r="J8" s="467"/>
      <c r="K8" s="467">
        <f>G7</f>
        <v>43954</v>
      </c>
      <c r="L8" s="468"/>
      <c r="M8" s="464"/>
      <c r="N8" s="526"/>
      <c r="O8" s="469">
        <v>2</v>
      </c>
      <c r="P8" s="469"/>
      <c r="Q8" s="469" t="s">
        <v>150</v>
      </c>
    </row>
    <row r="9" spans="1:17" s="462" customFormat="1" ht="30">
      <c r="A9" s="788">
        <v>3</v>
      </c>
      <c r="B9" s="788"/>
      <c r="C9" s="788" t="s">
        <v>367</v>
      </c>
      <c r="D9" s="789" t="s">
        <v>5620</v>
      </c>
      <c r="E9" s="788"/>
      <c r="F9" s="790">
        <f>K8</f>
        <v>43954</v>
      </c>
      <c r="G9" s="790">
        <f>F9</f>
        <v>43954</v>
      </c>
      <c r="H9" s="1032">
        <f>IF(G9&lt;&gt;"",G9-F9+1,"")</f>
        <v>1</v>
      </c>
      <c r="I9" s="1033"/>
      <c r="J9" s="1034"/>
      <c r="K9" s="1033"/>
      <c r="L9" s="1035" t="s">
        <v>5929</v>
      </c>
      <c r="M9" s="791"/>
      <c r="N9" s="527">
        <f>IF(C9&lt;&gt;"",COUNTIF($C$7:C9,C9),"")</f>
        <v>1</v>
      </c>
      <c r="O9" s="469" t="str">
        <f>IF(I9&lt;&gt;"",COUNTIF(I$7:$I9,J9),"")</f>
        <v/>
      </c>
      <c r="P9" s="461" t="str">
        <f>IF(K9&lt;&gt;"",COUNTIF($K$7:K9,K9),"")</f>
        <v/>
      </c>
      <c r="Q9" s="461"/>
    </row>
    <row r="10" spans="1:17" s="462" customFormat="1">
      <c r="A10" s="471">
        <v>4</v>
      </c>
      <c r="B10" s="471"/>
      <c r="C10" s="471" t="s">
        <v>169</v>
      </c>
      <c r="D10" s="472" t="s">
        <v>171</v>
      </c>
      <c r="E10" s="471"/>
      <c r="F10" s="473">
        <f>G9+1</f>
        <v>43955</v>
      </c>
      <c r="G10" s="473">
        <f>F10+2</f>
        <v>43957</v>
      </c>
      <c r="H10" s="474"/>
      <c r="I10" s="475"/>
      <c r="J10" s="476"/>
      <c r="K10" s="475"/>
      <c r="L10" s="477"/>
      <c r="M10" s="478"/>
      <c r="N10" s="527"/>
      <c r="O10" s="469">
        <v>2</v>
      </c>
      <c r="P10" s="461"/>
      <c r="Q10" s="461"/>
    </row>
    <row r="11" spans="1:17" s="470" customFormat="1">
      <c r="A11" s="463">
        <v>5</v>
      </c>
      <c r="B11" s="463"/>
      <c r="C11" s="463" t="s">
        <v>267</v>
      </c>
      <c r="D11" s="464" t="s">
        <v>269</v>
      </c>
      <c r="E11" s="463"/>
      <c r="F11" s="465"/>
      <c r="G11" s="465"/>
      <c r="H11" s="466"/>
      <c r="I11" s="465"/>
      <c r="J11" s="467"/>
      <c r="K11" s="467">
        <f>G10</f>
        <v>43957</v>
      </c>
      <c r="L11" s="468"/>
      <c r="M11" s="464"/>
      <c r="N11" s="526"/>
      <c r="O11" s="469">
        <v>1</v>
      </c>
      <c r="P11" s="469"/>
      <c r="Q11" s="469" t="s">
        <v>150</v>
      </c>
    </row>
    <row r="12" spans="1:17" s="470" customFormat="1" ht="30">
      <c r="A12" s="463">
        <v>6</v>
      </c>
      <c r="B12" s="463"/>
      <c r="C12" s="463" t="s">
        <v>311</v>
      </c>
      <c r="D12" s="464" t="s">
        <v>312</v>
      </c>
      <c r="E12" s="463"/>
      <c r="F12" s="465"/>
      <c r="G12" s="465"/>
      <c r="H12" s="466"/>
      <c r="I12" s="465"/>
      <c r="J12" s="467"/>
      <c r="K12" s="467">
        <f>K11</f>
        <v>43957</v>
      </c>
      <c r="L12" s="468"/>
      <c r="M12" s="464"/>
      <c r="N12" s="526"/>
      <c r="O12" s="469">
        <v>1</v>
      </c>
      <c r="P12" s="469"/>
      <c r="Q12" s="469" t="s">
        <v>150</v>
      </c>
    </row>
    <row r="13" spans="1:17" s="462" customFormat="1" ht="30">
      <c r="A13" s="471">
        <v>7</v>
      </c>
      <c r="B13" s="471"/>
      <c r="C13" s="471" t="s">
        <v>169</v>
      </c>
      <c r="D13" s="472" t="s">
        <v>149</v>
      </c>
      <c r="E13" s="471"/>
      <c r="F13" s="473">
        <f>K12</f>
        <v>43957</v>
      </c>
      <c r="G13" s="473">
        <f>F13+1</f>
        <v>43958</v>
      </c>
      <c r="H13" s="474"/>
      <c r="I13" s="475"/>
      <c r="J13" s="476"/>
      <c r="K13" s="475"/>
      <c r="L13" s="477"/>
      <c r="M13" s="478"/>
      <c r="N13" s="527"/>
      <c r="O13" s="469">
        <v>1</v>
      </c>
      <c r="P13" s="461"/>
      <c r="Q13" s="461"/>
    </row>
    <row r="14" spans="1:17" s="486" customFormat="1" ht="30">
      <c r="A14" s="779">
        <v>8</v>
      </c>
      <c r="B14" s="779"/>
      <c r="C14" s="779" t="s">
        <v>282</v>
      </c>
      <c r="D14" s="782" t="s">
        <v>149</v>
      </c>
      <c r="E14" s="779"/>
      <c r="F14" s="479"/>
      <c r="G14" s="479"/>
      <c r="H14" s="480"/>
      <c r="I14" s="481"/>
      <c r="J14" s="482"/>
      <c r="K14" s="482">
        <f>G13</f>
        <v>43958</v>
      </c>
      <c r="L14" s="483"/>
      <c r="M14" s="484"/>
      <c r="N14" s="528"/>
      <c r="O14" s="469">
        <v>1</v>
      </c>
      <c r="P14" s="485" t="s">
        <v>150</v>
      </c>
      <c r="Q14" s="485" t="s">
        <v>150</v>
      </c>
    </row>
    <row r="15" spans="1:17" s="437" customFormat="1">
      <c r="A15" s="971"/>
      <c r="B15" s="971"/>
      <c r="C15" s="971"/>
      <c r="D15" s="972" t="s">
        <v>172</v>
      </c>
      <c r="E15" s="971"/>
      <c r="F15" s="447"/>
      <c r="G15" s="447"/>
      <c r="H15" s="445"/>
      <c r="I15" s="447"/>
      <c r="J15" s="447"/>
      <c r="K15" s="487"/>
      <c r="L15" s="488"/>
      <c r="M15" s="452"/>
      <c r="N15" s="524"/>
      <c r="O15" s="469" t="s">
        <v>150</v>
      </c>
      <c r="P15" s="436"/>
      <c r="Q15" s="436"/>
    </row>
    <row r="16" spans="1:17" s="462" customFormat="1">
      <c r="A16" s="1237"/>
      <c r="B16" s="1237"/>
      <c r="C16" s="1237"/>
      <c r="D16" s="1294" t="s">
        <v>152</v>
      </c>
      <c r="E16" s="1237"/>
      <c r="F16" s="1238"/>
      <c r="G16" s="1238"/>
      <c r="H16" s="1239"/>
      <c r="I16" s="1240"/>
      <c r="J16" s="1241"/>
      <c r="K16" s="1240"/>
      <c r="L16" s="1242"/>
      <c r="M16" s="1243"/>
      <c r="N16" s="787"/>
      <c r="O16" s="1080"/>
      <c r="P16" s="494"/>
      <c r="Q16" s="494"/>
    </row>
    <row r="17" spans="1:17" s="495" customFormat="1" ht="45">
      <c r="A17" s="489">
        <v>9</v>
      </c>
      <c r="B17" s="489"/>
      <c r="C17" s="489" t="s">
        <v>346</v>
      </c>
      <c r="D17" s="490" t="s">
        <v>5930</v>
      </c>
      <c r="E17" s="1245"/>
      <c r="F17" s="491">
        <f>K14</f>
        <v>43958</v>
      </c>
      <c r="G17" s="491">
        <f>F17</f>
        <v>43958</v>
      </c>
      <c r="H17" s="1138">
        <f>IF(G17&lt;&gt;"",G17-F17+1,"")</f>
        <v>1</v>
      </c>
      <c r="I17" s="491"/>
      <c r="J17" s="491"/>
      <c r="K17" s="491"/>
      <c r="L17" s="1246"/>
      <c r="M17" s="492"/>
      <c r="N17" s="529"/>
      <c r="O17" s="493">
        <f>IF(C17&lt;&gt;"",COUNTIF($C$7:C17,C17),"")</f>
        <v>1</v>
      </c>
      <c r="P17" s="494" t="str">
        <f>IF(I17&lt;&gt;"",COUNTIF(I$7:$I17,J17),"")</f>
        <v/>
      </c>
      <c r="Q17" s="494" t="str">
        <f>IF(K17&lt;&gt;"",COUNTIF($K$7:K17,K17),"")</f>
        <v/>
      </c>
    </row>
    <row r="18" spans="1:17" s="495" customFormat="1" ht="45">
      <c r="A18" s="496">
        <v>10</v>
      </c>
      <c r="B18" s="496"/>
      <c r="C18" s="496" t="s">
        <v>346</v>
      </c>
      <c r="D18" s="497" t="str">
        <f>SUBSTITUTE(D17,"Tập kết vật","Vật")</f>
        <v>Vật liệu thi công: Cát vàng, đá 1x2cm, Xi măng, bao tải nhựa đường, Thép các loại</v>
      </c>
      <c r="E18" s="498"/>
      <c r="F18" s="499"/>
      <c r="G18" s="499"/>
      <c r="H18" s="1136"/>
      <c r="I18" s="499">
        <f>G17</f>
        <v>43958</v>
      </c>
      <c r="J18" s="499">
        <f>IF(I18&lt;&gt;"",I18,"")</f>
        <v>43958</v>
      </c>
      <c r="K18" s="499">
        <f>IF(J18&lt;&gt;"",J18+1,"")</f>
        <v>43959</v>
      </c>
      <c r="L18" s="501" t="s">
        <v>5769</v>
      </c>
      <c r="M18" s="500" t="s">
        <v>5931</v>
      </c>
      <c r="N18" s="530" t="s">
        <v>5768</v>
      </c>
      <c r="O18" s="493">
        <f>IF(C18&lt;&gt;"",COUNTIF($C$7:C18,C18),"")</f>
        <v>2</v>
      </c>
      <c r="P18" s="494">
        <f>IF(I18&lt;&gt;"",COUNTIF(I$7:$I18,J18),"")</f>
        <v>1</v>
      </c>
      <c r="Q18" s="494">
        <f>IF(K18&lt;&gt;"",COUNTIF($K$7:K18,K18),"")</f>
        <v>1</v>
      </c>
    </row>
    <row r="19" spans="1:17" s="794" customFormat="1">
      <c r="A19" s="1295"/>
      <c r="B19" s="1295"/>
      <c r="C19" s="1295"/>
      <c r="D19" s="1296" t="s">
        <v>5932</v>
      </c>
      <c r="E19" s="1297"/>
      <c r="F19" s="759"/>
      <c r="G19" s="759"/>
      <c r="H19" s="1137"/>
      <c r="I19" s="504"/>
      <c r="J19" s="504"/>
      <c r="K19" s="504"/>
      <c r="L19" s="505"/>
      <c r="M19" s="506"/>
      <c r="N19" s="529"/>
      <c r="O19" s="493"/>
      <c r="P19" s="494"/>
      <c r="Q19" s="494"/>
    </row>
    <row r="20" spans="1:17" s="794" customFormat="1" ht="30">
      <c r="A20" s="792">
        <v>11</v>
      </c>
      <c r="B20" s="792"/>
      <c r="C20" s="792" t="s">
        <v>1240</v>
      </c>
      <c r="D20" s="793" t="s">
        <v>5770</v>
      </c>
      <c r="E20" s="1142" t="str">
        <f>D19</f>
        <v>Đoạn Km0+300 đến Km0+400</v>
      </c>
      <c r="F20" s="491">
        <f>K18</f>
        <v>43959</v>
      </c>
      <c r="G20" s="491">
        <f>F20+1</f>
        <v>43960</v>
      </c>
      <c r="H20" s="1138">
        <f>IF(G20&lt;&gt;"",G20-F20+1,"")</f>
        <v>2</v>
      </c>
      <c r="I20" s="491"/>
      <c r="J20" s="491"/>
      <c r="K20" s="491"/>
      <c r="L20" s="1134"/>
      <c r="M20" s="492"/>
      <c r="N20" s="529"/>
      <c r="O20" s="493">
        <f>IF(C20&lt;&gt;"",COUNTIF($C$7:C20,C20),"")</f>
        <v>1</v>
      </c>
      <c r="P20" s="494" t="str">
        <f>IF(I20&lt;&gt;"",COUNTIF(I$7:$I20,J20),"")</f>
        <v/>
      </c>
      <c r="Q20" s="494" t="str">
        <f>IF(K20&lt;&gt;"",COUNTIF($K$7:K20,K20),"")</f>
        <v/>
      </c>
    </row>
    <row r="21" spans="1:17" s="794" customFormat="1" ht="30">
      <c r="A21" s="723">
        <v>12</v>
      </c>
      <c r="B21" s="723">
        <f>A22</f>
        <v>13</v>
      </c>
      <c r="C21" s="723" t="s">
        <v>210</v>
      </c>
      <c r="D21" s="724" t="s">
        <v>5933</v>
      </c>
      <c r="E21" s="1143" t="str">
        <f t="shared" ref="E21:E35" si="0">E20</f>
        <v>Đoạn Km0+300 đến Km0+400</v>
      </c>
      <c r="F21" s="725"/>
      <c r="G21" s="725"/>
      <c r="H21" s="1139"/>
      <c r="I21" s="725"/>
      <c r="J21" s="725"/>
      <c r="K21" s="725">
        <f>G20</f>
        <v>43960</v>
      </c>
      <c r="L21" s="1140" t="s">
        <v>6216</v>
      </c>
      <c r="M21" s="984"/>
      <c r="N21" s="529"/>
      <c r="O21" s="493"/>
      <c r="P21" s="494"/>
      <c r="Q21" s="494"/>
    </row>
    <row r="22" spans="1:17" s="794" customFormat="1" ht="30">
      <c r="A22" s="496">
        <v>13</v>
      </c>
      <c r="B22" s="496"/>
      <c r="C22" s="496" t="s">
        <v>1240</v>
      </c>
      <c r="D22" s="497" t="str">
        <f>D20</f>
        <v>Đào đất hố móng</v>
      </c>
      <c r="E22" s="1144" t="str">
        <f t="shared" si="0"/>
        <v>Đoạn Km0+300 đến Km0+400</v>
      </c>
      <c r="F22" s="499"/>
      <c r="G22" s="499"/>
      <c r="H22" s="1136"/>
      <c r="I22" s="499">
        <f>K21</f>
        <v>43960</v>
      </c>
      <c r="J22" s="499">
        <f>IF(I22&lt;&gt;"",I22,"")</f>
        <v>43960</v>
      </c>
      <c r="K22" s="499">
        <f>IF(J22&lt;&gt;"",J22+1,"")</f>
        <v>43961</v>
      </c>
      <c r="L22" s="1141"/>
      <c r="M22" s="500" t="s">
        <v>4431</v>
      </c>
      <c r="N22" s="530" t="s">
        <v>150</v>
      </c>
      <c r="O22" s="493">
        <f>IF(C22&lt;&gt;"",COUNTIF($C$7:C22,C22),"")</f>
        <v>2</v>
      </c>
      <c r="P22" s="494">
        <f>IF(I22&lt;&gt;"",COUNTIF(I$7:$I22,J22),"")</f>
        <v>1</v>
      </c>
      <c r="Q22" s="494">
        <f>IF(K22&lt;&gt;"",COUNTIF($K$7:K22,K22),"")</f>
        <v>1</v>
      </c>
    </row>
    <row r="23" spans="1:17" s="794" customFormat="1" ht="30">
      <c r="A23" s="489">
        <v>14</v>
      </c>
      <c r="B23" s="489"/>
      <c r="C23" s="489" t="s">
        <v>1864</v>
      </c>
      <c r="D23" s="490" t="s">
        <v>5934</v>
      </c>
      <c r="E23" s="1145" t="str">
        <f t="shared" si="0"/>
        <v>Đoạn Km0+300 đến Km0+400</v>
      </c>
      <c r="F23" s="491">
        <f>K22</f>
        <v>43961</v>
      </c>
      <c r="G23" s="491">
        <f>F23</f>
        <v>43961</v>
      </c>
      <c r="H23" s="1138">
        <f>IF(G23&lt;&gt;"",G23-F23+1,"")</f>
        <v>1</v>
      </c>
      <c r="I23" s="491"/>
      <c r="J23" s="491"/>
      <c r="K23" s="491"/>
      <c r="L23" s="1134"/>
      <c r="M23" s="492"/>
      <c r="N23" s="529"/>
      <c r="O23" s="493">
        <f>IF(C23&lt;&gt;"",COUNTIF($C$7:C23,C23),"")</f>
        <v>1</v>
      </c>
      <c r="P23" s="494" t="str">
        <f>IF(I23&lt;&gt;"",COUNTIF(I$7:$I23,J23),"")</f>
        <v/>
      </c>
      <c r="Q23" s="494" t="str">
        <f>IF(K23&lt;&gt;"",COUNTIF($K$7:K23,K23),"")</f>
        <v/>
      </c>
    </row>
    <row r="24" spans="1:17" s="794" customFormat="1" ht="30">
      <c r="A24" s="1147">
        <v>15</v>
      </c>
      <c r="B24" s="1147">
        <f>A26</f>
        <v>17</v>
      </c>
      <c r="C24" s="1147" t="s">
        <v>402</v>
      </c>
      <c r="D24" s="1148" t="str">
        <f>SUBSTITUTE(D23,"Thi công","Lấy mẫu thí nghiệm")</f>
        <v>Lấy mẫu thí nghiệm vữa lót móng M75</v>
      </c>
      <c r="E24" s="1149" t="str">
        <f t="shared" si="0"/>
        <v>Đoạn Km0+300 đến Km0+400</v>
      </c>
      <c r="F24" s="726">
        <f>F23</f>
        <v>43961</v>
      </c>
      <c r="G24" s="726">
        <f>F24</f>
        <v>43961</v>
      </c>
      <c r="H24" s="1150">
        <f>IF(G24&lt;&gt;"",G24-F24+1,"")</f>
        <v>1</v>
      </c>
      <c r="I24" s="726"/>
      <c r="J24" s="726"/>
      <c r="K24" s="726"/>
      <c r="L24" s="1151" t="str">
        <f>"M75/7,07x7,07x7,07//R3/R7//"&amp;Nhattrinh!A22</f>
        <v>M75/7,07x7,07x7,07//R3/R7//13</v>
      </c>
      <c r="M24" s="1079"/>
      <c r="N24" s="529">
        <f>IF(C24&lt;&gt;"",COUNTIF($C$7:C24,C24),"")</f>
        <v>1</v>
      </c>
      <c r="O24" s="493" t="str">
        <f>IF(I24&lt;&gt;"",COUNTIF(I$7:$I24,J24),"")</f>
        <v/>
      </c>
      <c r="P24" s="494" t="str">
        <f>IF(K24&lt;&gt;"",COUNTIF($K$7:K24,K24),"")</f>
        <v/>
      </c>
      <c r="Q24" s="494"/>
    </row>
    <row r="25" spans="1:17" s="794" customFormat="1" ht="30">
      <c r="A25" s="502">
        <v>16</v>
      </c>
      <c r="B25" s="502"/>
      <c r="C25" s="502" t="s">
        <v>254</v>
      </c>
      <c r="D25" s="503" t="str">
        <f>SUBSTITUTE(D23,"Thi công","Bảo dưỡng")</f>
        <v>Bảo dưỡng vữa lót móng M75</v>
      </c>
      <c r="E25" s="1146" t="str">
        <f t="shared" si="0"/>
        <v>Đoạn Km0+300 đến Km0+400</v>
      </c>
      <c r="F25" s="504">
        <f>G24+1</f>
        <v>43962</v>
      </c>
      <c r="G25" s="504">
        <f>F25+2</f>
        <v>43964</v>
      </c>
      <c r="H25" s="1137"/>
      <c r="I25" s="504"/>
      <c r="J25" s="504"/>
      <c r="K25" s="504"/>
      <c r="L25" s="1135"/>
      <c r="M25" s="506"/>
      <c r="N25" s="529"/>
      <c r="O25" s="493"/>
      <c r="P25" s="494"/>
      <c r="Q25" s="494"/>
    </row>
    <row r="26" spans="1:17" s="794" customFormat="1" ht="30">
      <c r="A26" s="496">
        <v>17</v>
      </c>
      <c r="B26" s="496"/>
      <c r="C26" s="496" t="s">
        <v>1864</v>
      </c>
      <c r="D26" s="497" t="str">
        <f>SUBSTITUTE(D23,"Thi công vữa","Vữa")</f>
        <v>Vữa lót móng M75</v>
      </c>
      <c r="E26" s="1144" t="str">
        <f t="shared" si="0"/>
        <v>Đoạn Km0+300 đến Km0+400</v>
      </c>
      <c r="F26" s="499"/>
      <c r="G26" s="499"/>
      <c r="H26" s="1136"/>
      <c r="I26" s="499">
        <f>G24+7</f>
        <v>43968</v>
      </c>
      <c r="J26" s="499">
        <f>IF(I26&lt;&gt;"",I26,"")</f>
        <v>43968</v>
      </c>
      <c r="K26" s="499">
        <f>IF(J26&lt;&gt;"",J26+1,"")</f>
        <v>43969</v>
      </c>
      <c r="L26" s="1141"/>
      <c r="M26" s="500" t="s">
        <v>5935</v>
      </c>
      <c r="N26" s="530" t="s">
        <v>402</v>
      </c>
      <c r="O26" s="493">
        <f>IF(C26&lt;&gt;"",COUNTIF($C$7:C26,C26),"")</f>
        <v>2</v>
      </c>
      <c r="P26" s="494">
        <f>IF(I26&lt;&gt;"",COUNTIF(I$7:$I26,J26),"")</f>
        <v>1</v>
      </c>
      <c r="Q26" s="494">
        <f>IF(K26&lt;&gt;"",COUNTIF($K$7:K26,K26),"")</f>
        <v>1</v>
      </c>
    </row>
    <row r="27" spans="1:17" s="794" customFormat="1" ht="30">
      <c r="A27" s="489">
        <v>18</v>
      </c>
      <c r="B27" s="489"/>
      <c r="C27" s="489" t="s">
        <v>1728</v>
      </c>
      <c r="D27" s="490" t="s">
        <v>5772</v>
      </c>
      <c r="E27" s="1145" t="str">
        <f t="shared" si="0"/>
        <v>Đoạn Km0+300 đến Km0+400</v>
      </c>
      <c r="F27" s="491">
        <f>K26</f>
        <v>43969</v>
      </c>
      <c r="G27" s="491">
        <f>F27</f>
        <v>43969</v>
      </c>
      <c r="H27" s="1138">
        <f>IF(G27&lt;&gt;"",G27-F27+1,"")</f>
        <v>1</v>
      </c>
      <c r="I27" s="491"/>
      <c r="J27" s="491"/>
      <c r="K27" s="491"/>
      <c r="L27" s="1134"/>
      <c r="M27" s="492"/>
      <c r="N27" s="529"/>
      <c r="O27" s="493">
        <f>IF(C27&lt;&gt;"",COUNTIF($C$7:C27,C27),"")</f>
        <v>1</v>
      </c>
      <c r="P27" s="494" t="str">
        <f>IF(I27&lt;&gt;"",COUNTIF(I$7:$I27,J27),"")</f>
        <v/>
      </c>
      <c r="Q27" s="494" t="str">
        <f>IF(K27&lt;&gt;"",COUNTIF($K$7:K27,K27),"")</f>
        <v/>
      </c>
    </row>
    <row r="28" spans="1:17" s="794" customFormat="1" ht="30">
      <c r="A28" s="723">
        <v>19</v>
      </c>
      <c r="B28" s="723">
        <f>A29</f>
        <v>20</v>
      </c>
      <c r="C28" s="723" t="s">
        <v>266</v>
      </c>
      <c r="D28" s="724" t="s">
        <v>5773</v>
      </c>
      <c r="E28" s="1143" t="str">
        <f t="shared" si="0"/>
        <v>Đoạn Km0+300 đến Km0+400</v>
      </c>
      <c r="F28" s="725"/>
      <c r="G28" s="725"/>
      <c r="H28" s="1139"/>
      <c r="I28" s="725"/>
      <c r="J28" s="725"/>
      <c r="K28" s="725">
        <f>G27</f>
        <v>43969</v>
      </c>
      <c r="L28" s="1140" t="s">
        <v>5774</v>
      </c>
      <c r="M28" s="984"/>
      <c r="N28" s="529"/>
      <c r="O28" s="493"/>
      <c r="P28" s="494"/>
      <c r="Q28" s="494"/>
    </row>
    <row r="29" spans="1:17" s="794" customFormat="1" ht="30">
      <c r="A29" s="496">
        <v>20</v>
      </c>
      <c r="B29" s="496"/>
      <c r="C29" s="496" t="s">
        <v>1728</v>
      </c>
      <c r="D29" s="497" t="str">
        <f>D27</f>
        <v>Sản xuất, lắp dựng cốt thép kênh</v>
      </c>
      <c r="E29" s="1144" t="str">
        <f t="shared" si="0"/>
        <v>Đoạn Km0+300 đến Km0+400</v>
      </c>
      <c r="F29" s="499"/>
      <c r="G29" s="499"/>
      <c r="H29" s="1136"/>
      <c r="I29" s="499">
        <f>K28</f>
        <v>43969</v>
      </c>
      <c r="J29" s="499">
        <f>IF(I29&lt;&gt;"",I29,"")</f>
        <v>43969</v>
      </c>
      <c r="K29" s="499">
        <f>IF(J29&lt;&gt;"",J29+1,"")</f>
        <v>43970</v>
      </c>
      <c r="L29" s="1141"/>
      <c r="M29" s="500" t="s">
        <v>3849</v>
      </c>
      <c r="N29" s="530" t="s">
        <v>150</v>
      </c>
      <c r="O29" s="493">
        <f>IF(C29&lt;&gt;"",COUNTIF($C$7:C29,C29),"")</f>
        <v>2</v>
      </c>
      <c r="P29" s="494">
        <f>IF(I29&lt;&gt;"",COUNTIF(I$7:$I29,J29),"")</f>
        <v>1</v>
      </c>
      <c r="Q29" s="494">
        <f>IF(K29&lt;&gt;"",COUNTIF($K$7:K29,K29),"")</f>
        <v>1</v>
      </c>
    </row>
    <row r="30" spans="1:17" s="794" customFormat="1" ht="30">
      <c r="A30" s="489">
        <v>21</v>
      </c>
      <c r="B30" s="489"/>
      <c r="C30" s="489" t="s">
        <v>1765</v>
      </c>
      <c r="D30" s="490" t="s">
        <v>5775</v>
      </c>
      <c r="E30" s="1145" t="str">
        <f t="shared" si="0"/>
        <v>Đoạn Km0+300 đến Km0+400</v>
      </c>
      <c r="F30" s="491">
        <f>K29</f>
        <v>43970</v>
      </c>
      <c r="G30" s="491">
        <f>F30</f>
        <v>43970</v>
      </c>
      <c r="H30" s="1138">
        <f>IF(G30&lt;&gt;"",G30-F30+1,"")</f>
        <v>1</v>
      </c>
      <c r="I30" s="491"/>
      <c r="J30" s="491"/>
      <c r="K30" s="491"/>
      <c r="L30" s="1134"/>
      <c r="M30" s="492"/>
      <c r="N30" s="529"/>
      <c r="O30" s="493">
        <f>IF(C30&lt;&gt;"",COUNTIF($C$7:C30,C30),"")</f>
        <v>1</v>
      </c>
      <c r="P30" s="494" t="str">
        <f>IF(I30&lt;&gt;"",COUNTIF(I$7:$I30,J30),"")</f>
        <v/>
      </c>
      <c r="Q30" s="494" t="str">
        <f>IF(K30&lt;&gt;"",COUNTIF($K$7:K30,K30),"")</f>
        <v/>
      </c>
    </row>
    <row r="31" spans="1:17" s="794" customFormat="1" ht="30">
      <c r="A31" s="723">
        <v>22</v>
      </c>
      <c r="B31" s="723">
        <f>A32</f>
        <v>23</v>
      </c>
      <c r="C31" s="723" t="s">
        <v>211</v>
      </c>
      <c r="D31" s="724" t="s">
        <v>5776</v>
      </c>
      <c r="E31" s="1143" t="str">
        <f t="shared" si="0"/>
        <v>Đoạn Km0+300 đến Km0+400</v>
      </c>
      <c r="F31" s="725"/>
      <c r="G31" s="725"/>
      <c r="H31" s="1139"/>
      <c r="I31" s="725"/>
      <c r="J31" s="725"/>
      <c r="K31" s="725">
        <f>G30</f>
        <v>43970</v>
      </c>
      <c r="L31" s="1140" t="s">
        <v>5777</v>
      </c>
      <c r="M31" s="984"/>
      <c r="N31" s="529"/>
      <c r="O31" s="493"/>
      <c r="P31" s="494"/>
      <c r="Q31" s="494"/>
    </row>
    <row r="32" spans="1:17" s="794" customFormat="1" ht="30">
      <c r="A32" s="496">
        <v>23</v>
      </c>
      <c r="B32" s="496"/>
      <c r="C32" s="496" t="s">
        <v>1765</v>
      </c>
      <c r="D32" s="497" t="str">
        <f>D30</f>
        <v>Sản xuất, lắp dựng ván khuôn kênh</v>
      </c>
      <c r="E32" s="1144" t="str">
        <f t="shared" si="0"/>
        <v>Đoạn Km0+300 đến Km0+400</v>
      </c>
      <c r="F32" s="499"/>
      <c r="G32" s="499"/>
      <c r="H32" s="1136"/>
      <c r="I32" s="499">
        <f>K31</f>
        <v>43970</v>
      </c>
      <c r="J32" s="499">
        <f>IF(I32&lt;&gt;"",I32,"")</f>
        <v>43970</v>
      </c>
      <c r="K32" s="499">
        <f>IF(J32&lt;&gt;"",J32+1,"")</f>
        <v>43971</v>
      </c>
      <c r="L32" s="1141"/>
      <c r="M32" s="500" t="s">
        <v>3849</v>
      </c>
      <c r="N32" s="530" t="s">
        <v>150</v>
      </c>
      <c r="O32" s="493">
        <f>IF(C32&lt;&gt;"",COUNTIF($C$7:C32,C32),"")</f>
        <v>2</v>
      </c>
      <c r="P32" s="494">
        <f>IF(I32&lt;&gt;"",COUNTIF(I$7:$I32,J32),"")</f>
        <v>1</v>
      </c>
      <c r="Q32" s="494">
        <f>IF(K32&lt;&gt;"",COUNTIF($K$7:K32,K32),"")</f>
        <v>1</v>
      </c>
    </row>
    <row r="33" spans="1:17" s="794" customFormat="1" ht="30">
      <c r="A33" s="489">
        <v>24</v>
      </c>
      <c r="B33" s="489"/>
      <c r="C33" s="489" t="s">
        <v>1714</v>
      </c>
      <c r="D33" s="490" t="s">
        <v>5936</v>
      </c>
      <c r="E33" s="1145" t="str">
        <f t="shared" si="0"/>
        <v>Đoạn Km0+300 đến Km0+400</v>
      </c>
      <c r="F33" s="491">
        <f>K32</f>
        <v>43971</v>
      </c>
      <c r="G33" s="491">
        <f>F33</f>
        <v>43971</v>
      </c>
      <c r="H33" s="1138">
        <f>IF(G33&lt;&gt;"",G33-F33+1,"")</f>
        <v>1</v>
      </c>
      <c r="I33" s="491"/>
      <c r="J33" s="491"/>
      <c r="K33" s="491"/>
      <c r="L33" s="1134"/>
      <c r="M33" s="492"/>
      <c r="N33" s="529"/>
      <c r="O33" s="493">
        <f>IF(C33&lt;&gt;"",COUNTIF($C$7:C33,C33),"")</f>
        <v>1</v>
      </c>
      <c r="P33" s="494" t="str">
        <f>IF(I33&lt;&gt;"",COUNTIF(I$7:$I33,J33),"")</f>
        <v/>
      </c>
      <c r="Q33" s="494" t="str">
        <f>IF(K33&lt;&gt;"",COUNTIF($K$7:K33,K33),"")</f>
        <v/>
      </c>
    </row>
    <row r="34" spans="1:17" s="794" customFormat="1" ht="30">
      <c r="A34" s="723">
        <v>25</v>
      </c>
      <c r="B34" s="723">
        <f>B35</f>
        <v>31</v>
      </c>
      <c r="C34" s="723" t="s">
        <v>311</v>
      </c>
      <c r="D34" s="724" t="s">
        <v>5778</v>
      </c>
      <c r="E34" s="1143" t="str">
        <f t="shared" si="0"/>
        <v>Đoạn Km0+300 đến Km0+400</v>
      </c>
      <c r="F34" s="725"/>
      <c r="G34" s="725"/>
      <c r="H34" s="1139"/>
      <c r="I34" s="725"/>
      <c r="J34" s="725"/>
      <c r="K34" s="725">
        <f>G33</f>
        <v>43971</v>
      </c>
      <c r="L34" s="1140"/>
      <c r="M34" s="984"/>
      <c r="N34" s="529"/>
      <c r="O34" s="493"/>
      <c r="P34" s="494"/>
      <c r="Q34" s="494"/>
    </row>
    <row r="35" spans="1:17" s="794" customFormat="1" ht="30">
      <c r="A35" s="723">
        <v>26</v>
      </c>
      <c r="B35" s="723">
        <f>B36</f>
        <v>31</v>
      </c>
      <c r="C35" s="723" t="s">
        <v>3841</v>
      </c>
      <c r="D35" s="724" t="s">
        <v>5866</v>
      </c>
      <c r="E35" s="1143" t="str">
        <f t="shared" si="0"/>
        <v>Đoạn Km0+300 đến Km0+400</v>
      </c>
      <c r="F35" s="725"/>
      <c r="G35" s="725"/>
      <c r="H35" s="1139"/>
      <c r="I35" s="725"/>
      <c r="J35" s="725"/>
      <c r="K35" s="725">
        <f>K34</f>
        <v>43971</v>
      </c>
      <c r="L35" s="1140" t="s">
        <v>5937</v>
      </c>
      <c r="M35" s="984"/>
      <c r="N35" s="529"/>
      <c r="O35" s="493"/>
      <c r="P35" s="494"/>
      <c r="Q35" s="494"/>
    </row>
    <row r="36" spans="1:17" s="794" customFormat="1" ht="30">
      <c r="A36" s="1154">
        <v>27</v>
      </c>
      <c r="B36" s="1154">
        <f>B38</f>
        <v>31</v>
      </c>
      <c r="C36" s="1154" t="s">
        <v>401</v>
      </c>
      <c r="D36" s="1155" t="str">
        <f>SUBSTITUTE(D33,"Đổ","Lấy mẫu thí nghiệm")</f>
        <v>Lấy mẫu thí nghiệm bê tông kênh M200 đá 1x2cm</v>
      </c>
      <c r="E36" s="1156" t="str">
        <f>E34</f>
        <v>Đoạn Km0+300 đến Km0+400</v>
      </c>
      <c r="F36" s="726">
        <f>G33</f>
        <v>43971</v>
      </c>
      <c r="G36" s="726">
        <f>F36</f>
        <v>43971</v>
      </c>
      <c r="H36" s="1150">
        <f>IF(G36&lt;&gt;"",G36-F36+1,"")</f>
        <v>1</v>
      </c>
      <c r="I36" s="726"/>
      <c r="J36" s="726"/>
      <c r="K36" s="726"/>
      <c r="L36" s="1151" t="str">
        <f>"M200/đá 1x2cm/6-:-8/R3/R7//"&amp;Nhattrinh!A32</f>
        <v>M200/đá 1x2cm/6-:-8/R3/R7//23</v>
      </c>
      <c r="M36" s="1079"/>
      <c r="N36" s="529">
        <f>IF(C36&lt;&gt;"",COUNTIF($C$7:C36,C36),"")</f>
        <v>1</v>
      </c>
      <c r="O36" s="493" t="str">
        <f>IF(I36&lt;&gt;"",COUNTIF(I$7:$I36,J36),"")</f>
        <v/>
      </c>
      <c r="P36" s="494" t="str">
        <f>IF(K36&lt;&gt;"",COUNTIF($K$7:K36,K36),"")</f>
        <v/>
      </c>
      <c r="Q36" s="494"/>
    </row>
    <row r="37" spans="1:17" s="794" customFormat="1" ht="30">
      <c r="A37" s="502">
        <v>28</v>
      </c>
      <c r="B37" s="502"/>
      <c r="C37" s="502" t="s">
        <v>254</v>
      </c>
      <c r="D37" s="503" t="str">
        <f>SUBSTITUTE(D33,"Đổ","Bảo dưỡng")</f>
        <v>Bảo dưỡng bê tông kênh M200 đá 1x2cm</v>
      </c>
      <c r="E37" s="1146" t="str">
        <f t="shared" ref="E37:E49" si="1">E36</f>
        <v>Đoạn Km0+300 đến Km0+400</v>
      </c>
      <c r="F37" s="504">
        <f>G36+1</f>
        <v>43972</v>
      </c>
      <c r="G37" s="504">
        <f>F37+3</f>
        <v>43975</v>
      </c>
      <c r="H37" s="1137"/>
      <c r="I37" s="504"/>
      <c r="J37" s="504"/>
      <c r="K37" s="504"/>
      <c r="L37" s="1135"/>
      <c r="M37" s="506"/>
      <c r="N37" s="529"/>
      <c r="O37" s="493"/>
      <c r="P37" s="494"/>
      <c r="Q37" s="494"/>
    </row>
    <row r="38" spans="1:17" s="794" customFormat="1" ht="30">
      <c r="A38" s="723">
        <v>29</v>
      </c>
      <c r="B38" s="723">
        <f>B39</f>
        <v>31</v>
      </c>
      <c r="C38" s="723" t="s">
        <v>3846</v>
      </c>
      <c r="D38" s="724" t="s">
        <v>5779</v>
      </c>
      <c r="E38" s="1143" t="str">
        <f t="shared" si="1"/>
        <v>Đoạn Km0+300 đến Km0+400</v>
      </c>
      <c r="F38" s="725"/>
      <c r="G38" s="725"/>
      <c r="H38" s="1139"/>
      <c r="I38" s="725"/>
      <c r="J38" s="725"/>
      <c r="K38" s="725">
        <f>G36+7</f>
        <v>43978</v>
      </c>
      <c r="L38" s="1140"/>
      <c r="M38" s="984"/>
      <c r="N38" s="529"/>
      <c r="O38" s="493"/>
      <c r="P38" s="494"/>
      <c r="Q38" s="494"/>
    </row>
    <row r="39" spans="1:17" s="794" customFormat="1" ht="30">
      <c r="A39" s="723">
        <v>30</v>
      </c>
      <c r="B39" s="723">
        <f>A40</f>
        <v>31</v>
      </c>
      <c r="C39" s="723" t="s">
        <v>4228</v>
      </c>
      <c r="D39" s="724" t="s">
        <v>5780</v>
      </c>
      <c r="E39" s="1143" t="str">
        <f t="shared" si="1"/>
        <v>Đoạn Km0+300 đến Km0+400</v>
      </c>
      <c r="F39" s="725"/>
      <c r="G39" s="725"/>
      <c r="H39" s="1139"/>
      <c r="I39" s="725"/>
      <c r="J39" s="725"/>
      <c r="K39" s="725">
        <f>G36+7</f>
        <v>43978</v>
      </c>
      <c r="L39" s="1140" t="s">
        <v>5781</v>
      </c>
      <c r="M39" s="984"/>
      <c r="N39" s="529"/>
      <c r="O39" s="493"/>
      <c r="P39" s="494"/>
      <c r="Q39" s="494"/>
    </row>
    <row r="40" spans="1:17" s="794" customFormat="1" ht="30">
      <c r="A40" s="496">
        <v>31</v>
      </c>
      <c r="B40" s="496"/>
      <c r="C40" s="496" t="s">
        <v>1714</v>
      </c>
      <c r="D40" s="497" t="str">
        <f>SUBSTITUTE(D33,"Đổ bê","Bê")</f>
        <v>Bê tông kênh M200 đá 1x2cm</v>
      </c>
      <c r="E40" s="1144" t="str">
        <f t="shared" si="1"/>
        <v>Đoạn Km0+300 đến Km0+400</v>
      </c>
      <c r="F40" s="499"/>
      <c r="G40" s="499"/>
      <c r="H40" s="1136"/>
      <c r="I40" s="499">
        <f>K39</f>
        <v>43978</v>
      </c>
      <c r="J40" s="499">
        <f>IF(I40&lt;&gt;"",I40,"")</f>
        <v>43978</v>
      </c>
      <c r="K40" s="499">
        <f>IF(J40&lt;&gt;"",J40+1,"")</f>
        <v>43979</v>
      </c>
      <c r="L40" s="1141"/>
      <c r="M40" s="500" t="s">
        <v>3849</v>
      </c>
      <c r="N40" s="530" t="s">
        <v>401</v>
      </c>
      <c r="O40" s="493">
        <f>IF(C40&lt;&gt;"",COUNTIF($C$7:C40,C40),"")</f>
        <v>2</v>
      </c>
      <c r="P40" s="494">
        <f>IF(I40&lt;&gt;"",COUNTIF(I$7:$I40,J40),"")</f>
        <v>1</v>
      </c>
      <c r="Q40" s="494">
        <f>IF(K40&lt;&gt;"",COUNTIF($K$7:K40,K40),"")</f>
        <v>1</v>
      </c>
    </row>
    <row r="41" spans="1:17" s="794" customFormat="1" ht="30">
      <c r="A41" s="489">
        <v>32</v>
      </c>
      <c r="B41" s="489"/>
      <c r="C41" s="489" t="s">
        <v>1338</v>
      </c>
      <c r="D41" s="490" t="s">
        <v>5938</v>
      </c>
      <c r="E41" s="1145" t="str">
        <f t="shared" si="1"/>
        <v>Đoạn Km0+300 đến Km0+400</v>
      </c>
      <c r="F41" s="491">
        <f>K40</f>
        <v>43979</v>
      </c>
      <c r="G41" s="491">
        <f>F41+1</f>
        <v>43980</v>
      </c>
      <c r="H41" s="1138">
        <f t="shared" ref="H41:H48" si="2">IF(G41&lt;&gt;"",G41-F41+1,"")</f>
        <v>2</v>
      </c>
      <c r="I41" s="491"/>
      <c r="J41" s="491"/>
      <c r="K41" s="491"/>
      <c r="L41" s="1134"/>
      <c r="M41" s="492"/>
      <c r="N41" s="529"/>
      <c r="O41" s="493">
        <f>IF(C41&lt;&gt;"",COUNTIF($C$7:C41,C41),"")</f>
        <v>1</v>
      </c>
      <c r="P41" s="494" t="str">
        <f>IF(I41&lt;&gt;"",COUNTIF(I$7:$I41,J41),"")</f>
        <v/>
      </c>
      <c r="Q41" s="494" t="str">
        <f>IF(K41&lt;&gt;"",COUNTIF($K$7:K41,K41),"")</f>
        <v/>
      </c>
    </row>
    <row r="42" spans="1:17" s="794" customFormat="1" ht="45">
      <c r="A42" s="1154">
        <v>33</v>
      </c>
      <c r="B42" s="1154">
        <f>B44</f>
        <v>40</v>
      </c>
      <c r="C42" s="1154" t="s">
        <v>382</v>
      </c>
      <c r="D42" s="1155" t="str">
        <f>"Lấy mẫu thí nghiệm  xác định độ chặt "&amp;D41</f>
        <v>Lấy mẫu thí nghiệm  xác định độ chặt Đắp đất bờ kênh, độ chặt yêu cầu K=0,85, lớp 1</v>
      </c>
      <c r="E42" s="1156" t="str">
        <f t="shared" si="1"/>
        <v>Đoạn Km0+300 đến Km0+400</v>
      </c>
      <c r="F42" s="726">
        <f>G41</f>
        <v>43980</v>
      </c>
      <c r="G42" s="726">
        <f>F42</f>
        <v>43980</v>
      </c>
      <c r="H42" s="1150">
        <f t="shared" si="2"/>
        <v>1</v>
      </c>
      <c r="I42" s="726"/>
      <c r="J42" s="726"/>
      <c r="K42" s="726"/>
      <c r="L42" s="1151" t="s">
        <v>5939</v>
      </c>
      <c r="M42" s="1079"/>
      <c r="N42" s="529">
        <f>IF(C42&lt;&gt;"",COUNTIF($C$7:C42,C42),"")</f>
        <v>1</v>
      </c>
      <c r="O42" s="493" t="str">
        <f>IF(I42&lt;&gt;"",COUNTIF(I$7:$I42,J42),"")</f>
        <v/>
      </c>
      <c r="P42" s="494" t="str">
        <f>IF(K42&lt;&gt;"",COUNTIF($K$7:K42,K42),"")</f>
        <v/>
      </c>
      <c r="Q42" s="494"/>
    </row>
    <row r="43" spans="1:17" s="794" customFormat="1" ht="30">
      <c r="A43" s="489">
        <v>34</v>
      </c>
      <c r="B43" s="489"/>
      <c r="C43" s="489" t="s">
        <v>1338</v>
      </c>
      <c r="D43" s="490" t="str">
        <f>"Đắp đất bờ kênh, độ chặt yêu cầu K=0,85, lớp "&amp;RIGHT(D41,2)+1</f>
        <v>Đắp đất bờ kênh, độ chặt yêu cầu K=0,85, lớp 2</v>
      </c>
      <c r="E43" s="1145" t="str">
        <f t="shared" si="1"/>
        <v>Đoạn Km0+300 đến Km0+400</v>
      </c>
      <c r="F43" s="491">
        <f>G41</f>
        <v>43980</v>
      </c>
      <c r="G43" s="491">
        <f>F43+1</f>
        <v>43981</v>
      </c>
      <c r="H43" s="1138">
        <f t="shared" si="2"/>
        <v>2</v>
      </c>
      <c r="I43" s="491"/>
      <c r="J43" s="491"/>
      <c r="K43" s="491"/>
      <c r="L43" s="1134"/>
      <c r="M43" s="492"/>
      <c r="N43" s="529"/>
      <c r="O43" s="493">
        <f>IF(C43&lt;&gt;"",COUNTIF($C$7:C43,C43),"")</f>
        <v>2</v>
      </c>
      <c r="P43" s="494" t="str">
        <f>IF(I43&lt;&gt;"",COUNTIF(I$7:$I43,J43),"")</f>
        <v/>
      </c>
      <c r="Q43" s="494" t="str">
        <f>IF(K43&lt;&gt;"",COUNTIF($K$7:K43,K43),"")</f>
        <v/>
      </c>
    </row>
    <row r="44" spans="1:17" s="794" customFormat="1" ht="45">
      <c r="A44" s="1154">
        <v>35</v>
      </c>
      <c r="B44" s="1154">
        <f>B46</f>
        <v>40</v>
      </c>
      <c r="C44" s="1154" t="s">
        <v>382</v>
      </c>
      <c r="D44" s="1155" t="str">
        <f>"Lấy mẫu thí nghiệm  xác định độ chặt "&amp;D43</f>
        <v>Lấy mẫu thí nghiệm  xác định độ chặt Đắp đất bờ kênh, độ chặt yêu cầu K=0,85, lớp 2</v>
      </c>
      <c r="E44" s="1156" t="str">
        <f t="shared" si="1"/>
        <v>Đoạn Km0+300 đến Km0+400</v>
      </c>
      <c r="F44" s="726">
        <f>G43</f>
        <v>43981</v>
      </c>
      <c r="G44" s="726">
        <f>F44</f>
        <v>43981</v>
      </c>
      <c r="H44" s="1150">
        <f t="shared" si="2"/>
        <v>1</v>
      </c>
      <c r="I44" s="726"/>
      <c r="J44" s="726"/>
      <c r="K44" s="726"/>
      <c r="L44" s="1151" t="s">
        <v>5940</v>
      </c>
      <c r="M44" s="1079"/>
      <c r="N44" s="529">
        <f>IF(C44&lt;&gt;"",COUNTIF($C$7:C44,C44),"")</f>
        <v>2</v>
      </c>
      <c r="O44" s="493" t="str">
        <f>IF(I44&lt;&gt;"",COUNTIF(I$7:$I44,J44),"")</f>
        <v/>
      </c>
      <c r="P44" s="494" t="str">
        <f>IF(K44&lt;&gt;"",COUNTIF($K$7:K44,K44),"")</f>
        <v/>
      </c>
      <c r="Q44" s="494"/>
    </row>
    <row r="45" spans="1:17" s="794" customFormat="1" ht="30">
      <c r="A45" s="489">
        <v>36</v>
      </c>
      <c r="B45" s="489"/>
      <c r="C45" s="489" t="s">
        <v>1338</v>
      </c>
      <c r="D45" s="490" t="str">
        <f>"Đắp đất bờ kênh, độ chặt yêu cầu K=0,85, lớp "&amp;RIGHT(D43,2)+1</f>
        <v>Đắp đất bờ kênh, độ chặt yêu cầu K=0,85, lớp 3</v>
      </c>
      <c r="E45" s="1145" t="str">
        <f t="shared" si="1"/>
        <v>Đoạn Km0+300 đến Km0+400</v>
      </c>
      <c r="F45" s="491">
        <f>G43</f>
        <v>43981</v>
      </c>
      <c r="G45" s="491">
        <f>F45+1</f>
        <v>43982</v>
      </c>
      <c r="H45" s="1138">
        <f t="shared" si="2"/>
        <v>2</v>
      </c>
      <c r="I45" s="491"/>
      <c r="J45" s="491"/>
      <c r="K45" s="491"/>
      <c r="L45" s="1134"/>
      <c r="M45" s="492"/>
      <c r="N45" s="529"/>
      <c r="O45" s="493">
        <f>IF(C45&lt;&gt;"",COUNTIF($C$7:C45,C45),"")</f>
        <v>3</v>
      </c>
      <c r="P45" s="494" t="str">
        <f>IF(I45&lt;&gt;"",COUNTIF(I$7:$I45,J45),"")</f>
        <v/>
      </c>
      <c r="Q45" s="494" t="str">
        <f>IF(K45&lt;&gt;"",COUNTIF($K$7:K45,K45),"")</f>
        <v/>
      </c>
    </row>
    <row r="46" spans="1:17" s="794" customFormat="1" ht="45">
      <c r="A46" s="1154">
        <v>37</v>
      </c>
      <c r="B46" s="1154">
        <f>B48</f>
        <v>40</v>
      </c>
      <c r="C46" s="1154" t="s">
        <v>382</v>
      </c>
      <c r="D46" s="1155" t="str">
        <f>"Lấy mẫu thí nghiệm  xác định độ chặt "&amp;D45</f>
        <v>Lấy mẫu thí nghiệm  xác định độ chặt Đắp đất bờ kênh, độ chặt yêu cầu K=0,85, lớp 3</v>
      </c>
      <c r="E46" s="1156" t="str">
        <f t="shared" si="1"/>
        <v>Đoạn Km0+300 đến Km0+400</v>
      </c>
      <c r="F46" s="726">
        <f>G45</f>
        <v>43982</v>
      </c>
      <c r="G46" s="726">
        <f>F46</f>
        <v>43982</v>
      </c>
      <c r="H46" s="1150">
        <f t="shared" si="2"/>
        <v>1</v>
      </c>
      <c r="I46" s="726"/>
      <c r="J46" s="726"/>
      <c r="K46" s="726"/>
      <c r="L46" s="1151" t="s">
        <v>5941</v>
      </c>
      <c r="M46" s="1079"/>
      <c r="N46" s="529">
        <f>IF(C46&lt;&gt;"",COUNTIF($C$7:C46,C46),"")</f>
        <v>3</v>
      </c>
      <c r="O46" s="493" t="str">
        <f>IF(I46&lt;&gt;"",COUNTIF(I$7:$I46,J46),"")</f>
        <v/>
      </c>
      <c r="P46" s="494" t="str">
        <f>IF(K46&lt;&gt;"",COUNTIF($K$7:K46,K46),"")</f>
        <v/>
      </c>
      <c r="Q46" s="494"/>
    </row>
    <row r="47" spans="1:17" s="794" customFormat="1" ht="30">
      <c r="A47" s="489">
        <v>38</v>
      </c>
      <c r="B47" s="489"/>
      <c r="C47" s="489" t="s">
        <v>1338</v>
      </c>
      <c r="D47" s="490" t="str">
        <f>"Đắp đất bờ kênh, độ chặt yêu cầu K=0,85, lớp "&amp;RIGHT(D45,2)+1</f>
        <v>Đắp đất bờ kênh, độ chặt yêu cầu K=0,85, lớp 4</v>
      </c>
      <c r="E47" s="1145" t="str">
        <f t="shared" si="1"/>
        <v>Đoạn Km0+300 đến Km0+400</v>
      </c>
      <c r="F47" s="491">
        <f>G45</f>
        <v>43982</v>
      </c>
      <c r="G47" s="491">
        <f>F47+1</f>
        <v>43983</v>
      </c>
      <c r="H47" s="1138">
        <f t="shared" si="2"/>
        <v>2</v>
      </c>
      <c r="I47" s="491"/>
      <c r="J47" s="491"/>
      <c r="K47" s="491"/>
      <c r="L47" s="1134"/>
      <c r="M47" s="492"/>
      <c r="N47" s="529"/>
      <c r="O47" s="493">
        <f>IF(C47&lt;&gt;"",COUNTIF($C$7:C47,C47),"")</f>
        <v>4</v>
      </c>
      <c r="P47" s="494" t="str">
        <f>IF(I47&lt;&gt;"",COUNTIF(I$7:$I47,J47),"")</f>
        <v/>
      </c>
      <c r="Q47" s="494" t="str">
        <f>IF(K47&lt;&gt;"",COUNTIF($K$7:K47,K47),"")</f>
        <v/>
      </c>
    </row>
    <row r="48" spans="1:17" s="794" customFormat="1" ht="45">
      <c r="A48" s="1154">
        <v>39</v>
      </c>
      <c r="B48" s="1154">
        <f>A49</f>
        <v>40</v>
      </c>
      <c r="C48" s="1154" t="s">
        <v>382</v>
      </c>
      <c r="D48" s="1155" t="str">
        <f>"Lấy mẫu thí nghiệm  xác định độ chặt "&amp;D47</f>
        <v>Lấy mẫu thí nghiệm  xác định độ chặt Đắp đất bờ kênh, độ chặt yêu cầu K=0,85, lớp 4</v>
      </c>
      <c r="E48" s="1156" t="str">
        <f t="shared" si="1"/>
        <v>Đoạn Km0+300 đến Km0+400</v>
      </c>
      <c r="F48" s="726">
        <f>G47</f>
        <v>43983</v>
      </c>
      <c r="G48" s="726">
        <f>F48</f>
        <v>43983</v>
      </c>
      <c r="H48" s="1150">
        <f t="shared" si="2"/>
        <v>1</v>
      </c>
      <c r="I48" s="726"/>
      <c r="J48" s="726"/>
      <c r="K48" s="726"/>
      <c r="L48" s="1151" t="s">
        <v>5942</v>
      </c>
      <c r="M48" s="1079"/>
      <c r="N48" s="529">
        <f>IF(C48&lt;&gt;"",COUNTIF($C$7:C48,C48),"")</f>
        <v>4</v>
      </c>
      <c r="O48" s="493" t="str">
        <f>IF(I48&lt;&gt;"",COUNTIF(I$7:$I48,J48),"")</f>
        <v/>
      </c>
      <c r="P48" s="494" t="str">
        <f>IF(K48&lt;&gt;"",COUNTIF($K$7:K48,K48),"")</f>
        <v/>
      </c>
      <c r="Q48" s="494"/>
    </row>
    <row r="49" spans="1:17" s="794" customFormat="1" ht="30">
      <c r="A49" s="496">
        <v>40</v>
      </c>
      <c r="B49" s="496"/>
      <c r="C49" s="496" t="s">
        <v>1338</v>
      </c>
      <c r="D49" s="497" t="s">
        <v>5943</v>
      </c>
      <c r="E49" s="1144" t="str">
        <f t="shared" si="1"/>
        <v>Đoạn Km0+300 đến Km0+400</v>
      </c>
      <c r="F49" s="499"/>
      <c r="G49" s="499"/>
      <c r="H49" s="1136"/>
      <c r="I49" s="499">
        <f>G47</f>
        <v>43983</v>
      </c>
      <c r="J49" s="499">
        <f>IF(I49&lt;&gt;"",I49,"")</f>
        <v>43983</v>
      </c>
      <c r="K49" s="499">
        <f>IF(J49&lt;&gt;"",J49+1,"")</f>
        <v>43984</v>
      </c>
      <c r="L49" s="1141"/>
      <c r="M49" s="500" t="s">
        <v>4431</v>
      </c>
      <c r="N49" s="530" t="s">
        <v>382</v>
      </c>
      <c r="O49" s="493">
        <f>IF(C49&lt;&gt;"",COUNTIF($C$7:C49,C49),"")</f>
        <v>5</v>
      </c>
      <c r="P49" s="494">
        <f>IF(I49&lt;&gt;"",COUNTIF(I$7:$I49,J49),"")</f>
        <v>1</v>
      </c>
      <c r="Q49" s="494">
        <f>IF(K49&lt;&gt;"",COUNTIF($K$7:K49,K49),"")</f>
        <v>1</v>
      </c>
    </row>
    <row r="50" spans="1:17" s="794" customFormat="1">
      <c r="A50" s="1295"/>
      <c r="B50" s="1295"/>
      <c r="C50" s="1295"/>
      <c r="D50" s="1296" t="s">
        <v>5944</v>
      </c>
      <c r="E50" s="1297"/>
      <c r="F50" s="759"/>
      <c r="G50" s="759"/>
      <c r="H50" s="1137"/>
      <c r="I50" s="504"/>
      <c r="J50" s="504"/>
      <c r="K50" s="504"/>
      <c r="L50" s="505"/>
      <c r="M50" s="506"/>
      <c r="N50" s="529"/>
      <c r="O50" s="493"/>
      <c r="P50" s="494"/>
      <c r="Q50" s="494"/>
    </row>
    <row r="51" spans="1:17" s="794" customFormat="1" ht="30">
      <c r="A51" s="792">
        <v>41</v>
      </c>
      <c r="B51" s="792"/>
      <c r="C51" s="792" t="s">
        <v>1240</v>
      </c>
      <c r="D51" s="793" t="s">
        <v>5770</v>
      </c>
      <c r="E51" s="1142" t="str">
        <f>D50</f>
        <v>Đoạn Km0+400 đến Km0+500</v>
      </c>
      <c r="F51" s="491">
        <f>K22</f>
        <v>43961</v>
      </c>
      <c r="G51" s="491">
        <f>F51+1</f>
        <v>43962</v>
      </c>
      <c r="H51" s="1138">
        <f>IF(G51&lt;&gt;"",G51-F51+1,"")</f>
        <v>2</v>
      </c>
      <c r="I51" s="491"/>
      <c r="J51" s="491"/>
      <c r="K51" s="491"/>
      <c r="L51" s="1134"/>
      <c r="M51" s="492"/>
      <c r="N51" s="529"/>
      <c r="O51" s="493">
        <f>IF(C51&lt;&gt;"",COUNTIF($C$7:C51,C51),"")</f>
        <v>3</v>
      </c>
      <c r="P51" s="494" t="str">
        <f>IF(I51&lt;&gt;"",COUNTIF(I$7:$I51,J51),"")</f>
        <v/>
      </c>
      <c r="Q51" s="494" t="str">
        <f>IF(K51&lt;&gt;"",COUNTIF($K$7:K51,K51),"")</f>
        <v/>
      </c>
    </row>
    <row r="52" spans="1:17" s="794" customFormat="1" ht="30">
      <c r="A52" s="723">
        <v>42</v>
      </c>
      <c r="B52" s="723">
        <f>A53</f>
        <v>43</v>
      </c>
      <c r="C52" s="723" t="s">
        <v>210</v>
      </c>
      <c r="D52" s="724" t="s">
        <v>5933</v>
      </c>
      <c r="E52" s="1143" t="str">
        <f t="shared" ref="E52:E66" si="3">E51</f>
        <v>Đoạn Km0+400 đến Km0+500</v>
      </c>
      <c r="F52" s="725"/>
      <c r="G52" s="725"/>
      <c r="H52" s="1139"/>
      <c r="I52" s="725"/>
      <c r="J52" s="725"/>
      <c r="K52" s="725">
        <f>G51</f>
        <v>43962</v>
      </c>
      <c r="L52" s="1140" t="s">
        <v>5945</v>
      </c>
      <c r="M52" s="984"/>
      <c r="N52" s="529"/>
      <c r="O52" s="493"/>
      <c r="P52" s="494"/>
      <c r="Q52" s="494"/>
    </row>
    <row r="53" spans="1:17" s="794" customFormat="1" ht="30">
      <c r="A53" s="496">
        <v>43</v>
      </c>
      <c r="B53" s="496"/>
      <c r="C53" s="496" t="s">
        <v>1240</v>
      </c>
      <c r="D53" s="497" t="str">
        <f>D51</f>
        <v>Đào đất hố móng</v>
      </c>
      <c r="E53" s="1144" t="str">
        <f t="shared" si="3"/>
        <v>Đoạn Km0+400 đến Km0+500</v>
      </c>
      <c r="F53" s="499"/>
      <c r="G53" s="499"/>
      <c r="H53" s="1136"/>
      <c r="I53" s="499">
        <f>K52</f>
        <v>43962</v>
      </c>
      <c r="J53" s="499">
        <f>IF(I53&lt;&gt;"",I53,"")</f>
        <v>43962</v>
      </c>
      <c r="K53" s="499">
        <f>IF(J53&lt;&gt;"",J53+1,"")</f>
        <v>43963</v>
      </c>
      <c r="L53" s="1141"/>
      <c r="M53" s="500" t="s">
        <v>4431</v>
      </c>
      <c r="N53" s="530" t="s">
        <v>150</v>
      </c>
      <c r="O53" s="493">
        <f>IF(C53&lt;&gt;"",COUNTIF($C$7:C53,C53),"")</f>
        <v>4</v>
      </c>
      <c r="P53" s="494">
        <f>IF(I53&lt;&gt;"",COUNTIF(I$7:$I53,J53),"")</f>
        <v>1</v>
      </c>
      <c r="Q53" s="494">
        <f>IF(K53&lt;&gt;"",COUNTIF($K$7:K53,K53),"")</f>
        <v>1</v>
      </c>
    </row>
    <row r="54" spans="1:17" s="794" customFormat="1" ht="30">
      <c r="A54" s="489">
        <v>44</v>
      </c>
      <c r="B54" s="489"/>
      <c r="C54" s="489" t="s">
        <v>1864</v>
      </c>
      <c r="D54" s="490" t="s">
        <v>5934</v>
      </c>
      <c r="E54" s="1145" t="str">
        <f t="shared" si="3"/>
        <v>Đoạn Km0+400 đến Km0+500</v>
      </c>
      <c r="F54" s="491">
        <f>K53</f>
        <v>43963</v>
      </c>
      <c r="G54" s="491">
        <f>F54</f>
        <v>43963</v>
      </c>
      <c r="H54" s="1138">
        <f>IF(G54&lt;&gt;"",G54-F54+1,"")</f>
        <v>1</v>
      </c>
      <c r="I54" s="491"/>
      <c r="J54" s="491"/>
      <c r="K54" s="491"/>
      <c r="L54" s="1134"/>
      <c r="M54" s="492"/>
      <c r="N54" s="529"/>
      <c r="O54" s="493">
        <f>IF(C54&lt;&gt;"",COUNTIF($C$7:C54,C54),"")</f>
        <v>3</v>
      </c>
      <c r="P54" s="494" t="str">
        <f>IF(I54&lt;&gt;"",COUNTIF(I$7:$I54,J54),"")</f>
        <v/>
      </c>
      <c r="Q54" s="494" t="str">
        <f>IF(K54&lt;&gt;"",COUNTIF($K$7:K54,K54),"")</f>
        <v/>
      </c>
    </row>
    <row r="55" spans="1:17" s="794" customFormat="1" ht="30">
      <c r="A55" s="1147">
        <v>45</v>
      </c>
      <c r="B55" s="1147">
        <f>A57</f>
        <v>47</v>
      </c>
      <c r="C55" s="1147" t="s">
        <v>402</v>
      </c>
      <c r="D55" s="1148" t="str">
        <f>SUBSTITUTE(D54,"Thi công","Lấy mẫu thí nghiệm")</f>
        <v>Lấy mẫu thí nghiệm vữa lót móng M75</v>
      </c>
      <c r="E55" s="1149" t="str">
        <f t="shared" si="3"/>
        <v>Đoạn Km0+400 đến Km0+500</v>
      </c>
      <c r="F55" s="726">
        <f>F54</f>
        <v>43963</v>
      </c>
      <c r="G55" s="726">
        <f>F55</f>
        <v>43963</v>
      </c>
      <c r="H55" s="1150">
        <f>IF(G55&lt;&gt;"",G55-F55+1,"")</f>
        <v>1</v>
      </c>
      <c r="I55" s="726"/>
      <c r="J55" s="726"/>
      <c r="K55" s="726"/>
      <c r="L55" s="1151" t="str">
        <f>"M75/7,07x7,07x7,07//R3/R7//"&amp;Nhattrinh!A53</f>
        <v>M75/7,07x7,07x7,07//R3/R7//43</v>
      </c>
      <c r="M55" s="1079"/>
      <c r="N55" s="529">
        <f>IF(C55&lt;&gt;"",COUNTIF($C$7:C55,C55),"")</f>
        <v>2</v>
      </c>
      <c r="O55" s="493" t="str">
        <f>IF(I55&lt;&gt;"",COUNTIF(I$7:$I55,J55),"")</f>
        <v/>
      </c>
      <c r="P55" s="494" t="str">
        <f>IF(K55&lt;&gt;"",COUNTIF($K$7:K55,K55),"")</f>
        <v/>
      </c>
      <c r="Q55" s="494"/>
    </row>
    <row r="56" spans="1:17" s="794" customFormat="1" ht="30">
      <c r="A56" s="502">
        <v>46</v>
      </c>
      <c r="B56" s="502"/>
      <c r="C56" s="502" t="s">
        <v>254</v>
      </c>
      <c r="D56" s="503" t="str">
        <f>SUBSTITUTE(D54,"Thi công","Bảo dưỡng")</f>
        <v>Bảo dưỡng vữa lót móng M75</v>
      </c>
      <c r="E56" s="1146" t="str">
        <f t="shared" si="3"/>
        <v>Đoạn Km0+400 đến Km0+500</v>
      </c>
      <c r="F56" s="504">
        <f>G55+1</f>
        <v>43964</v>
      </c>
      <c r="G56" s="504">
        <f>F56+2</f>
        <v>43966</v>
      </c>
      <c r="H56" s="1137"/>
      <c r="I56" s="504"/>
      <c r="J56" s="504"/>
      <c r="K56" s="504"/>
      <c r="L56" s="1135"/>
      <c r="M56" s="506"/>
      <c r="N56" s="529"/>
      <c r="O56" s="493"/>
      <c r="P56" s="494"/>
      <c r="Q56" s="494"/>
    </row>
    <row r="57" spans="1:17" s="794" customFormat="1" ht="30">
      <c r="A57" s="496">
        <v>47</v>
      </c>
      <c r="B57" s="496"/>
      <c r="C57" s="496" t="s">
        <v>1864</v>
      </c>
      <c r="D57" s="497" t="str">
        <f>SUBSTITUTE(D54,"Thi công vữa","Vữa")</f>
        <v>Vữa lót móng M75</v>
      </c>
      <c r="E57" s="1144" t="str">
        <f t="shared" si="3"/>
        <v>Đoạn Km0+400 đến Km0+500</v>
      </c>
      <c r="F57" s="499"/>
      <c r="G57" s="499"/>
      <c r="H57" s="1136"/>
      <c r="I57" s="499">
        <f>G55+7</f>
        <v>43970</v>
      </c>
      <c r="J57" s="499">
        <f>IF(I57&lt;&gt;"",I57,"")</f>
        <v>43970</v>
      </c>
      <c r="K57" s="499">
        <f>IF(J57&lt;&gt;"",J57+1,"")</f>
        <v>43971</v>
      </c>
      <c r="L57" s="1141"/>
      <c r="M57" s="500" t="s">
        <v>5935</v>
      </c>
      <c r="N57" s="530" t="s">
        <v>402</v>
      </c>
      <c r="O57" s="493">
        <f>IF(C57&lt;&gt;"",COUNTIF($C$7:C57,C57),"")</f>
        <v>4</v>
      </c>
      <c r="P57" s="494">
        <f>IF(I57&lt;&gt;"",COUNTIF(I$7:$I57,J57),"")</f>
        <v>2</v>
      </c>
      <c r="Q57" s="494">
        <f>IF(K57&lt;&gt;"",COUNTIF($K$7:K57,K57),"")</f>
        <v>4</v>
      </c>
    </row>
    <row r="58" spans="1:17" s="794" customFormat="1" ht="30">
      <c r="A58" s="489">
        <v>48</v>
      </c>
      <c r="B58" s="489"/>
      <c r="C58" s="489" t="s">
        <v>1728</v>
      </c>
      <c r="D58" s="490" t="s">
        <v>5772</v>
      </c>
      <c r="E58" s="1145" t="str">
        <f t="shared" si="3"/>
        <v>Đoạn Km0+400 đến Km0+500</v>
      </c>
      <c r="F58" s="491">
        <f>K57</f>
        <v>43971</v>
      </c>
      <c r="G58" s="491">
        <f>F58</f>
        <v>43971</v>
      </c>
      <c r="H58" s="1138">
        <f>IF(G58&lt;&gt;"",G58-F58+1,"")</f>
        <v>1</v>
      </c>
      <c r="I58" s="491"/>
      <c r="J58" s="491"/>
      <c r="K58" s="491"/>
      <c r="L58" s="1134"/>
      <c r="M58" s="492"/>
      <c r="N58" s="529"/>
      <c r="O58" s="493">
        <f>IF(C58&lt;&gt;"",COUNTIF($C$7:C58,C58),"")</f>
        <v>3</v>
      </c>
      <c r="P58" s="494" t="str">
        <f>IF(I58&lt;&gt;"",COUNTIF(I$7:$I58,J58),"")</f>
        <v/>
      </c>
      <c r="Q58" s="494" t="str">
        <f>IF(K58&lt;&gt;"",COUNTIF($K$7:K58,K58),"")</f>
        <v/>
      </c>
    </row>
    <row r="59" spans="1:17" s="794" customFormat="1" ht="30">
      <c r="A59" s="723">
        <v>49</v>
      </c>
      <c r="B59" s="723">
        <f>A60</f>
        <v>50</v>
      </c>
      <c r="C59" s="723" t="s">
        <v>266</v>
      </c>
      <c r="D59" s="724" t="s">
        <v>5773</v>
      </c>
      <c r="E59" s="1143" t="str">
        <f t="shared" si="3"/>
        <v>Đoạn Km0+400 đến Km0+500</v>
      </c>
      <c r="F59" s="725"/>
      <c r="G59" s="725"/>
      <c r="H59" s="1139"/>
      <c r="I59" s="725"/>
      <c r="J59" s="725"/>
      <c r="K59" s="725">
        <f>G58</f>
        <v>43971</v>
      </c>
      <c r="L59" s="1140" t="s">
        <v>5774</v>
      </c>
      <c r="M59" s="984"/>
      <c r="N59" s="529"/>
      <c r="O59" s="493"/>
      <c r="P59" s="494"/>
      <c r="Q59" s="494"/>
    </row>
    <row r="60" spans="1:17" s="794" customFormat="1" ht="30">
      <c r="A60" s="496">
        <v>50</v>
      </c>
      <c r="B60" s="496"/>
      <c r="C60" s="496" t="s">
        <v>1728</v>
      </c>
      <c r="D60" s="497" t="str">
        <f>D58</f>
        <v>Sản xuất, lắp dựng cốt thép kênh</v>
      </c>
      <c r="E60" s="1144" t="str">
        <f t="shared" si="3"/>
        <v>Đoạn Km0+400 đến Km0+500</v>
      </c>
      <c r="F60" s="499"/>
      <c r="G60" s="499"/>
      <c r="H60" s="1136"/>
      <c r="I60" s="499">
        <f>K59</f>
        <v>43971</v>
      </c>
      <c r="J60" s="499">
        <f>IF(I60&lt;&gt;"",I60,"")</f>
        <v>43971</v>
      </c>
      <c r="K60" s="499">
        <f>IF(J60&lt;&gt;"",J60+1,"")</f>
        <v>43972</v>
      </c>
      <c r="L60" s="1141"/>
      <c r="M60" s="500" t="s">
        <v>3849</v>
      </c>
      <c r="N60" s="530" t="s">
        <v>150</v>
      </c>
      <c r="O60" s="493">
        <f>IF(C60&lt;&gt;"",COUNTIF($C$7:C60,C60),"")</f>
        <v>4</v>
      </c>
      <c r="P60" s="494">
        <f>IF(I60&lt;&gt;"",COUNTIF(I$7:$I60,J60),"")</f>
        <v>1</v>
      </c>
      <c r="Q60" s="494">
        <f>IF(K60&lt;&gt;"",COUNTIF($K$7:K60,K60),"")</f>
        <v>1</v>
      </c>
    </row>
    <row r="61" spans="1:17" s="794" customFormat="1" ht="30">
      <c r="A61" s="489">
        <v>51</v>
      </c>
      <c r="B61" s="489"/>
      <c r="C61" s="489" t="s">
        <v>1765</v>
      </c>
      <c r="D61" s="490" t="s">
        <v>5775</v>
      </c>
      <c r="E61" s="1145" t="str">
        <f t="shared" si="3"/>
        <v>Đoạn Km0+400 đến Km0+500</v>
      </c>
      <c r="F61" s="491">
        <f>K60</f>
        <v>43972</v>
      </c>
      <c r="G61" s="491">
        <f>F61</f>
        <v>43972</v>
      </c>
      <c r="H61" s="1138">
        <f>IF(G61&lt;&gt;"",G61-F61+1,"")</f>
        <v>1</v>
      </c>
      <c r="I61" s="491"/>
      <c r="J61" s="491"/>
      <c r="K61" s="491"/>
      <c r="L61" s="1134"/>
      <c r="M61" s="492"/>
      <c r="N61" s="529"/>
      <c r="O61" s="493">
        <f>IF(C61&lt;&gt;"",COUNTIF($C$7:C61,C61),"")</f>
        <v>3</v>
      </c>
      <c r="P61" s="494" t="str">
        <f>IF(I61&lt;&gt;"",COUNTIF(I$7:$I61,J61),"")</f>
        <v/>
      </c>
      <c r="Q61" s="494" t="str">
        <f>IF(K61&lt;&gt;"",COUNTIF($K$7:K61,K61),"")</f>
        <v/>
      </c>
    </row>
    <row r="62" spans="1:17" s="794" customFormat="1" ht="30">
      <c r="A62" s="723">
        <v>52</v>
      </c>
      <c r="B62" s="723">
        <f>A63</f>
        <v>53</v>
      </c>
      <c r="C62" s="723" t="s">
        <v>211</v>
      </c>
      <c r="D62" s="724" t="s">
        <v>5776</v>
      </c>
      <c r="E62" s="1143" t="str">
        <f t="shared" si="3"/>
        <v>Đoạn Km0+400 đến Km0+500</v>
      </c>
      <c r="F62" s="725"/>
      <c r="G62" s="725"/>
      <c r="H62" s="1139"/>
      <c r="I62" s="725"/>
      <c r="J62" s="725"/>
      <c r="K62" s="725">
        <f>G61</f>
        <v>43972</v>
      </c>
      <c r="L62" s="1140" t="s">
        <v>5946</v>
      </c>
      <c r="M62" s="984"/>
      <c r="N62" s="529"/>
      <c r="O62" s="493"/>
      <c r="P62" s="494"/>
      <c r="Q62" s="494"/>
    </row>
    <row r="63" spans="1:17" s="794" customFormat="1" ht="30">
      <c r="A63" s="496">
        <v>53</v>
      </c>
      <c r="B63" s="496"/>
      <c r="C63" s="496" t="s">
        <v>1765</v>
      </c>
      <c r="D63" s="497" t="str">
        <f>D61</f>
        <v>Sản xuất, lắp dựng ván khuôn kênh</v>
      </c>
      <c r="E63" s="1144" t="str">
        <f t="shared" si="3"/>
        <v>Đoạn Km0+400 đến Km0+500</v>
      </c>
      <c r="F63" s="499"/>
      <c r="G63" s="499"/>
      <c r="H63" s="1136"/>
      <c r="I63" s="499">
        <f>K62</f>
        <v>43972</v>
      </c>
      <c r="J63" s="499">
        <f>IF(I63&lt;&gt;"",I63,"")</f>
        <v>43972</v>
      </c>
      <c r="K63" s="499">
        <f>IF(J63&lt;&gt;"",J63+1,"")</f>
        <v>43973</v>
      </c>
      <c r="L63" s="1141"/>
      <c r="M63" s="500" t="s">
        <v>3849</v>
      </c>
      <c r="N63" s="530" t="s">
        <v>150</v>
      </c>
      <c r="O63" s="493">
        <f>IF(C63&lt;&gt;"",COUNTIF($C$7:C63,C63),"")</f>
        <v>4</v>
      </c>
      <c r="P63" s="494">
        <f>IF(I63&lt;&gt;"",COUNTIF(I$7:$I63,J63),"")</f>
        <v>1</v>
      </c>
      <c r="Q63" s="494">
        <f>IF(K63&lt;&gt;"",COUNTIF($K$7:K63,K63),"")</f>
        <v>1</v>
      </c>
    </row>
    <row r="64" spans="1:17" s="794" customFormat="1" ht="30">
      <c r="A64" s="489">
        <v>54</v>
      </c>
      <c r="B64" s="489"/>
      <c r="C64" s="489" t="s">
        <v>1714</v>
      </c>
      <c r="D64" s="490" t="s">
        <v>5936</v>
      </c>
      <c r="E64" s="1145" t="str">
        <f t="shared" si="3"/>
        <v>Đoạn Km0+400 đến Km0+500</v>
      </c>
      <c r="F64" s="491">
        <f>K63</f>
        <v>43973</v>
      </c>
      <c r="G64" s="491">
        <f>F64</f>
        <v>43973</v>
      </c>
      <c r="H64" s="1138">
        <f>IF(G64&lt;&gt;"",G64-F64+1,"")</f>
        <v>1</v>
      </c>
      <c r="I64" s="491"/>
      <c r="J64" s="491"/>
      <c r="K64" s="491"/>
      <c r="L64" s="1134"/>
      <c r="M64" s="492"/>
      <c r="N64" s="529"/>
      <c r="O64" s="493">
        <f>IF(C64&lt;&gt;"",COUNTIF($C$7:C64,C64),"")</f>
        <v>3</v>
      </c>
      <c r="P64" s="494" t="str">
        <f>IF(I64&lt;&gt;"",COUNTIF(I$7:$I64,J64),"")</f>
        <v/>
      </c>
      <c r="Q64" s="494" t="str">
        <f>IF(K64&lt;&gt;"",COUNTIF($K$7:K64,K64),"")</f>
        <v/>
      </c>
    </row>
    <row r="65" spans="1:17" s="794" customFormat="1" ht="30">
      <c r="A65" s="723">
        <v>55</v>
      </c>
      <c r="B65" s="723">
        <f>B66</f>
        <v>61</v>
      </c>
      <c r="C65" s="723" t="s">
        <v>311</v>
      </c>
      <c r="D65" s="724" t="s">
        <v>5778</v>
      </c>
      <c r="E65" s="1143" t="str">
        <f t="shared" si="3"/>
        <v>Đoạn Km0+400 đến Km0+500</v>
      </c>
      <c r="F65" s="725"/>
      <c r="G65" s="725"/>
      <c r="H65" s="1139"/>
      <c r="I65" s="725"/>
      <c r="J65" s="725"/>
      <c r="K65" s="725">
        <f>G64</f>
        <v>43973</v>
      </c>
      <c r="L65" s="1140"/>
      <c r="M65" s="984"/>
      <c r="N65" s="529"/>
      <c r="O65" s="493"/>
      <c r="P65" s="494"/>
      <c r="Q65" s="494"/>
    </row>
    <row r="66" spans="1:17" s="794" customFormat="1" ht="30">
      <c r="A66" s="723">
        <v>56</v>
      </c>
      <c r="B66" s="723">
        <f>B67</f>
        <v>61</v>
      </c>
      <c r="C66" s="723" t="s">
        <v>3841</v>
      </c>
      <c r="D66" s="724" t="s">
        <v>5866</v>
      </c>
      <c r="E66" s="1143" t="str">
        <f t="shared" si="3"/>
        <v>Đoạn Km0+400 đến Km0+500</v>
      </c>
      <c r="F66" s="725"/>
      <c r="G66" s="725"/>
      <c r="H66" s="1139"/>
      <c r="I66" s="725"/>
      <c r="J66" s="725"/>
      <c r="K66" s="725">
        <f>K65</f>
        <v>43973</v>
      </c>
      <c r="L66" s="1140" t="s">
        <v>5937</v>
      </c>
      <c r="M66" s="984"/>
      <c r="N66" s="529"/>
      <c r="O66" s="493"/>
      <c r="P66" s="494"/>
      <c r="Q66" s="494"/>
    </row>
    <row r="67" spans="1:17" s="794" customFormat="1" ht="30">
      <c r="A67" s="1154">
        <v>57</v>
      </c>
      <c r="B67" s="1154">
        <f>B69</f>
        <v>61</v>
      </c>
      <c r="C67" s="1154" t="s">
        <v>401</v>
      </c>
      <c r="D67" s="1155" t="str">
        <f>SUBSTITUTE(D64,"Đổ","Lấy mẫu thí nghiệm")</f>
        <v>Lấy mẫu thí nghiệm bê tông kênh M200 đá 1x2cm</v>
      </c>
      <c r="E67" s="1156" t="str">
        <f>E65</f>
        <v>Đoạn Km0+400 đến Km0+500</v>
      </c>
      <c r="F67" s="726">
        <f>G64</f>
        <v>43973</v>
      </c>
      <c r="G67" s="726">
        <f>F67</f>
        <v>43973</v>
      </c>
      <c r="H67" s="1150">
        <f>IF(G67&lt;&gt;"",G67-F67+1,"")</f>
        <v>1</v>
      </c>
      <c r="I67" s="726"/>
      <c r="J67" s="726"/>
      <c r="K67" s="726"/>
      <c r="L67" s="1151" t="str">
        <f>"M200/đá 1x2cm/6-:-8/R3/R7//"&amp;Nhattrinh!A63</f>
        <v>M200/đá 1x2cm/6-:-8/R3/R7//53</v>
      </c>
      <c r="M67" s="1079"/>
      <c r="N67" s="529">
        <f>IF(C67&lt;&gt;"",COUNTIF($C$7:C67,C67),"")</f>
        <v>2</v>
      </c>
      <c r="O67" s="493" t="str">
        <f>IF(I67&lt;&gt;"",COUNTIF(I$7:$I67,J67),"")</f>
        <v/>
      </c>
      <c r="P67" s="494" t="str">
        <f>IF(K67&lt;&gt;"",COUNTIF($K$7:K67,K67),"")</f>
        <v/>
      </c>
      <c r="Q67" s="494"/>
    </row>
    <row r="68" spans="1:17" s="794" customFormat="1" ht="30">
      <c r="A68" s="502">
        <v>58</v>
      </c>
      <c r="B68" s="502"/>
      <c r="C68" s="502" t="s">
        <v>254</v>
      </c>
      <c r="D68" s="503" t="str">
        <f>SUBSTITUTE(D64,"Đổ","Bảo dưỡng")</f>
        <v>Bảo dưỡng bê tông kênh M200 đá 1x2cm</v>
      </c>
      <c r="E68" s="1146" t="str">
        <f t="shared" ref="E68:E80" si="4">E67</f>
        <v>Đoạn Km0+400 đến Km0+500</v>
      </c>
      <c r="F68" s="504">
        <f>G67+1</f>
        <v>43974</v>
      </c>
      <c r="G68" s="504">
        <f>F68+3</f>
        <v>43977</v>
      </c>
      <c r="H68" s="1137"/>
      <c r="I68" s="504"/>
      <c r="J68" s="504"/>
      <c r="K68" s="504"/>
      <c r="L68" s="1135"/>
      <c r="M68" s="506"/>
      <c r="N68" s="529"/>
      <c r="O68" s="493"/>
      <c r="P68" s="494"/>
      <c r="Q68" s="494"/>
    </row>
    <row r="69" spans="1:17" s="794" customFormat="1" ht="30">
      <c r="A69" s="723">
        <v>59</v>
      </c>
      <c r="B69" s="723">
        <f>B70</f>
        <v>61</v>
      </c>
      <c r="C69" s="723" t="s">
        <v>3846</v>
      </c>
      <c r="D69" s="724" t="s">
        <v>5779</v>
      </c>
      <c r="E69" s="1143" t="str">
        <f t="shared" si="4"/>
        <v>Đoạn Km0+400 đến Km0+500</v>
      </c>
      <c r="F69" s="725"/>
      <c r="G69" s="725"/>
      <c r="H69" s="1139"/>
      <c r="I69" s="725"/>
      <c r="J69" s="725"/>
      <c r="K69" s="725">
        <f>G67+7</f>
        <v>43980</v>
      </c>
      <c r="L69" s="1140"/>
      <c r="M69" s="984"/>
      <c r="N69" s="529"/>
      <c r="O69" s="493"/>
      <c r="P69" s="494"/>
      <c r="Q69" s="494"/>
    </row>
    <row r="70" spans="1:17" s="794" customFormat="1" ht="30">
      <c r="A70" s="723">
        <v>60</v>
      </c>
      <c r="B70" s="723">
        <f>A71</f>
        <v>61</v>
      </c>
      <c r="C70" s="723" t="s">
        <v>4228</v>
      </c>
      <c r="D70" s="724" t="s">
        <v>5780</v>
      </c>
      <c r="E70" s="1143" t="str">
        <f t="shared" si="4"/>
        <v>Đoạn Km0+400 đến Km0+500</v>
      </c>
      <c r="F70" s="725"/>
      <c r="G70" s="725"/>
      <c r="H70" s="1139"/>
      <c r="I70" s="725"/>
      <c r="J70" s="725"/>
      <c r="K70" s="725">
        <f>G67+7</f>
        <v>43980</v>
      </c>
      <c r="L70" s="1140" t="s">
        <v>5948</v>
      </c>
      <c r="M70" s="984"/>
      <c r="N70" s="529"/>
      <c r="O70" s="493"/>
      <c r="P70" s="494"/>
      <c r="Q70" s="494"/>
    </row>
    <row r="71" spans="1:17" s="794" customFormat="1" ht="30">
      <c r="A71" s="496">
        <v>61</v>
      </c>
      <c r="B71" s="496"/>
      <c r="C71" s="496" t="s">
        <v>1714</v>
      </c>
      <c r="D71" s="497" t="str">
        <f>SUBSTITUTE(D64,"Đổ bê","Bê")</f>
        <v>Bê tông kênh M200 đá 1x2cm</v>
      </c>
      <c r="E71" s="1144" t="str">
        <f t="shared" si="4"/>
        <v>Đoạn Km0+400 đến Km0+500</v>
      </c>
      <c r="F71" s="499"/>
      <c r="G71" s="499"/>
      <c r="H71" s="1136"/>
      <c r="I71" s="499">
        <f>K70</f>
        <v>43980</v>
      </c>
      <c r="J71" s="499">
        <f>IF(I71&lt;&gt;"",I71,"")</f>
        <v>43980</v>
      </c>
      <c r="K71" s="499">
        <f>IF(J71&lt;&gt;"",J71+1,"")</f>
        <v>43981</v>
      </c>
      <c r="L71" s="1141"/>
      <c r="M71" s="500" t="s">
        <v>3849</v>
      </c>
      <c r="N71" s="530" t="s">
        <v>401</v>
      </c>
      <c r="O71" s="493">
        <f>IF(C71&lt;&gt;"",COUNTIF($C$7:C71,C71),"")</f>
        <v>4</v>
      </c>
      <c r="P71" s="494">
        <f>IF(I71&lt;&gt;"",COUNTIF(I$7:$I71,J71),"")</f>
        <v>1</v>
      </c>
      <c r="Q71" s="494">
        <f>IF(K71&lt;&gt;"",COUNTIF($K$7:K71,K71),"")</f>
        <v>1</v>
      </c>
    </row>
    <row r="72" spans="1:17" s="794" customFormat="1" ht="30">
      <c r="A72" s="489">
        <v>62</v>
      </c>
      <c r="B72" s="489"/>
      <c r="C72" s="489" t="s">
        <v>1338</v>
      </c>
      <c r="D72" s="490" t="s">
        <v>5938</v>
      </c>
      <c r="E72" s="1145" t="str">
        <f t="shared" si="4"/>
        <v>Đoạn Km0+400 đến Km0+500</v>
      </c>
      <c r="F72" s="491">
        <f>K71</f>
        <v>43981</v>
      </c>
      <c r="G72" s="491">
        <f>F72+1</f>
        <v>43982</v>
      </c>
      <c r="H72" s="1138">
        <f t="shared" ref="H72:H79" si="5">IF(G72&lt;&gt;"",G72-F72+1,"")</f>
        <v>2</v>
      </c>
      <c r="I72" s="491"/>
      <c r="J72" s="491"/>
      <c r="K72" s="491"/>
      <c r="L72" s="1134"/>
      <c r="M72" s="492"/>
      <c r="N72" s="529"/>
      <c r="O72" s="493">
        <f>IF(C72&lt;&gt;"",COUNTIF($C$7:C72,C72),"")</f>
        <v>6</v>
      </c>
      <c r="P72" s="494" t="str">
        <f>IF(I72&lt;&gt;"",COUNTIF(I$7:$I72,J72),"")</f>
        <v/>
      </c>
      <c r="Q72" s="494" t="str">
        <f>IF(K72&lt;&gt;"",COUNTIF($K$7:K72,K72),"")</f>
        <v/>
      </c>
    </row>
    <row r="73" spans="1:17" s="794" customFormat="1" ht="45">
      <c r="A73" s="1154">
        <v>63</v>
      </c>
      <c r="B73" s="1154">
        <f>B75</f>
        <v>70</v>
      </c>
      <c r="C73" s="1154" t="s">
        <v>382</v>
      </c>
      <c r="D73" s="1155" t="str">
        <f>"Lấy mẫu thí nghiệm  xác định độ chặt "&amp;D72</f>
        <v>Lấy mẫu thí nghiệm  xác định độ chặt Đắp đất bờ kênh, độ chặt yêu cầu K=0,85, lớp 1</v>
      </c>
      <c r="E73" s="1156" t="str">
        <f t="shared" si="4"/>
        <v>Đoạn Km0+400 đến Km0+500</v>
      </c>
      <c r="F73" s="726">
        <f>G72</f>
        <v>43982</v>
      </c>
      <c r="G73" s="726">
        <f>F73</f>
        <v>43982</v>
      </c>
      <c r="H73" s="1150">
        <f t="shared" si="5"/>
        <v>1</v>
      </c>
      <c r="I73" s="726"/>
      <c r="J73" s="726"/>
      <c r="K73" s="726"/>
      <c r="L73" s="1151" t="s">
        <v>5947</v>
      </c>
      <c r="M73" s="1079"/>
      <c r="N73" s="529">
        <f>IF(C73&lt;&gt;"",COUNTIF($C$7:C73,C73),"")</f>
        <v>5</v>
      </c>
      <c r="O73" s="493" t="str">
        <f>IF(I73&lt;&gt;"",COUNTIF(I$7:$I73,J73),"")</f>
        <v/>
      </c>
      <c r="P73" s="494" t="str">
        <f>IF(K73&lt;&gt;"",COUNTIF($K$7:K73,K73),"")</f>
        <v/>
      </c>
      <c r="Q73" s="494"/>
    </row>
    <row r="74" spans="1:17" s="794" customFormat="1" ht="30">
      <c r="A74" s="489">
        <v>64</v>
      </c>
      <c r="B74" s="489"/>
      <c r="C74" s="489" t="s">
        <v>1338</v>
      </c>
      <c r="D74" s="490" t="str">
        <f>"Đắp đất bờ kênh, độ chặt yêu cầu K=0,85, lớp "&amp;RIGHT(D72,2)+1</f>
        <v>Đắp đất bờ kênh, độ chặt yêu cầu K=0,85, lớp 2</v>
      </c>
      <c r="E74" s="1145" t="str">
        <f t="shared" si="4"/>
        <v>Đoạn Km0+400 đến Km0+500</v>
      </c>
      <c r="F74" s="491">
        <f>G72</f>
        <v>43982</v>
      </c>
      <c r="G74" s="491">
        <f>F74+1</f>
        <v>43983</v>
      </c>
      <c r="H74" s="1138">
        <f t="shared" si="5"/>
        <v>2</v>
      </c>
      <c r="I74" s="491"/>
      <c r="J74" s="491"/>
      <c r="K74" s="491"/>
      <c r="L74" s="1134"/>
      <c r="M74" s="492"/>
      <c r="N74" s="529"/>
      <c r="O74" s="493">
        <f>IF(C74&lt;&gt;"",COUNTIF($C$7:C74,C74),"")</f>
        <v>7</v>
      </c>
      <c r="P74" s="494" t="str">
        <f>IF(I74&lt;&gt;"",COUNTIF(I$7:$I74,J74),"")</f>
        <v/>
      </c>
      <c r="Q74" s="494" t="str">
        <f>IF(K74&lt;&gt;"",COUNTIF($K$7:K74,K74),"")</f>
        <v/>
      </c>
    </row>
    <row r="75" spans="1:17" s="794" customFormat="1" ht="45">
      <c r="A75" s="1154">
        <v>65</v>
      </c>
      <c r="B75" s="1154">
        <f>B77</f>
        <v>70</v>
      </c>
      <c r="C75" s="1154" t="s">
        <v>382</v>
      </c>
      <c r="D75" s="1155" t="str">
        <f>"Lấy mẫu thí nghiệm  xác định độ chặt "&amp;D74</f>
        <v>Lấy mẫu thí nghiệm  xác định độ chặt Đắp đất bờ kênh, độ chặt yêu cầu K=0,85, lớp 2</v>
      </c>
      <c r="E75" s="1156" t="str">
        <f t="shared" si="4"/>
        <v>Đoạn Km0+400 đến Km0+500</v>
      </c>
      <c r="F75" s="726">
        <f>G74</f>
        <v>43983</v>
      </c>
      <c r="G75" s="726">
        <f>F75</f>
        <v>43983</v>
      </c>
      <c r="H75" s="1150">
        <f t="shared" si="5"/>
        <v>1</v>
      </c>
      <c r="I75" s="726"/>
      <c r="J75" s="726"/>
      <c r="K75" s="726"/>
      <c r="L75" s="1151" t="s">
        <v>5940</v>
      </c>
      <c r="M75" s="1079"/>
      <c r="N75" s="529">
        <f>IF(C75&lt;&gt;"",COUNTIF($C$7:C75,C75),"")</f>
        <v>6</v>
      </c>
      <c r="O75" s="493" t="str">
        <f>IF(I75&lt;&gt;"",COUNTIF(I$7:$I75,J75),"")</f>
        <v/>
      </c>
      <c r="P75" s="494" t="str">
        <f>IF(K75&lt;&gt;"",COUNTIF($K$7:K75,K75),"")</f>
        <v/>
      </c>
      <c r="Q75" s="494"/>
    </row>
    <row r="76" spans="1:17" s="794" customFormat="1" ht="30">
      <c r="A76" s="489">
        <v>66</v>
      </c>
      <c r="B76" s="489"/>
      <c r="C76" s="489" t="s">
        <v>1338</v>
      </c>
      <c r="D76" s="490" t="str">
        <f>"Đắp đất bờ kênh, độ chặt yêu cầu K=0,85, lớp "&amp;RIGHT(D74,2)+1</f>
        <v>Đắp đất bờ kênh, độ chặt yêu cầu K=0,85, lớp 3</v>
      </c>
      <c r="E76" s="1145" t="str">
        <f t="shared" si="4"/>
        <v>Đoạn Km0+400 đến Km0+500</v>
      </c>
      <c r="F76" s="491">
        <f>G74</f>
        <v>43983</v>
      </c>
      <c r="G76" s="491">
        <f>F76+1</f>
        <v>43984</v>
      </c>
      <c r="H76" s="1138">
        <f t="shared" si="5"/>
        <v>2</v>
      </c>
      <c r="I76" s="491"/>
      <c r="J76" s="491"/>
      <c r="K76" s="491"/>
      <c r="L76" s="1134"/>
      <c r="M76" s="492"/>
      <c r="N76" s="529"/>
      <c r="O76" s="493">
        <f>IF(C76&lt;&gt;"",COUNTIF($C$7:C76,C76),"")</f>
        <v>8</v>
      </c>
      <c r="P76" s="494" t="str">
        <f>IF(I76&lt;&gt;"",COUNTIF(I$7:$I76,J76),"")</f>
        <v/>
      </c>
      <c r="Q76" s="494" t="str">
        <f>IF(K76&lt;&gt;"",COUNTIF($K$7:K76,K76),"")</f>
        <v/>
      </c>
    </row>
    <row r="77" spans="1:17" s="794" customFormat="1" ht="45">
      <c r="A77" s="1154">
        <v>67</v>
      </c>
      <c r="B77" s="1154">
        <f>B79</f>
        <v>70</v>
      </c>
      <c r="C77" s="1154" t="s">
        <v>382</v>
      </c>
      <c r="D77" s="1155" t="str">
        <f>"Lấy mẫu thí nghiệm  xác định độ chặt "&amp;D76</f>
        <v>Lấy mẫu thí nghiệm  xác định độ chặt Đắp đất bờ kênh, độ chặt yêu cầu K=0,85, lớp 3</v>
      </c>
      <c r="E77" s="1156" t="str">
        <f t="shared" si="4"/>
        <v>Đoạn Km0+400 đến Km0+500</v>
      </c>
      <c r="F77" s="726">
        <f>G76</f>
        <v>43984</v>
      </c>
      <c r="G77" s="726">
        <f>F77</f>
        <v>43984</v>
      </c>
      <c r="H77" s="1150">
        <f t="shared" si="5"/>
        <v>1</v>
      </c>
      <c r="I77" s="726"/>
      <c r="J77" s="726"/>
      <c r="K77" s="726"/>
      <c r="L77" s="1151" t="s">
        <v>5941</v>
      </c>
      <c r="M77" s="1079"/>
      <c r="N77" s="529">
        <f>IF(C77&lt;&gt;"",COUNTIF($C$7:C77,C77),"")</f>
        <v>7</v>
      </c>
      <c r="O77" s="493" t="str">
        <f>IF(I77&lt;&gt;"",COUNTIF(I$7:$I77,J77),"")</f>
        <v/>
      </c>
      <c r="P77" s="494" t="str">
        <f>IF(K77&lt;&gt;"",COUNTIF($K$7:K77,K77),"")</f>
        <v/>
      </c>
      <c r="Q77" s="494"/>
    </row>
    <row r="78" spans="1:17" s="794" customFormat="1" ht="30">
      <c r="A78" s="489">
        <v>68</v>
      </c>
      <c r="B78" s="489"/>
      <c r="C78" s="489" t="s">
        <v>1338</v>
      </c>
      <c r="D78" s="490" t="str">
        <f>"Đắp đất bờ kênh, độ chặt yêu cầu K=0,85, lớp "&amp;RIGHT(D76,2)+1</f>
        <v>Đắp đất bờ kênh, độ chặt yêu cầu K=0,85, lớp 4</v>
      </c>
      <c r="E78" s="1145" t="str">
        <f t="shared" si="4"/>
        <v>Đoạn Km0+400 đến Km0+500</v>
      </c>
      <c r="F78" s="491">
        <f>G76</f>
        <v>43984</v>
      </c>
      <c r="G78" s="491">
        <f>F78+1</f>
        <v>43985</v>
      </c>
      <c r="H78" s="1138">
        <f t="shared" si="5"/>
        <v>2</v>
      </c>
      <c r="I78" s="491"/>
      <c r="J78" s="491"/>
      <c r="K78" s="491"/>
      <c r="L78" s="1134"/>
      <c r="M78" s="492"/>
      <c r="N78" s="529"/>
      <c r="O78" s="493">
        <f>IF(C78&lt;&gt;"",COUNTIF($C$7:C78,C78),"")</f>
        <v>9</v>
      </c>
      <c r="P78" s="494" t="str">
        <f>IF(I78&lt;&gt;"",COUNTIF(I$7:$I78,J78),"")</f>
        <v/>
      </c>
      <c r="Q78" s="494" t="str">
        <f>IF(K78&lt;&gt;"",COUNTIF($K$7:K78,K78),"")</f>
        <v/>
      </c>
    </row>
    <row r="79" spans="1:17" s="794" customFormat="1" ht="45">
      <c r="A79" s="1154">
        <v>69</v>
      </c>
      <c r="B79" s="1154">
        <f>A80</f>
        <v>70</v>
      </c>
      <c r="C79" s="1154" t="s">
        <v>382</v>
      </c>
      <c r="D79" s="1155" t="str">
        <f>"Lấy mẫu thí nghiệm  xác định độ chặt "&amp;D78</f>
        <v>Lấy mẫu thí nghiệm  xác định độ chặt Đắp đất bờ kênh, độ chặt yêu cầu K=0,85, lớp 4</v>
      </c>
      <c r="E79" s="1156" t="str">
        <f t="shared" si="4"/>
        <v>Đoạn Km0+400 đến Km0+500</v>
      </c>
      <c r="F79" s="726">
        <f>G78</f>
        <v>43985</v>
      </c>
      <c r="G79" s="726">
        <f>F79</f>
        <v>43985</v>
      </c>
      <c r="H79" s="1150">
        <f t="shared" si="5"/>
        <v>1</v>
      </c>
      <c r="I79" s="726"/>
      <c r="J79" s="726"/>
      <c r="K79" s="726"/>
      <c r="L79" s="1151" t="s">
        <v>5942</v>
      </c>
      <c r="M79" s="1079"/>
      <c r="N79" s="529">
        <f>IF(C79&lt;&gt;"",COUNTIF($C$7:C79,C79),"")</f>
        <v>8</v>
      </c>
      <c r="O79" s="493" t="str">
        <f>IF(I79&lt;&gt;"",COUNTIF(I$7:$I79,J79),"")</f>
        <v/>
      </c>
      <c r="P79" s="494" t="str">
        <f>IF(K79&lt;&gt;"",COUNTIF($K$7:K79,K79),"")</f>
        <v/>
      </c>
      <c r="Q79" s="494"/>
    </row>
    <row r="80" spans="1:17" s="794" customFormat="1" ht="30">
      <c r="A80" s="496">
        <v>70</v>
      </c>
      <c r="B80" s="496"/>
      <c r="C80" s="496" t="s">
        <v>1338</v>
      </c>
      <c r="D80" s="497" t="s">
        <v>5943</v>
      </c>
      <c r="E80" s="1144" t="str">
        <f t="shared" si="4"/>
        <v>Đoạn Km0+400 đến Km0+500</v>
      </c>
      <c r="F80" s="499"/>
      <c r="G80" s="499"/>
      <c r="H80" s="1136"/>
      <c r="I80" s="499">
        <f>G78</f>
        <v>43985</v>
      </c>
      <c r="J80" s="499">
        <f>IF(I80&lt;&gt;"",I80,"")</f>
        <v>43985</v>
      </c>
      <c r="K80" s="499">
        <f>IF(J80&lt;&gt;"",J80+1,"")</f>
        <v>43986</v>
      </c>
      <c r="L80" s="1141"/>
      <c r="M80" s="500" t="s">
        <v>4431</v>
      </c>
      <c r="N80" s="530" t="s">
        <v>382</v>
      </c>
      <c r="O80" s="493">
        <f>IF(C80&lt;&gt;"",COUNTIF($C$7:C80,C80),"")</f>
        <v>10</v>
      </c>
      <c r="P80" s="494">
        <f>IF(I80&lt;&gt;"",COUNTIF(I$7:$I80,J80),"")</f>
        <v>1</v>
      </c>
      <c r="Q80" s="494">
        <f>IF(K80&lt;&gt;"",COUNTIF($K$7:K80,K80),"")</f>
        <v>1</v>
      </c>
    </row>
    <row r="81" spans="1:17" s="794" customFormat="1">
      <c r="A81" s="1295"/>
      <c r="B81" s="1295"/>
      <c r="C81" s="1295"/>
      <c r="D81" s="1296" t="s">
        <v>5949</v>
      </c>
      <c r="E81" s="1297"/>
      <c r="F81" s="759"/>
      <c r="G81" s="759"/>
      <c r="H81" s="1137"/>
      <c r="I81" s="504"/>
      <c r="J81" s="504"/>
      <c r="K81" s="504"/>
      <c r="L81" s="505"/>
      <c r="M81" s="506"/>
      <c r="N81" s="529"/>
      <c r="O81" s="493"/>
      <c r="P81" s="494"/>
      <c r="Q81" s="494"/>
    </row>
    <row r="82" spans="1:17" s="794" customFormat="1" ht="30">
      <c r="A82" s="792">
        <v>71</v>
      </c>
      <c r="B82" s="792"/>
      <c r="C82" s="792" t="s">
        <v>1240</v>
      </c>
      <c r="D82" s="793" t="s">
        <v>5770</v>
      </c>
      <c r="E82" s="1142" t="str">
        <f>D81</f>
        <v>Đoạn Km0+500 đến Km0+600</v>
      </c>
      <c r="F82" s="491">
        <f>K53</f>
        <v>43963</v>
      </c>
      <c r="G82" s="491">
        <f>F82+1</f>
        <v>43964</v>
      </c>
      <c r="H82" s="1138">
        <f>IF(G82&lt;&gt;"",G82-F82+1,"")</f>
        <v>2</v>
      </c>
      <c r="I82" s="491"/>
      <c r="J82" s="491"/>
      <c r="K82" s="491"/>
      <c r="L82" s="1134"/>
      <c r="M82" s="492"/>
      <c r="N82" s="529"/>
      <c r="O82" s="493">
        <f>IF(C82&lt;&gt;"",COUNTIF($C$7:C82,C82),"")</f>
        <v>5</v>
      </c>
      <c r="P82" s="494" t="str">
        <f>IF(I82&lt;&gt;"",COUNTIF(I$7:$I82,J82),"")</f>
        <v/>
      </c>
      <c r="Q82" s="494" t="str">
        <f>IF(K82&lt;&gt;"",COUNTIF($K$7:K82,K82),"")</f>
        <v/>
      </c>
    </row>
    <row r="83" spans="1:17" s="794" customFormat="1" ht="30">
      <c r="A83" s="723">
        <v>72</v>
      </c>
      <c r="B83" s="723">
        <f>A84</f>
        <v>73</v>
      </c>
      <c r="C83" s="723" t="s">
        <v>210</v>
      </c>
      <c r="D83" s="724" t="s">
        <v>5933</v>
      </c>
      <c r="E83" s="1143" t="str">
        <f t="shared" ref="E83:E97" si="6">E82</f>
        <v>Đoạn Km0+500 đến Km0+600</v>
      </c>
      <c r="F83" s="725"/>
      <c r="G83" s="725"/>
      <c r="H83" s="1139"/>
      <c r="I83" s="725"/>
      <c r="J83" s="725"/>
      <c r="K83" s="725">
        <f>G82</f>
        <v>43964</v>
      </c>
      <c r="L83" s="1140" t="s">
        <v>6215</v>
      </c>
      <c r="M83" s="984"/>
      <c r="N83" s="529"/>
      <c r="O83" s="493"/>
      <c r="P83" s="494"/>
      <c r="Q83" s="494"/>
    </row>
    <row r="84" spans="1:17" s="794" customFormat="1" ht="30">
      <c r="A84" s="496">
        <v>73</v>
      </c>
      <c r="B84" s="496"/>
      <c r="C84" s="496" t="s">
        <v>1240</v>
      </c>
      <c r="D84" s="497" t="str">
        <f>D82</f>
        <v>Đào đất hố móng</v>
      </c>
      <c r="E84" s="1144" t="str">
        <f t="shared" si="6"/>
        <v>Đoạn Km0+500 đến Km0+600</v>
      </c>
      <c r="F84" s="499"/>
      <c r="G84" s="499"/>
      <c r="H84" s="1136"/>
      <c r="I84" s="499">
        <f>K83</f>
        <v>43964</v>
      </c>
      <c r="J84" s="499">
        <f>IF(I84&lt;&gt;"",I84,"")</f>
        <v>43964</v>
      </c>
      <c r="K84" s="499">
        <f>IF(J84&lt;&gt;"",J84+1,"")</f>
        <v>43965</v>
      </c>
      <c r="L84" s="1141"/>
      <c r="M84" s="500" t="s">
        <v>4431</v>
      </c>
      <c r="N84" s="530" t="s">
        <v>150</v>
      </c>
      <c r="O84" s="493">
        <f>IF(C84&lt;&gt;"",COUNTIF($C$7:C84,C84),"")</f>
        <v>6</v>
      </c>
      <c r="P84" s="494">
        <f>IF(I84&lt;&gt;"",COUNTIF(I$7:$I84,J84),"")</f>
        <v>1</v>
      </c>
      <c r="Q84" s="494">
        <f>IF(K84&lt;&gt;"",COUNTIF($K$7:K84,K84),"")</f>
        <v>1</v>
      </c>
    </row>
    <row r="85" spans="1:17" s="794" customFormat="1" ht="30">
      <c r="A85" s="489">
        <v>74</v>
      </c>
      <c r="B85" s="489"/>
      <c r="C85" s="489" t="s">
        <v>1864</v>
      </c>
      <c r="D85" s="490" t="s">
        <v>5934</v>
      </c>
      <c r="E85" s="1145" t="str">
        <f t="shared" si="6"/>
        <v>Đoạn Km0+500 đến Km0+600</v>
      </c>
      <c r="F85" s="491">
        <f>K84</f>
        <v>43965</v>
      </c>
      <c r="G85" s="491">
        <f>F85</f>
        <v>43965</v>
      </c>
      <c r="H85" s="1138">
        <f>IF(G85&lt;&gt;"",G85-F85+1,"")</f>
        <v>1</v>
      </c>
      <c r="I85" s="491"/>
      <c r="J85" s="491"/>
      <c r="K85" s="491"/>
      <c r="L85" s="1134"/>
      <c r="M85" s="492"/>
      <c r="N85" s="529"/>
      <c r="O85" s="493">
        <f>IF(C85&lt;&gt;"",COUNTIF($C$7:C85,C85),"")</f>
        <v>5</v>
      </c>
      <c r="P85" s="494" t="str">
        <f>IF(I85&lt;&gt;"",COUNTIF(I$7:$I85,J85),"")</f>
        <v/>
      </c>
      <c r="Q85" s="494" t="str">
        <f>IF(K85&lt;&gt;"",COUNTIF($K$7:K85,K85),"")</f>
        <v/>
      </c>
    </row>
    <row r="86" spans="1:17" s="794" customFormat="1" ht="30">
      <c r="A86" s="1147">
        <v>75</v>
      </c>
      <c r="B86" s="1147">
        <f>A88</f>
        <v>77</v>
      </c>
      <c r="C86" s="1147" t="s">
        <v>402</v>
      </c>
      <c r="D86" s="1148" t="str">
        <f>SUBSTITUTE(D85,"Thi công","Lấy mẫu thí nghiệm")</f>
        <v>Lấy mẫu thí nghiệm vữa lót móng M75</v>
      </c>
      <c r="E86" s="1149" t="str">
        <f t="shared" si="6"/>
        <v>Đoạn Km0+500 đến Km0+600</v>
      </c>
      <c r="F86" s="726">
        <f>F85</f>
        <v>43965</v>
      </c>
      <c r="G86" s="726">
        <f>F86</f>
        <v>43965</v>
      </c>
      <c r="H86" s="1150">
        <f>IF(G86&lt;&gt;"",G86-F86+1,"")</f>
        <v>1</v>
      </c>
      <c r="I86" s="726"/>
      <c r="J86" s="726"/>
      <c r="K86" s="726"/>
      <c r="L86" s="1151" t="str">
        <f>"M75/7,07x7,07x7,07//R3/R7//"&amp;Nhattrinh!A84</f>
        <v>M75/7,07x7,07x7,07//R3/R7//73</v>
      </c>
      <c r="M86" s="1079"/>
      <c r="N86" s="529">
        <f>IF(C86&lt;&gt;"",COUNTIF($C$7:C86,C86),"")</f>
        <v>3</v>
      </c>
      <c r="O86" s="493" t="str">
        <f>IF(I86&lt;&gt;"",COUNTIF(I$7:$I86,J86),"")</f>
        <v/>
      </c>
      <c r="P86" s="494" t="str">
        <f>IF(K86&lt;&gt;"",COUNTIF($K$7:K86,K86),"")</f>
        <v/>
      </c>
      <c r="Q86" s="494"/>
    </row>
    <row r="87" spans="1:17" s="794" customFormat="1" ht="30">
      <c r="A87" s="502">
        <v>76</v>
      </c>
      <c r="B87" s="502"/>
      <c r="C87" s="502" t="s">
        <v>254</v>
      </c>
      <c r="D87" s="503" t="str">
        <f>SUBSTITUTE(D85,"Thi công","Bảo dưỡng")</f>
        <v>Bảo dưỡng vữa lót móng M75</v>
      </c>
      <c r="E87" s="1146" t="str">
        <f t="shared" si="6"/>
        <v>Đoạn Km0+500 đến Km0+600</v>
      </c>
      <c r="F87" s="504">
        <f>G86+1</f>
        <v>43966</v>
      </c>
      <c r="G87" s="504">
        <f>F87+2</f>
        <v>43968</v>
      </c>
      <c r="H87" s="1137"/>
      <c r="I87" s="504"/>
      <c r="J87" s="504"/>
      <c r="K87" s="504"/>
      <c r="L87" s="1135"/>
      <c r="M87" s="506"/>
      <c r="N87" s="529"/>
      <c r="O87" s="493"/>
      <c r="P87" s="494"/>
      <c r="Q87" s="494"/>
    </row>
    <row r="88" spans="1:17" s="794" customFormat="1" ht="30">
      <c r="A88" s="496">
        <v>77</v>
      </c>
      <c r="B88" s="496"/>
      <c r="C88" s="496" t="s">
        <v>1864</v>
      </c>
      <c r="D88" s="497" t="str">
        <f>SUBSTITUTE(D85,"Thi công vữa","Vữa")</f>
        <v>Vữa lót móng M75</v>
      </c>
      <c r="E88" s="1144" t="str">
        <f t="shared" si="6"/>
        <v>Đoạn Km0+500 đến Km0+600</v>
      </c>
      <c r="F88" s="499"/>
      <c r="G88" s="499"/>
      <c r="H88" s="1136"/>
      <c r="I88" s="499">
        <f>G86+7</f>
        <v>43972</v>
      </c>
      <c r="J88" s="499">
        <f>IF(I88&lt;&gt;"",I88,"")</f>
        <v>43972</v>
      </c>
      <c r="K88" s="499">
        <f>IF(J88&lt;&gt;"",J88+1,"")</f>
        <v>43973</v>
      </c>
      <c r="L88" s="1141"/>
      <c r="M88" s="500" t="s">
        <v>5935</v>
      </c>
      <c r="N88" s="530" t="s">
        <v>402</v>
      </c>
      <c r="O88" s="493">
        <f>IF(C88&lt;&gt;"",COUNTIF($C$7:C88,C88),"")</f>
        <v>6</v>
      </c>
      <c r="P88" s="494">
        <f>IF(I88&lt;&gt;"",COUNTIF(I$7:$I88,J88),"")</f>
        <v>2</v>
      </c>
      <c r="Q88" s="494">
        <f>IF(K88&lt;&gt;"",COUNTIF($K$7:K88,K88),"")</f>
        <v>4</v>
      </c>
    </row>
    <row r="89" spans="1:17" s="794" customFormat="1" ht="30">
      <c r="A89" s="489">
        <v>78</v>
      </c>
      <c r="B89" s="489"/>
      <c r="C89" s="489" t="s">
        <v>1728</v>
      </c>
      <c r="D89" s="490" t="s">
        <v>5772</v>
      </c>
      <c r="E89" s="1145" t="str">
        <f t="shared" si="6"/>
        <v>Đoạn Km0+500 đến Km0+600</v>
      </c>
      <c r="F89" s="491">
        <f>K88</f>
        <v>43973</v>
      </c>
      <c r="G89" s="491">
        <f>F89</f>
        <v>43973</v>
      </c>
      <c r="H89" s="1138">
        <f>IF(G89&lt;&gt;"",G89-F89+1,"")</f>
        <v>1</v>
      </c>
      <c r="I89" s="491"/>
      <c r="J89" s="491"/>
      <c r="K89" s="491"/>
      <c r="L89" s="1134"/>
      <c r="M89" s="492"/>
      <c r="N89" s="529"/>
      <c r="O89" s="493">
        <f>IF(C89&lt;&gt;"",COUNTIF($C$7:C89,C89),"")</f>
        <v>5</v>
      </c>
      <c r="P89" s="494" t="str">
        <f>IF(I89&lt;&gt;"",COUNTIF(I$7:$I89,J89),"")</f>
        <v/>
      </c>
      <c r="Q89" s="494" t="str">
        <f>IF(K89&lt;&gt;"",COUNTIF($K$7:K89,K89),"")</f>
        <v/>
      </c>
    </row>
    <row r="90" spans="1:17" s="794" customFormat="1" ht="30">
      <c r="A90" s="723">
        <v>79</v>
      </c>
      <c r="B90" s="723">
        <f>A91</f>
        <v>80</v>
      </c>
      <c r="C90" s="723" t="s">
        <v>266</v>
      </c>
      <c r="D90" s="724" t="s">
        <v>5773</v>
      </c>
      <c r="E90" s="1143" t="str">
        <f t="shared" si="6"/>
        <v>Đoạn Km0+500 đến Km0+600</v>
      </c>
      <c r="F90" s="725"/>
      <c r="G90" s="725"/>
      <c r="H90" s="1139"/>
      <c r="I90" s="725"/>
      <c r="J90" s="725"/>
      <c r="K90" s="725">
        <f>G89</f>
        <v>43973</v>
      </c>
      <c r="L90" s="1140" t="s">
        <v>5774</v>
      </c>
      <c r="M90" s="984"/>
      <c r="N90" s="529"/>
      <c r="O90" s="493"/>
      <c r="P90" s="494"/>
      <c r="Q90" s="494"/>
    </row>
    <row r="91" spans="1:17" s="794" customFormat="1" ht="30">
      <c r="A91" s="496">
        <v>80</v>
      </c>
      <c r="B91" s="496"/>
      <c r="C91" s="496" t="s">
        <v>1728</v>
      </c>
      <c r="D91" s="497" t="str">
        <f>D89</f>
        <v>Sản xuất, lắp dựng cốt thép kênh</v>
      </c>
      <c r="E91" s="1144" t="str">
        <f t="shared" si="6"/>
        <v>Đoạn Km0+500 đến Km0+600</v>
      </c>
      <c r="F91" s="499"/>
      <c r="G91" s="499"/>
      <c r="H91" s="1136"/>
      <c r="I91" s="499">
        <f>K90</f>
        <v>43973</v>
      </c>
      <c r="J91" s="499">
        <f>IF(I91&lt;&gt;"",I91,"")</f>
        <v>43973</v>
      </c>
      <c r="K91" s="499">
        <f>IF(J91&lt;&gt;"",J91+1,"")</f>
        <v>43974</v>
      </c>
      <c r="L91" s="1141"/>
      <c r="M91" s="500" t="s">
        <v>3849</v>
      </c>
      <c r="N91" s="530" t="s">
        <v>150</v>
      </c>
      <c r="O91" s="493">
        <f>IF(C91&lt;&gt;"",COUNTIF($C$7:C91,C91),"")</f>
        <v>6</v>
      </c>
      <c r="P91" s="494">
        <f>IF(I91&lt;&gt;"",COUNTIF(I$7:$I91,J91),"")</f>
        <v>1</v>
      </c>
      <c r="Q91" s="494">
        <f>IF(K91&lt;&gt;"",COUNTIF($K$7:K91,K91),"")</f>
        <v>1</v>
      </c>
    </row>
    <row r="92" spans="1:17" s="794" customFormat="1" ht="30">
      <c r="A92" s="489">
        <v>81</v>
      </c>
      <c r="B92" s="489"/>
      <c r="C92" s="489" t="s">
        <v>1765</v>
      </c>
      <c r="D92" s="490" t="s">
        <v>5775</v>
      </c>
      <c r="E92" s="1145" t="str">
        <f t="shared" si="6"/>
        <v>Đoạn Km0+500 đến Km0+600</v>
      </c>
      <c r="F92" s="491">
        <f>K91</f>
        <v>43974</v>
      </c>
      <c r="G92" s="491">
        <f>F92</f>
        <v>43974</v>
      </c>
      <c r="H92" s="1138">
        <f>IF(G92&lt;&gt;"",G92-F92+1,"")</f>
        <v>1</v>
      </c>
      <c r="I92" s="491"/>
      <c r="J92" s="491"/>
      <c r="K92" s="491"/>
      <c r="L92" s="1134"/>
      <c r="M92" s="492"/>
      <c r="N92" s="529"/>
      <c r="O92" s="493">
        <f>IF(C92&lt;&gt;"",COUNTIF($C$7:C92,C92),"")</f>
        <v>5</v>
      </c>
      <c r="P92" s="494" t="str">
        <f>IF(I92&lt;&gt;"",COUNTIF(I$7:$I92,J92),"")</f>
        <v/>
      </c>
      <c r="Q92" s="494" t="str">
        <f>IF(K92&lt;&gt;"",COUNTIF($K$7:K92,K92),"")</f>
        <v/>
      </c>
    </row>
    <row r="93" spans="1:17" s="794" customFormat="1" ht="30">
      <c r="A93" s="723">
        <v>82</v>
      </c>
      <c r="B93" s="723">
        <f>A94</f>
        <v>83</v>
      </c>
      <c r="C93" s="723" t="s">
        <v>211</v>
      </c>
      <c r="D93" s="724" t="s">
        <v>5776</v>
      </c>
      <c r="E93" s="1143" t="str">
        <f t="shared" si="6"/>
        <v>Đoạn Km0+500 đến Km0+600</v>
      </c>
      <c r="F93" s="725"/>
      <c r="G93" s="725"/>
      <c r="H93" s="1139"/>
      <c r="I93" s="725"/>
      <c r="J93" s="725"/>
      <c r="K93" s="725">
        <f>G92</f>
        <v>43974</v>
      </c>
      <c r="L93" s="1140" t="s">
        <v>6214</v>
      </c>
      <c r="M93" s="984"/>
      <c r="N93" s="529"/>
      <c r="O93" s="493"/>
      <c r="P93" s="494"/>
      <c r="Q93" s="494"/>
    </row>
    <row r="94" spans="1:17" s="794" customFormat="1" ht="30">
      <c r="A94" s="496">
        <v>83</v>
      </c>
      <c r="B94" s="496"/>
      <c r="C94" s="496" t="s">
        <v>1765</v>
      </c>
      <c r="D94" s="497" t="str">
        <f>D92</f>
        <v>Sản xuất, lắp dựng ván khuôn kênh</v>
      </c>
      <c r="E94" s="1144" t="str">
        <f t="shared" si="6"/>
        <v>Đoạn Km0+500 đến Km0+600</v>
      </c>
      <c r="F94" s="499"/>
      <c r="G94" s="499"/>
      <c r="H94" s="1136"/>
      <c r="I94" s="499">
        <f>K93</f>
        <v>43974</v>
      </c>
      <c r="J94" s="499">
        <f>IF(I94&lt;&gt;"",I94,"")</f>
        <v>43974</v>
      </c>
      <c r="K94" s="499">
        <f>IF(J94&lt;&gt;"",J94+1,"")</f>
        <v>43975</v>
      </c>
      <c r="L94" s="1141"/>
      <c r="M94" s="500" t="s">
        <v>3849</v>
      </c>
      <c r="N94" s="530" t="s">
        <v>150</v>
      </c>
      <c r="O94" s="493">
        <f>IF(C94&lt;&gt;"",COUNTIF($C$7:C94,C94),"")</f>
        <v>6</v>
      </c>
      <c r="P94" s="494">
        <f>IF(I94&lt;&gt;"",COUNTIF(I$7:$I94,J94),"")</f>
        <v>1</v>
      </c>
      <c r="Q94" s="494">
        <f>IF(K94&lt;&gt;"",COUNTIF($K$7:K94,K94),"")</f>
        <v>1</v>
      </c>
    </row>
    <row r="95" spans="1:17" s="794" customFormat="1" ht="30">
      <c r="A95" s="489">
        <v>84</v>
      </c>
      <c r="B95" s="489"/>
      <c r="C95" s="489" t="s">
        <v>1714</v>
      </c>
      <c r="D95" s="490" t="s">
        <v>5936</v>
      </c>
      <c r="E95" s="1145" t="str">
        <f t="shared" si="6"/>
        <v>Đoạn Km0+500 đến Km0+600</v>
      </c>
      <c r="F95" s="491">
        <f>K94</f>
        <v>43975</v>
      </c>
      <c r="G95" s="491">
        <f>F95</f>
        <v>43975</v>
      </c>
      <c r="H95" s="1138">
        <f>IF(G95&lt;&gt;"",G95-F95+1,"")</f>
        <v>1</v>
      </c>
      <c r="I95" s="491"/>
      <c r="J95" s="491"/>
      <c r="K95" s="491"/>
      <c r="L95" s="1134"/>
      <c r="M95" s="492"/>
      <c r="N95" s="529"/>
      <c r="O95" s="493">
        <f>IF(C95&lt;&gt;"",COUNTIF($C$7:C95,C95),"")</f>
        <v>5</v>
      </c>
      <c r="P95" s="494" t="str">
        <f>IF(I95&lt;&gt;"",COUNTIF(I$7:$I95,J95),"")</f>
        <v/>
      </c>
      <c r="Q95" s="494" t="str">
        <f>IF(K95&lt;&gt;"",COUNTIF($K$7:K95,K95),"")</f>
        <v/>
      </c>
    </row>
    <row r="96" spans="1:17" s="794" customFormat="1" ht="30">
      <c r="A96" s="723">
        <v>85</v>
      </c>
      <c r="B96" s="723">
        <f>B97</f>
        <v>91</v>
      </c>
      <c r="C96" s="723" t="s">
        <v>311</v>
      </c>
      <c r="D96" s="724" t="s">
        <v>5778</v>
      </c>
      <c r="E96" s="1143" t="str">
        <f t="shared" si="6"/>
        <v>Đoạn Km0+500 đến Km0+600</v>
      </c>
      <c r="F96" s="725"/>
      <c r="G96" s="725"/>
      <c r="H96" s="1139"/>
      <c r="I96" s="725"/>
      <c r="J96" s="725"/>
      <c r="K96" s="725">
        <f>G95</f>
        <v>43975</v>
      </c>
      <c r="L96" s="1140"/>
      <c r="M96" s="984"/>
      <c r="N96" s="529"/>
      <c r="O96" s="493"/>
      <c r="P96" s="494"/>
      <c r="Q96" s="494"/>
    </row>
    <row r="97" spans="1:17" s="794" customFormat="1" ht="30">
      <c r="A97" s="723">
        <v>86</v>
      </c>
      <c r="B97" s="723">
        <f>B98</f>
        <v>91</v>
      </c>
      <c r="C97" s="723" t="s">
        <v>3841</v>
      </c>
      <c r="D97" s="724" t="s">
        <v>5866</v>
      </c>
      <c r="E97" s="1143" t="str">
        <f t="shared" si="6"/>
        <v>Đoạn Km0+500 đến Km0+600</v>
      </c>
      <c r="F97" s="725"/>
      <c r="G97" s="725"/>
      <c r="H97" s="1139"/>
      <c r="I97" s="725"/>
      <c r="J97" s="725"/>
      <c r="K97" s="725">
        <f>K96</f>
        <v>43975</v>
      </c>
      <c r="L97" s="1140" t="s">
        <v>5937</v>
      </c>
      <c r="M97" s="984"/>
      <c r="N97" s="529"/>
      <c r="O97" s="493"/>
      <c r="P97" s="494"/>
      <c r="Q97" s="494"/>
    </row>
    <row r="98" spans="1:17" s="794" customFormat="1" ht="30">
      <c r="A98" s="1154">
        <v>87</v>
      </c>
      <c r="B98" s="1154">
        <f>B100</f>
        <v>91</v>
      </c>
      <c r="C98" s="1154" t="s">
        <v>401</v>
      </c>
      <c r="D98" s="1155" t="str">
        <f>SUBSTITUTE(D95,"Đổ","Lấy mẫu thí nghiệm")</f>
        <v>Lấy mẫu thí nghiệm bê tông kênh M200 đá 1x2cm</v>
      </c>
      <c r="E98" s="1156" t="str">
        <f>E96</f>
        <v>Đoạn Km0+500 đến Km0+600</v>
      </c>
      <c r="F98" s="726">
        <f>G95</f>
        <v>43975</v>
      </c>
      <c r="G98" s="726">
        <f>F98</f>
        <v>43975</v>
      </c>
      <c r="H98" s="1150">
        <f>IF(G98&lt;&gt;"",G98-F98+1,"")</f>
        <v>1</v>
      </c>
      <c r="I98" s="726"/>
      <c r="J98" s="726"/>
      <c r="K98" s="726"/>
      <c r="L98" s="1151" t="str">
        <f>"M200/đá 1x2cm/6-:-8/R3/R7//"&amp;Nhattrinh!A94</f>
        <v>M200/đá 1x2cm/6-:-8/R3/R7//83</v>
      </c>
      <c r="M98" s="1079"/>
      <c r="N98" s="529">
        <f>IF(C98&lt;&gt;"",COUNTIF($C$7:C98,C98),"")</f>
        <v>3</v>
      </c>
      <c r="O98" s="493" t="str">
        <f>IF(I98&lt;&gt;"",COUNTIF(I$7:$I98,J98),"")</f>
        <v/>
      </c>
      <c r="P98" s="494" t="str">
        <f>IF(K98&lt;&gt;"",COUNTIF($K$7:K98,K98),"")</f>
        <v/>
      </c>
      <c r="Q98" s="494"/>
    </row>
    <row r="99" spans="1:17" s="794" customFormat="1" ht="30">
      <c r="A99" s="502">
        <v>88</v>
      </c>
      <c r="B99" s="502"/>
      <c r="C99" s="502" t="s">
        <v>254</v>
      </c>
      <c r="D99" s="503" t="str">
        <f>SUBSTITUTE(D95,"Đổ","Bảo dưỡng")</f>
        <v>Bảo dưỡng bê tông kênh M200 đá 1x2cm</v>
      </c>
      <c r="E99" s="1146" t="str">
        <f t="shared" ref="E99:E111" si="7">E98</f>
        <v>Đoạn Km0+500 đến Km0+600</v>
      </c>
      <c r="F99" s="504">
        <f>G98+1</f>
        <v>43976</v>
      </c>
      <c r="G99" s="504">
        <f>F99+3</f>
        <v>43979</v>
      </c>
      <c r="H99" s="1137"/>
      <c r="I99" s="504"/>
      <c r="J99" s="504"/>
      <c r="K99" s="504"/>
      <c r="L99" s="1135"/>
      <c r="M99" s="506"/>
      <c r="N99" s="529"/>
      <c r="O99" s="493"/>
      <c r="P99" s="494"/>
      <c r="Q99" s="494"/>
    </row>
    <row r="100" spans="1:17" s="794" customFormat="1" ht="30">
      <c r="A100" s="723">
        <v>89</v>
      </c>
      <c r="B100" s="723">
        <f>B101</f>
        <v>91</v>
      </c>
      <c r="C100" s="723" t="s">
        <v>3846</v>
      </c>
      <c r="D100" s="724" t="s">
        <v>5779</v>
      </c>
      <c r="E100" s="1143" t="str">
        <f t="shared" si="7"/>
        <v>Đoạn Km0+500 đến Km0+600</v>
      </c>
      <c r="F100" s="725"/>
      <c r="G100" s="725"/>
      <c r="H100" s="1139"/>
      <c r="I100" s="725"/>
      <c r="J100" s="725"/>
      <c r="K100" s="725">
        <f>G98+7</f>
        <v>43982</v>
      </c>
      <c r="L100" s="1140"/>
      <c r="M100" s="984"/>
      <c r="N100" s="529"/>
      <c r="O100" s="493"/>
      <c r="P100" s="494"/>
      <c r="Q100" s="494"/>
    </row>
    <row r="101" spans="1:17" s="794" customFormat="1" ht="30">
      <c r="A101" s="723">
        <v>90</v>
      </c>
      <c r="B101" s="723">
        <f>A102</f>
        <v>91</v>
      </c>
      <c r="C101" s="723" t="s">
        <v>4228</v>
      </c>
      <c r="D101" s="724" t="s">
        <v>5780</v>
      </c>
      <c r="E101" s="1143" t="str">
        <f t="shared" si="7"/>
        <v>Đoạn Km0+500 đến Km0+600</v>
      </c>
      <c r="F101" s="725"/>
      <c r="G101" s="725"/>
      <c r="H101" s="1139"/>
      <c r="I101" s="725"/>
      <c r="J101" s="725"/>
      <c r="K101" s="725">
        <f>G98+7</f>
        <v>43982</v>
      </c>
      <c r="L101" s="1140" t="s">
        <v>5950</v>
      </c>
      <c r="M101" s="984"/>
      <c r="N101" s="529"/>
      <c r="O101" s="493"/>
      <c r="P101" s="494"/>
      <c r="Q101" s="494"/>
    </row>
    <row r="102" spans="1:17" s="794" customFormat="1" ht="30">
      <c r="A102" s="496">
        <v>91</v>
      </c>
      <c r="B102" s="496"/>
      <c r="C102" s="496" t="s">
        <v>1714</v>
      </c>
      <c r="D102" s="497" t="str">
        <f>SUBSTITUTE(D95,"Đổ bê","Bê")</f>
        <v>Bê tông kênh M200 đá 1x2cm</v>
      </c>
      <c r="E102" s="1144" t="str">
        <f t="shared" si="7"/>
        <v>Đoạn Km0+500 đến Km0+600</v>
      </c>
      <c r="F102" s="499"/>
      <c r="G102" s="499"/>
      <c r="H102" s="1136"/>
      <c r="I102" s="499">
        <f>K101</f>
        <v>43982</v>
      </c>
      <c r="J102" s="499">
        <f>IF(I102&lt;&gt;"",I102,"")</f>
        <v>43982</v>
      </c>
      <c r="K102" s="499">
        <f>IF(J102&lt;&gt;"",J102+1,"")</f>
        <v>43983</v>
      </c>
      <c r="L102" s="1141"/>
      <c r="M102" s="500" t="s">
        <v>3849</v>
      </c>
      <c r="N102" s="530" t="s">
        <v>401</v>
      </c>
      <c r="O102" s="493">
        <f>IF(C102&lt;&gt;"",COUNTIF($C$7:C102,C102),"")</f>
        <v>6</v>
      </c>
      <c r="P102" s="494">
        <f>IF(I102&lt;&gt;"",COUNTIF(I$7:$I102,J102),"")</f>
        <v>1</v>
      </c>
      <c r="Q102" s="494">
        <f>IF(K102&lt;&gt;"",COUNTIF($K$7:K102,K102),"")</f>
        <v>1</v>
      </c>
    </row>
    <row r="103" spans="1:17" s="794" customFormat="1" ht="30">
      <c r="A103" s="489">
        <v>92</v>
      </c>
      <c r="B103" s="489"/>
      <c r="C103" s="489" t="s">
        <v>1338</v>
      </c>
      <c r="D103" s="490" t="s">
        <v>5938</v>
      </c>
      <c r="E103" s="1145" t="str">
        <f t="shared" si="7"/>
        <v>Đoạn Km0+500 đến Km0+600</v>
      </c>
      <c r="F103" s="491">
        <f>K102</f>
        <v>43983</v>
      </c>
      <c r="G103" s="491">
        <f>F103+1</f>
        <v>43984</v>
      </c>
      <c r="H103" s="1138">
        <f t="shared" ref="H103:H110" si="8">IF(G103&lt;&gt;"",G103-F103+1,"")</f>
        <v>2</v>
      </c>
      <c r="I103" s="491"/>
      <c r="J103" s="491"/>
      <c r="K103" s="491"/>
      <c r="L103" s="1134"/>
      <c r="M103" s="492"/>
      <c r="N103" s="529"/>
      <c r="O103" s="493">
        <f>IF(C103&lt;&gt;"",COUNTIF($C$7:C103,C103),"")</f>
        <v>11</v>
      </c>
      <c r="P103" s="494" t="str">
        <f>IF(I103&lt;&gt;"",COUNTIF(I$7:$I103,J103),"")</f>
        <v/>
      </c>
      <c r="Q103" s="494" t="str">
        <f>IF(K103&lt;&gt;"",COUNTIF($K$7:K103,K103),"")</f>
        <v/>
      </c>
    </row>
    <row r="104" spans="1:17" s="794" customFormat="1" ht="45">
      <c r="A104" s="1154">
        <v>93</v>
      </c>
      <c r="B104" s="1154">
        <f>B106</f>
        <v>100</v>
      </c>
      <c r="C104" s="1154" t="s">
        <v>382</v>
      </c>
      <c r="D104" s="1155" t="str">
        <f>"Lấy mẫu thí nghiệm  xác định độ chặt "&amp;D103</f>
        <v>Lấy mẫu thí nghiệm  xác định độ chặt Đắp đất bờ kênh, độ chặt yêu cầu K=0,85, lớp 1</v>
      </c>
      <c r="E104" s="1156" t="str">
        <f t="shared" si="7"/>
        <v>Đoạn Km0+500 đến Km0+600</v>
      </c>
      <c r="F104" s="726">
        <f>G103</f>
        <v>43984</v>
      </c>
      <c r="G104" s="726">
        <f>F104</f>
        <v>43984</v>
      </c>
      <c r="H104" s="1150">
        <f t="shared" si="8"/>
        <v>1</v>
      </c>
      <c r="I104" s="726"/>
      <c r="J104" s="726"/>
      <c r="K104" s="726"/>
      <c r="L104" s="1151" t="s">
        <v>5947</v>
      </c>
      <c r="M104" s="1079"/>
      <c r="N104" s="529">
        <f>IF(C104&lt;&gt;"",COUNTIF($C$7:C104,C104),"")</f>
        <v>9</v>
      </c>
      <c r="O104" s="493" t="str">
        <f>IF(I104&lt;&gt;"",COUNTIF(I$7:$I104,J104),"")</f>
        <v/>
      </c>
      <c r="P104" s="494" t="str">
        <f>IF(K104&lt;&gt;"",COUNTIF($K$7:K104,K104),"")</f>
        <v/>
      </c>
      <c r="Q104" s="494"/>
    </row>
    <row r="105" spans="1:17" s="794" customFormat="1" ht="30">
      <c r="A105" s="489">
        <v>94</v>
      </c>
      <c r="B105" s="489"/>
      <c r="C105" s="489" t="s">
        <v>1338</v>
      </c>
      <c r="D105" s="490" t="str">
        <f>"Đắp đất bờ kênh, độ chặt yêu cầu K=0,85, lớp "&amp;RIGHT(D103,2)+1</f>
        <v>Đắp đất bờ kênh, độ chặt yêu cầu K=0,85, lớp 2</v>
      </c>
      <c r="E105" s="1145" t="str">
        <f t="shared" si="7"/>
        <v>Đoạn Km0+500 đến Km0+600</v>
      </c>
      <c r="F105" s="491">
        <f>G103</f>
        <v>43984</v>
      </c>
      <c r="G105" s="491">
        <f>F105+1</f>
        <v>43985</v>
      </c>
      <c r="H105" s="1138">
        <f t="shared" si="8"/>
        <v>2</v>
      </c>
      <c r="I105" s="491"/>
      <c r="J105" s="491"/>
      <c r="K105" s="491"/>
      <c r="L105" s="1134"/>
      <c r="M105" s="492"/>
      <c r="N105" s="529"/>
      <c r="O105" s="493">
        <f>IF(C105&lt;&gt;"",COUNTIF($C$7:C105,C105),"")</f>
        <v>12</v>
      </c>
      <c r="P105" s="494" t="str">
        <f>IF(I105&lt;&gt;"",COUNTIF(I$7:$I105,J105),"")</f>
        <v/>
      </c>
      <c r="Q105" s="494" t="str">
        <f>IF(K105&lt;&gt;"",COUNTIF($K$7:K105,K105),"")</f>
        <v/>
      </c>
    </row>
    <row r="106" spans="1:17" s="794" customFormat="1" ht="45">
      <c r="A106" s="1154">
        <v>95</v>
      </c>
      <c r="B106" s="1154">
        <f>B108</f>
        <v>100</v>
      </c>
      <c r="C106" s="1154" t="s">
        <v>382</v>
      </c>
      <c r="D106" s="1155" t="str">
        <f>"Lấy mẫu thí nghiệm  xác định độ chặt "&amp;D105</f>
        <v>Lấy mẫu thí nghiệm  xác định độ chặt Đắp đất bờ kênh, độ chặt yêu cầu K=0,85, lớp 2</v>
      </c>
      <c r="E106" s="1156" t="str">
        <f t="shared" si="7"/>
        <v>Đoạn Km0+500 đến Km0+600</v>
      </c>
      <c r="F106" s="726">
        <f>G105</f>
        <v>43985</v>
      </c>
      <c r="G106" s="726">
        <f>F106</f>
        <v>43985</v>
      </c>
      <c r="H106" s="1150">
        <f t="shared" si="8"/>
        <v>1</v>
      </c>
      <c r="I106" s="726"/>
      <c r="J106" s="726"/>
      <c r="K106" s="726"/>
      <c r="L106" s="1151" t="s">
        <v>5940</v>
      </c>
      <c r="M106" s="1079"/>
      <c r="N106" s="529">
        <f>IF(C106&lt;&gt;"",COUNTIF($C$7:C106,C106),"")</f>
        <v>10</v>
      </c>
      <c r="O106" s="493" t="str">
        <f>IF(I106&lt;&gt;"",COUNTIF(I$7:$I106,J106),"")</f>
        <v/>
      </c>
      <c r="P106" s="494" t="str">
        <f>IF(K106&lt;&gt;"",COUNTIF($K$7:K106,K106),"")</f>
        <v/>
      </c>
      <c r="Q106" s="494"/>
    </row>
    <row r="107" spans="1:17" s="794" customFormat="1" ht="30">
      <c r="A107" s="489">
        <v>96</v>
      </c>
      <c r="B107" s="489"/>
      <c r="C107" s="489" t="s">
        <v>1338</v>
      </c>
      <c r="D107" s="490" t="str">
        <f>"Đắp đất bờ kênh, độ chặt yêu cầu K=0,85, lớp "&amp;RIGHT(D105,2)+1</f>
        <v>Đắp đất bờ kênh, độ chặt yêu cầu K=0,85, lớp 3</v>
      </c>
      <c r="E107" s="1145" t="str">
        <f t="shared" si="7"/>
        <v>Đoạn Km0+500 đến Km0+600</v>
      </c>
      <c r="F107" s="491">
        <f>G105</f>
        <v>43985</v>
      </c>
      <c r="G107" s="491">
        <f>F107+1</f>
        <v>43986</v>
      </c>
      <c r="H107" s="1138">
        <f t="shared" si="8"/>
        <v>2</v>
      </c>
      <c r="I107" s="491"/>
      <c r="J107" s="491"/>
      <c r="K107" s="491"/>
      <c r="L107" s="1134"/>
      <c r="M107" s="492"/>
      <c r="N107" s="529"/>
      <c r="O107" s="493">
        <f>IF(C107&lt;&gt;"",COUNTIF($C$7:C107,C107),"")</f>
        <v>13</v>
      </c>
      <c r="P107" s="494" t="str">
        <f>IF(I107&lt;&gt;"",COUNTIF(I$7:$I107,J107),"")</f>
        <v/>
      </c>
      <c r="Q107" s="494" t="str">
        <f>IF(K107&lt;&gt;"",COUNTIF($K$7:K107,K107),"")</f>
        <v/>
      </c>
    </row>
    <row r="108" spans="1:17" s="794" customFormat="1" ht="45">
      <c r="A108" s="1154">
        <v>97</v>
      </c>
      <c r="B108" s="1154">
        <f>B110</f>
        <v>100</v>
      </c>
      <c r="C108" s="1154" t="s">
        <v>382</v>
      </c>
      <c r="D108" s="1155" t="str">
        <f>"Lấy mẫu thí nghiệm  xác định độ chặt "&amp;D107</f>
        <v>Lấy mẫu thí nghiệm  xác định độ chặt Đắp đất bờ kênh, độ chặt yêu cầu K=0,85, lớp 3</v>
      </c>
      <c r="E108" s="1156" t="str">
        <f t="shared" si="7"/>
        <v>Đoạn Km0+500 đến Km0+600</v>
      </c>
      <c r="F108" s="726">
        <f>G107</f>
        <v>43986</v>
      </c>
      <c r="G108" s="726">
        <f>F108</f>
        <v>43986</v>
      </c>
      <c r="H108" s="1150">
        <f t="shared" si="8"/>
        <v>1</v>
      </c>
      <c r="I108" s="726"/>
      <c r="J108" s="726"/>
      <c r="K108" s="726"/>
      <c r="L108" s="1151" t="s">
        <v>5941</v>
      </c>
      <c r="M108" s="1079"/>
      <c r="N108" s="529">
        <f>IF(C108&lt;&gt;"",COUNTIF($C$7:C108,C108),"")</f>
        <v>11</v>
      </c>
      <c r="O108" s="493" t="str">
        <f>IF(I108&lt;&gt;"",COUNTIF(I$7:$I108,J108),"")</f>
        <v/>
      </c>
      <c r="P108" s="494" t="str">
        <f>IF(K108&lt;&gt;"",COUNTIF($K$7:K108,K108),"")</f>
        <v/>
      </c>
      <c r="Q108" s="494"/>
    </row>
    <row r="109" spans="1:17" s="794" customFormat="1" ht="30">
      <c r="A109" s="489">
        <v>98</v>
      </c>
      <c r="B109" s="489"/>
      <c r="C109" s="489" t="s">
        <v>1338</v>
      </c>
      <c r="D109" s="490" t="str">
        <f>"Đắp đất bờ kênh, độ chặt yêu cầu K=0,85, lớp "&amp;RIGHT(D107,2)+1</f>
        <v>Đắp đất bờ kênh, độ chặt yêu cầu K=0,85, lớp 4</v>
      </c>
      <c r="E109" s="1145" t="str">
        <f t="shared" si="7"/>
        <v>Đoạn Km0+500 đến Km0+600</v>
      </c>
      <c r="F109" s="491">
        <f>G107</f>
        <v>43986</v>
      </c>
      <c r="G109" s="491">
        <f>F109+1</f>
        <v>43987</v>
      </c>
      <c r="H109" s="1138">
        <f t="shared" si="8"/>
        <v>2</v>
      </c>
      <c r="I109" s="491"/>
      <c r="J109" s="491"/>
      <c r="K109" s="491"/>
      <c r="L109" s="1134"/>
      <c r="M109" s="492"/>
      <c r="N109" s="529"/>
      <c r="O109" s="493">
        <f>IF(C109&lt;&gt;"",COUNTIF($C$7:C109,C109),"")</f>
        <v>14</v>
      </c>
      <c r="P109" s="494" t="str">
        <f>IF(I109&lt;&gt;"",COUNTIF(I$7:$I109,J109),"")</f>
        <v/>
      </c>
      <c r="Q109" s="494" t="str">
        <f>IF(K109&lt;&gt;"",COUNTIF($K$7:K109,K109),"")</f>
        <v/>
      </c>
    </row>
    <row r="110" spans="1:17" s="794" customFormat="1" ht="45">
      <c r="A110" s="1154">
        <v>99</v>
      </c>
      <c r="B110" s="1154">
        <f>A111</f>
        <v>100</v>
      </c>
      <c r="C110" s="1154" t="s">
        <v>382</v>
      </c>
      <c r="D110" s="1155" t="str">
        <f>"Lấy mẫu thí nghiệm  xác định độ chặt "&amp;D109</f>
        <v>Lấy mẫu thí nghiệm  xác định độ chặt Đắp đất bờ kênh, độ chặt yêu cầu K=0,85, lớp 4</v>
      </c>
      <c r="E110" s="1156" t="str">
        <f t="shared" si="7"/>
        <v>Đoạn Km0+500 đến Km0+600</v>
      </c>
      <c r="F110" s="726">
        <f>G109</f>
        <v>43987</v>
      </c>
      <c r="G110" s="726">
        <f>F110</f>
        <v>43987</v>
      </c>
      <c r="H110" s="1150">
        <f t="shared" si="8"/>
        <v>1</v>
      </c>
      <c r="I110" s="726"/>
      <c r="J110" s="726"/>
      <c r="K110" s="726"/>
      <c r="L110" s="1151" t="s">
        <v>5942</v>
      </c>
      <c r="M110" s="1079"/>
      <c r="N110" s="529">
        <f>IF(C110&lt;&gt;"",COUNTIF($C$7:C110,C110),"")</f>
        <v>12</v>
      </c>
      <c r="O110" s="493" t="str">
        <f>IF(I110&lt;&gt;"",COUNTIF(I$7:$I110,J110),"")</f>
        <v/>
      </c>
      <c r="P110" s="494" t="str">
        <f>IF(K110&lt;&gt;"",COUNTIF($K$7:K110,K110),"")</f>
        <v/>
      </c>
      <c r="Q110" s="494"/>
    </row>
    <row r="111" spans="1:17" s="794" customFormat="1" ht="30">
      <c r="A111" s="496">
        <v>100</v>
      </c>
      <c r="B111" s="496"/>
      <c r="C111" s="496" t="s">
        <v>1338</v>
      </c>
      <c r="D111" s="497" t="s">
        <v>5943</v>
      </c>
      <c r="E111" s="1144" t="str">
        <f t="shared" si="7"/>
        <v>Đoạn Km0+500 đến Km0+600</v>
      </c>
      <c r="F111" s="499"/>
      <c r="G111" s="499"/>
      <c r="H111" s="1136"/>
      <c r="I111" s="499">
        <f>G109</f>
        <v>43987</v>
      </c>
      <c r="J111" s="499">
        <f>IF(I111&lt;&gt;"",I111,"")</f>
        <v>43987</v>
      </c>
      <c r="K111" s="499">
        <f>IF(J111&lt;&gt;"",J111+1,"")</f>
        <v>43988</v>
      </c>
      <c r="L111" s="1141"/>
      <c r="M111" s="500" t="s">
        <v>4431</v>
      </c>
      <c r="N111" s="530" t="s">
        <v>382</v>
      </c>
      <c r="O111" s="493">
        <f>IF(C111&lt;&gt;"",COUNTIF($C$7:C111,C111),"")</f>
        <v>15</v>
      </c>
      <c r="P111" s="494">
        <f>IF(I111&lt;&gt;"",COUNTIF(I$7:$I111,J111),"")</f>
        <v>1</v>
      </c>
      <c r="Q111" s="494">
        <f>IF(K111&lt;&gt;"",COUNTIF($K$7:K111,K111),"")</f>
        <v>1</v>
      </c>
    </row>
    <row r="112" spans="1:17" s="794" customFormat="1" ht="30">
      <c r="A112" s="496">
        <v>101</v>
      </c>
      <c r="B112" s="496"/>
      <c r="C112" s="496" t="s">
        <v>407</v>
      </c>
      <c r="D112" s="497" t="s">
        <v>4432</v>
      </c>
      <c r="E112" s="1144" t="s">
        <v>5951</v>
      </c>
      <c r="F112" s="499"/>
      <c r="G112" s="499"/>
      <c r="H112" s="1136"/>
      <c r="I112" s="499">
        <f>MAX(K20:K111)</f>
        <v>43988</v>
      </c>
      <c r="J112" s="499">
        <f>IF(I112&lt;&gt;"",I112,"")</f>
        <v>43988</v>
      </c>
      <c r="K112" s="499">
        <f>IF(J112&lt;&gt;"",J112+1,"")</f>
        <v>43989</v>
      </c>
      <c r="L112" s="1141"/>
      <c r="M112" s="500" t="s">
        <v>5867</v>
      </c>
      <c r="N112" s="530" t="s">
        <v>5868</v>
      </c>
      <c r="O112" s="493">
        <f>IF(C112&lt;&gt;"",COUNTIF($C$7:C112,C112),"")</f>
        <v>1</v>
      </c>
      <c r="P112" s="494">
        <f>IF(I112&lt;&gt;"",COUNTIF(I$7:$I112,J112),"")</f>
        <v>1</v>
      </c>
      <c r="Q112" s="494">
        <f>IF(K112&lt;&gt;"",COUNTIF($K$7:K112,K112),"")</f>
        <v>1</v>
      </c>
    </row>
    <row r="113" spans="1:17" s="794" customFormat="1">
      <c r="A113" s="502"/>
      <c r="B113" s="502"/>
      <c r="C113" s="502"/>
      <c r="D113" s="503"/>
      <c r="E113" s="1146"/>
      <c r="F113" s="504"/>
      <c r="G113" s="504"/>
      <c r="H113" s="1137"/>
      <c r="I113" s="504"/>
      <c r="J113" s="504"/>
      <c r="K113" s="504"/>
      <c r="L113" s="1135"/>
      <c r="M113" s="506"/>
      <c r="N113" s="529"/>
      <c r="O113" s="493"/>
      <c r="P113" s="494"/>
      <c r="Q113" s="494"/>
    </row>
    <row r="114" spans="1:17" s="794" customFormat="1">
      <c r="A114" s="502"/>
      <c r="B114" s="502"/>
      <c r="C114" s="502"/>
      <c r="D114" s="503"/>
      <c r="E114" s="1146"/>
      <c r="F114" s="504"/>
      <c r="G114" s="504"/>
      <c r="H114" s="1137"/>
      <c r="I114" s="504"/>
      <c r="J114" s="504"/>
      <c r="K114" s="504"/>
      <c r="L114" s="1135"/>
      <c r="M114" s="506"/>
      <c r="N114" s="529"/>
      <c r="O114" s="493"/>
      <c r="P114" s="494"/>
      <c r="Q114" s="494"/>
    </row>
    <row r="115" spans="1:17" s="794" customFormat="1">
      <c r="A115" s="502"/>
      <c r="B115" s="502"/>
      <c r="C115" s="502"/>
      <c r="D115" s="503"/>
      <c r="E115" s="1146"/>
      <c r="F115" s="504"/>
      <c r="G115" s="504"/>
      <c r="H115" s="1137"/>
      <c r="I115" s="504"/>
      <c r="J115" s="504"/>
      <c r="K115" s="504"/>
      <c r="L115" s="1135"/>
      <c r="M115" s="506"/>
      <c r="N115" s="529"/>
      <c r="O115" s="493"/>
      <c r="P115" s="494"/>
      <c r="Q115" s="494"/>
    </row>
    <row r="116" spans="1:17" s="794" customFormat="1">
      <c r="A116" s="502"/>
      <c r="B116" s="502"/>
      <c r="C116" s="502"/>
      <c r="D116" s="503"/>
      <c r="E116" s="1146"/>
      <c r="F116" s="504"/>
      <c r="G116" s="504"/>
      <c r="H116" s="1137"/>
      <c r="I116" s="504"/>
      <c r="J116" s="504"/>
      <c r="K116" s="504"/>
      <c r="L116" s="1135"/>
      <c r="M116" s="506"/>
      <c r="N116" s="529"/>
      <c r="O116" s="493"/>
      <c r="P116" s="494"/>
      <c r="Q116" s="494"/>
    </row>
    <row r="117" spans="1:17" s="794" customFormat="1">
      <c r="A117" s="502"/>
      <c r="B117" s="502"/>
      <c r="C117" s="502"/>
      <c r="D117" s="503"/>
      <c r="E117" s="1146"/>
      <c r="F117" s="504"/>
      <c r="G117" s="504"/>
      <c r="H117" s="1137"/>
      <c r="I117" s="504"/>
      <c r="J117" s="504"/>
      <c r="K117" s="504"/>
      <c r="L117" s="1135"/>
      <c r="M117" s="506"/>
      <c r="N117" s="529"/>
      <c r="O117" s="493"/>
      <c r="P117" s="494"/>
      <c r="Q117" s="494"/>
    </row>
    <row r="118" spans="1:17" s="794" customFormat="1">
      <c r="A118" s="502"/>
      <c r="B118" s="502"/>
      <c r="C118" s="502"/>
      <c r="D118" s="503"/>
      <c r="E118" s="1146"/>
      <c r="F118" s="504"/>
      <c r="G118" s="504"/>
      <c r="H118" s="1137"/>
      <c r="I118" s="504"/>
      <c r="J118" s="504"/>
      <c r="K118" s="504"/>
      <c r="L118" s="1135"/>
      <c r="M118" s="506"/>
      <c r="N118" s="529"/>
      <c r="O118" s="493"/>
      <c r="P118" s="494"/>
      <c r="Q118" s="494"/>
    </row>
    <row r="119" spans="1:17" s="794" customFormat="1">
      <c r="A119" s="502"/>
      <c r="B119" s="502"/>
      <c r="C119" s="502"/>
      <c r="D119" s="503"/>
      <c r="E119" s="1146"/>
      <c r="F119" s="504"/>
      <c r="G119" s="504"/>
      <c r="H119" s="1137"/>
      <c r="I119" s="504"/>
      <c r="J119" s="504"/>
      <c r="K119" s="504"/>
      <c r="L119" s="1135"/>
      <c r="M119" s="506"/>
      <c r="N119" s="529"/>
      <c r="O119" s="493"/>
      <c r="P119" s="494"/>
      <c r="Q119" s="494"/>
    </row>
    <row r="120" spans="1:17" s="513" customFormat="1" ht="16.5">
      <c r="A120" s="837" t="s">
        <v>173</v>
      </c>
      <c r="B120" s="837"/>
      <c r="C120" s="837"/>
      <c r="D120" s="837" t="s">
        <v>62</v>
      </c>
      <c r="E120" s="838"/>
      <c r="F120" s="507"/>
      <c r="G120" s="507"/>
      <c r="H120" s="508"/>
      <c r="I120" s="509"/>
      <c r="J120" s="507"/>
      <c r="K120" s="507"/>
      <c r="L120" s="510"/>
      <c r="M120" s="511"/>
      <c r="N120" s="531"/>
      <c r="O120" s="512"/>
      <c r="P120" s="512"/>
      <c r="Q120" s="512"/>
    </row>
    <row r="121" spans="1:17">
      <c r="A121" s="834"/>
      <c r="B121" s="834"/>
      <c r="C121" s="834"/>
      <c r="D121" s="835"/>
      <c r="E121" s="836"/>
    </row>
    <row r="122" spans="1:17">
      <c r="A122" s="780"/>
      <c r="B122" s="780"/>
      <c r="C122" s="780"/>
      <c r="D122" s="783"/>
      <c r="E122" s="785"/>
    </row>
    <row r="123" spans="1:17">
      <c r="A123" s="780"/>
      <c r="B123" s="780"/>
      <c r="C123" s="780"/>
      <c r="D123" s="783"/>
      <c r="E123" s="785"/>
    </row>
    <row r="124" spans="1:17">
      <c r="A124" s="781"/>
      <c r="B124" s="781"/>
      <c r="C124" s="781"/>
      <c r="D124" s="784"/>
      <c r="E124" s="786"/>
    </row>
  </sheetData>
  <autoFilter ref="A5:N120" xr:uid="{00000000-0009-0000-0000-000015000000}"/>
  <mergeCells count="9">
    <mergeCell ref="F4:H4"/>
    <mergeCell ref="E1:N1"/>
    <mergeCell ref="E2:N2"/>
    <mergeCell ref="A1:D2"/>
    <mergeCell ref="F3:H3"/>
    <mergeCell ref="C3:D3"/>
    <mergeCell ref="C4:D4"/>
    <mergeCell ref="J3:M3"/>
    <mergeCell ref="J4:M4"/>
  </mergeCells>
  <dataValidations xWindow="461" yWindow="397" count="6">
    <dataValidation allowBlank="1" showInputMessage="1" showErrorMessage="1" prompt="Enter actual duration period in column F, starting with cell F5" sqref="E131177:G131177 E196713:G196713 E262249:G262249 E327785:G327785 E393321:G393321 E458857:G458857 E524393:G524393 E589929:G589929 E655465:G655465 E721001:G721001 E786537:G786537 E852073:G852073 E917609:G917609 E983145:G983145 E65639:G65639 E131175:G131175 E196711:G196711 E262247:G262247 E327783:G327783 E393319:G393319 E458855:G458855 E524391:G524391 E589927:G589927 E655463:G655463 E720999:G720999 E786535:G786535 E852071:G852071 E917607:G917607 E983143:G983143 E65641:G65641" xr:uid="{00000000-0002-0000-1500-000000000000}"/>
    <dataValidation allowBlank="1" showInputMessage="1" showErrorMessage="1" prompt="Enter actual start period in column E, starting with cell E5" sqref="D983143 D65641 D131177 D196713 D262249 D327785 D393321 D458857 D524393 D589929 D655465 D721001 D786537 D852073 D917609 D983145 D65639 D131175 D196711 D262247 D327783 D393319 D458855 D524391 D589927 D655463 D720999 D786535 D852071 D917607" xr:uid="{00000000-0002-0000-1500-000001000000}"/>
    <dataValidation allowBlank="1" showInputMessage="1" showErrorMessage="1" prompt="Enter plan duration period in column D, starting with cell D5" sqref="C65641 C131177 C196713 C262249 C327785 C393321 C458857 C524393 C589929 C655465 C721001 C786537 C852073 C917609 C983145 C65639 C131175 C196711 C262247 C327783 C393319 C458855 C524391 C589927 C655463 C720999 C786535 C852071 C917607 C983143" xr:uid="{00000000-0002-0000-1500-000002000000}"/>
    <dataValidation allowBlank="1" showInputMessage="1" showErrorMessage="1" prompt="Periods are charted from 1 to 60 starting from cell H4 to cell BO4 " sqref="J65640 J131176 J196712 J262248 J327784 J393320 J458856 J524392 J589928 J655464 J721000 J786536 J852072 J917608 J983144" xr:uid="{00000000-0002-0000-1500-000003000000}"/>
    <dataValidation allowBlank="1" showInputMessage="1" showErrorMessage="1" prompt="Title of the project. Enter a new title in this cell. Highlight a period in H2. Chart legend is in J2 to AI2" sqref="A1:B1 C65635 C131171 C196707 C262243 C327779 C393315 C458851 C524387 C589923 C655459 C720995 C786531 C852067 C917603 C983139" xr:uid="{00000000-0002-0000-1500-000004000000}"/>
    <dataValidation allowBlank="1" showInputMessage="1" showErrorMessage="1" prompt="Click chọn mã công việc" sqref="C6:C119" xr:uid="{00000000-0002-0000-1500-000005000000}"/>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WVP125"/>
  <sheetViews>
    <sheetView showGridLines="0" zoomScaleNormal="100" workbookViewId="0">
      <selection activeCell="E10" sqref="E10"/>
    </sheetView>
  </sheetViews>
  <sheetFormatPr defaultColWidth="0" defaultRowHeight="15"/>
  <cols>
    <col min="1" max="1" width="4.77734375" style="533" bestFit="1" customWidth="1"/>
    <col min="2" max="2" width="4.21875" style="538" bestFit="1" customWidth="1"/>
    <col min="3" max="3" width="9" style="533" customWidth="1"/>
    <col min="4" max="4" width="31" style="542" customWidth="1"/>
    <col min="5" max="5" width="22.6640625" style="542" customWidth="1"/>
    <col min="6" max="6" width="11.109375" style="543" customWidth="1"/>
    <col min="7" max="7" width="9.21875" style="544" bestFit="1" customWidth="1"/>
    <col min="8" max="8" width="10.44140625" style="545" bestFit="1" customWidth="1"/>
    <col min="9" max="9" width="11.109375" style="546" bestFit="1" customWidth="1"/>
    <col min="10" max="10" width="11.109375" style="545" bestFit="1" customWidth="1"/>
    <col min="11" max="11" width="19.77734375" style="543" customWidth="1"/>
    <col min="12" max="12" width="16.44140625" style="538" bestFit="1" customWidth="1"/>
    <col min="13" max="13" width="6.6640625" style="538" customWidth="1"/>
    <col min="14" max="14" width="7" style="547" customWidth="1"/>
    <col min="15" max="15" width="4.77734375" style="547" bestFit="1" customWidth="1"/>
    <col min="16" max="16" width="4.21875" style="547" bestFit="1" customWidth="1"/>
    <col min="17" max="17" width="7.33203125" style="537" bestFit="1" customWidth="1"/>
    <col min="18" max="66" width="8.88671875" style="537" hidden="1"/>
    <col min="67" max="255" width="8.88671875" style="538" hidden="1"/>
    <col min="256" max="256" width="9" style="538" hidden="1"/>
    <col min="257" max="257" width="29" style="538" hidden="1"/>
    <col min="258" max="258" width="18.77734375" style="538" hidden="1"/>
    <col min="259" max="259" width="26.5546875" style="538" hidden="1"/>
    <col min="260" max="260" width="8.88671875" style="538" hidden="1"/>
    <col min="261" max="261" width="9.6640625" style="538" hidden="1"/>
    <col min="262" max="511" width="8.88671875" style="538" hidden="1"/>
    <col min="512" max="512" width="9" style="538" hidden="1"/>
    <col min="513" max="513" width="29" style="538" hidden="1"/>
    <col min="514" max="514" width="18.77734375" style="538" hidden="1"/>
    <col min="515" max="515" width="26.5546875" style="538" hidden="1"/>
    <col min="516" max="516" width="8.88671875" style="538" hidden="1"/>
    <col min="517" max="517" width="9.6640625" style="538" hidden="1"/>
    <col min="518" max="767" width="8.88671875" style="538" hidden="1"/>
    <col min="768" max="768" width="9" style="538" hidden="1"/>
    <col min="769" max="769" width="29" style="538" hidden="1"/>
    <col min="770" max="770" width="18.77734375" style="538" hidden="1"/>
    <col min="771" max="771" width="26.5546875" style="538" hidden="1"/>
    <col min="772" max="772" width="8.88671875" style="538" hidden="1"/>
    <col min="773" max="773" width="9.6640625" style="538" hidden="1"/>
    <col min="774" max="1023" width="8.88671875" style="538" hidden="1"/>
    <col min="1024" max="1024" width="9" style="538" hidden="1"/>
    <col min="1025" max="1025" width="29" style="538" hidden="1"/>
    <col min="1026" max="1026" width="18.77734375" style="538" hidden="1"/>
    <col min="1027" max="1027" width="26.5546875" style="538" hidden="1"/>
    <col min="1028" max="1028" width="8.88671875" style="538" hidden="1"/>
    <col min="1029" max="1029" width="9.6640625" style="538" hidden="1"/>
    <col min="1030" max="1279" width="8.88671875" style="538" hidden="1"/>
    <col min="1280" max="1280" width="9" style="538" hidden="1"/>
    <col min="1281" max="1281" width="29" style="538" hidden="1"/>
    <col min="1282" max="1282" width="18.77734375" style="538" hidden="1"/>
    <col min="1283" max="1283" width="26.5546875" style="538" hidden="1"/>
    <col min="1284" max="1284" width="8.88671875" style="538" hidden="1"/>
    <col min="1285" max="1285" width="9.6640625" style="538" hidden="1"/>
    <col min="1286" max="1535" width="8.88671875" style="538" hidden="1"/>
    <col min="1536" max="1536" width="9" style="538" hidden="1"/>
    <col min="1537" max="1537" width="29" style="538" hidden="1"/>
    <col min="1538" max="1538" width="18.77734375" style="538" hidden="1"/>
    <col min="1539" max="1539" width="26.5546875" style="538" hidden="1"/>
    <col min="1540" max="1540" width="8.88671875" style="538" hidden="1"/>
    <col min="1541" max="1541" width="9.6640625" style="538" hidden="1"/>
    <col min="1542" max="1791" width="8.88671875" style="538" hidden="1"/>
    <col min="1792" max="1792" width="9" style="538" hidden="1"/>
    <col min="1793" max="1793" width="29" style="538" hidden="1"/>
    <col min="1794" max="1794" width="18.77734375" style="538" hidden="1"/>
    <col min="1795" max="1795" width="26.5546875" style="538" hidden="1"/>
    <col min="1796" max="1796" width="8.88671875" style="538" hidden="1"/>
    <col min="1797" max="1797" width="9.6640625" style="538" hidden="1"/>
    <col min="1798" max="2047" width="8.88671875" style="538" hidden="1"/>
    <col min="2048" max="2048" width="9" style="538" hidden="1"/>
    <col min="2049" max="2049" width="29" style="538" hidden="1"/>
    <col min="2050" max="2050" width="18.77734375" style="538" hidden="1"/>
    <col min="2051" max="2051" width="26.5546875" style="538" hidden="1"/>
    <col min="2052" max="2052" width="8.88671875" style="538" hidden="1"/>
    <col min="2053" max="2053" width="9.6640625" style="538" hidden="1"/>
    <col min="2054" max="2303" width="8.88671875" style="538" hidden="1"/>
    <col min="2304" max="2304" width="9" style="538" hidden="1"/>
    <col min="2305" max="2305" width="29" style="538" hidden="1"/>
    <col min="2306" max="2306" width="18.77734375" style="538" hidden="1"/>
    <col min="2307" max="2307" width="26.5546875" style="538" hidden="1"/>
    <col min="2308" max="2308" width="8.88671875" style="538" hidden="1"/>
    <col min="2309" max="2309" width="9.6640625" style="538" hidden="1"/>
    <col min="2310" max="2559" width="8.88671875" style="538" hidden="1"/>
    <col min="2560" max="2560" width="9" style="538" hidden="1"/>
    <col min="2561" max="2561" width="29" style="538" hidden="1"/>
    <col min="2562" max="2562" width="18.77734375" style="538" hidden="1"/>
    <col min="2563" max="2563" width="26.5546875" style="538" hidden="1"/>
    <col min="2564" max="2564" width="8.88671875" style="538" hidden="1"/>
    <col min="2565" max="2565" width="9.6640625" style="538" hidden="1"/>
    <col min="2566" max="2815" width="8.88671875" style="538" hidden="1"/>
    <col min="2816" max="2816" width="9" style="538" hidden="1"/>
    <col min="2817" max="2817" width="29" style="538" hidden="1"/>
    <col min="2818" max="2818" width="18.77734375" style="538" hidden="1"/>
    <col min="2819" max="2819" width="26.5546875" style="538" hidden="1"/>
    <col min="2820" max="2820" width="8.88671875" style="538" hidden="1"/>
    <col min="2821" max="2821" width="9.6640625" style="538" hidden="1"/>
    <col min="2822" max="3071" width="8.88671875" style="538" hidden="1"/>
    <col min="3072" max="3072" width="9" style="538" hidden="1"/>
    <col min="3073" max="3073" width="29" style="538" hidden="1"/>
    <col min="3074" max="3074" width="18.77734375" style="538" hidden="1"/>
    <col min="3075" max="3075" width="26.5546875" style="538" hidden="1"/>
    <col min="3076" max="3076" width="8.88671875" style="538" hidden="1"/>
    <col min="3077" max="3077" width="9.6640625" style="538" hidden="1"/>
    <col min="3078" max="3327" width="8.88671875" style="538" hidden="1"/>
    <col min="3328" max="3328" width="9" style="538" hidden="1"/>
    <col min="3329" max="3329" width="29" style="538" hidden="1"/>
    <col min="3330" max="3330" width="18.77734375" style="538" hidden="1"/>
    <col min="3331" max="3331" width="26.5546875" style="538" hidden="1"/>
    <col min="3332" max="3332" width="8.88671875" style="538" hidden="1"/>
    <col min="3333" max="3333" width="9.6640625" style="538" hidden="1"/>
    <col min="3334" max="3583" width="8.88671875" style="538" hidden="1"/>
    <col min="3584" max="3584" width="9" style="538" hidden="1"/>
    <col min="3585" max="3585" width="29" style="538" hidden="1"/>
    <col min="3586" max="3586" width="18.77734375" style="538" hidden="1"/>
    <col min="3587" max="3587" width="26.5546875" style="538" hidden="1"/>
    <col min="3588" max="3588" width="8.88671875" style="538" hidden="1"/>
    <col min="3589" max="3589" width="9.6640625" style="538" hidden="1"/>
    <col min="3590" max="3839" width="8.88671875" style="538" hidden="1"/>
    <col min="3840" max="3840" width="9" style="538" hidden="1"/>
    <col min="3841" max="3841" width="29" style="538" hidden="1"/>
    <col min="3842" max="3842" width="18.77734375" style="538" hidden="1"/>
    <col min="3843" max="3843" width="26.5546875" style="538" hidden="1"/>
    <col min="3844" max="3844" width="8.88671875" style="538" hidden="1"/>
    <col min="3845" max="3845" width="9.6640625" style="538" hidden="1"/>
    <col min="3846" max="4095" width="8.88671875" style="538" hidden="1"/>
    <col min="4096" max="4096" width="9" style="538" hidden="1"/>
    <col min="4097" max="4097" width="29" style="538" hidden="1"/>
    <col min="4098" max="4098" width="18.77734375" style="538" hidden="1"/>
    <col min="4099" max="4099" width="26.5546875" style="538" hidden="1"/>
    <col min="4100" max="4100" width="8.88671875" style="538" hidden="1"/>
    <col min="4101" max="4101" width="9.6640625" style="538" hidden="1"/>
    <col min="4102" max="4351" width="8.88671875" style="538" hidden="1"/>
    <col min="4352" max="4352" width="9" style="538" hidden="1"/>
    <col min="4353" max="4353" width="29" style="538" hidden="1"/>
    <col min="4354" max="4354" width="18.77734375" style="538" hidden="1"/>
    <col min="4355" max="4355" width="26.5546875" style="538" hidden="1"/>
    <col min="4356" max="4356" width="8.88671875" style="538" hidden="1"/>
    <col min="4357" max="4357" width="9.6640625" style="538" hidden="1"/>
    <col min="4358" max="4607" width="8.88671875" style="538" hidden="1"/>
    <col min="4608" max="4608" width="9" style="538" hidden="1"/>
    <col min="4609" max="4609" width="29" style="538" hidden="1"/>
    <col min="4610" max="4610" width="18.77734375" style="538" hidden="1"/>
    <col min="4611" max="4611" width="26.5546875" style="538" hidden="1"/>
    <col min="4612" max="4612" width="8.88671875" style="538" hidden="1"/>
    <col min="4613" max="4613" width="9.6640625" style="538" hidden="1"/>
    <col min="4614" max="4863" width="8.88671875" style="538" hidden="1"/>
    <col min="4864" max="4864" width="9" style="538" hidden="1"/>
    <col min="4865" max="4865" width="29" style="538" hidden="1"/>
    <col min="4866" max="4866" width="18.77734375" style="538" hidden="1"/>
    <col min="4867" max="4867" width="26.5546875" style="538" hidden="1"/>
    <col min="4868" max="4868" width="8.88671875" style="538" hidden="1"/>
    <col min="4869" max="4869" width="9.6640625" style="538" hidden="1"/>
    <col min="4870" max="5119" width="8.88671875" style="538" hidden="1"/>
    <col min="5120" max="5120" width="9" style="538" hidden="1"/>
    <col min="5121" max="5121" width="29" style="538" hidden="1"/>
    <col min="5122" max="5122" width="18.77734375" style="538" hidden="1"/>
    <col min="5123" max="5123" width="26.5546875" style="538" hidden="1"/>
    <col min="5124" max="5124" width="8.88671875" style="538" hidden="1"/>
    <col min="5125" max="5125" width="9.6640625" style="538" hidden="1"/>
    <col min="5126" max="5375" width="8.88671875" style="538" hidden="1"/>
    <col min="5376" max="5376" width="9" style="538" hidden="1"/>
    <col min="5377" max="5377" width="29" style="538" hidden="1"/>
    <col min="5378" max="5378" width="18.77734375" style="538" hidden="1"/>
    <col min="5379" max="5379" width="26.5546875" style="538" hidden="1"/>
    <col min="5380" max="5380" width="8.88671875" style="538" hidden="1"/>
    <col min="5381" max="5381" width="9.6640625" style="538" hidden="1"/>
    <col min="5382" max="5631" width="8.88671875" style="538" hidden="1"/>
    <col min="5632" max="5632" width="9" style="538" hidden="1"/>
    <col min="5633" max="5633" width="29" style="538" hidden="1"/>
    <col min="5634" max="5634" width="18.77734375" style="538" hidden="1"/>
    <col min="5635" max="5635" width="26.5546875" style="538" hidden="1"/>
    <col min="5636" max="5636" width="8.88671875" style="538" hidden="1"/>
    <col min="5637" max="5637" width="9.6640625" style="538" hidden="1"/>
    <col min="5638" max="5887" width="8.88671875" style="538" hidden="1"/>
    <col min="5888" max="5888" width="9" style="538" hidden="1"/>
    <col min="5889" max="5889" width="29" style="538" hidden="1"/>
    <col min="5890" max="5890" width="18.77734375" style="538" hidden="1"/>
    <col min="5891" max="5891" width="26.5546875" style="538" hidden="1"/>
    <col min="5892" max="5892" width="8.88671875" style="538" hidden="1"/>
    <col min="5893" max="5893" width="9.6640625" style="538" hidden="1"/>
    <col min="5894" max="6143" width="8.88671875" style="538" hidden="1"/>
    <col min="6144" max="6144" width="9" style="538" hidden="1"/>
    <col min="6145" max="6145" width="29" style="538" hidden="1"/>
    <col min="6146" max="6146" width="18.77734375" style="538" hidden="1"/>
    <col min="6147" max="6147" width="26.5546875" style="538" hidden="1"/>
    <col min="6148" max="6148" width="8.88671875" style="538" hidden="1"/>
    <col min="6149" max="6149" width="9.6640625" style="538" hidden="1"/>
    <col min="6150" max="6399" width="8.88671875" style="538" hidden="1"/>
    <col min="6400" max="6400" width="9" style="538" hidden="1"/>
    <col min="6401" max="6401" width="29" style="538" hidden="1"/>
    <col min="6402" max="6402" width="18.77734375" style="538" hidden="1"/>
    <col min="6403" max="6403" width="26.5546875" style="538" hidden="1"/>
    <col min="6404" max="6404" width="8.88671875" style="538" hidden="1"/>
    <col min="6405" max="6405" width="9.6640625" style="538" hidden="1"/>
    <col min="6406" max="6655" width="8.88671875" style="538" hidden="1"/>
    <col min="6656" max="6656" width="9" style="538" hidden="1"/>
    <col min="6657" max="6657" width="29" style="538" hidden="1"/>
    <col min="6658" max="6658" width="18.77734375" style="538" hidden="1"/>
    <col min="6659" max="6659" width="26.5546875" style="538" hidden="1"/>
    <col min="6660" max="6660" width="8.88671875" style="538" hidden="1"/>
    <col min="6661" max="6661" width="9.6640625" style="538" hidden="1"/>
    <col min="6662" max="6911" width="8.88671875" style="538" hidden="1"/>
    <col min="6912" max="6912" width="9" style="538" hidden="1"/>
    <col min="6913" max="6913" width="29" style="538" hidden="1"/>
    <col min="6914" max="6914" width="18.77734375" style="538" hidden="1"/>
    <col min="6915" max="6915" width="26.5546875" style="538" hidden="1"/>
    <col min="6916" max="6916" width="8.88671875" style="538" hidden="1"/>
    <col min="6917" max="6917" width="9.6640625" style="538" hidden="1"/>
    <col min="6918" max="7167" width="8.88671875" style="538" hidden="1"/>
    <col min="7168" max="7168" width="9" style="538" hidden="1"/>
    <col min="7169" max="7169" width="29" style="538" hidden="1"/>
    <col min="7170" max="7170" width="18.77734375" style="538" hidden="1"/>
    <col min="7171" max="7171" width="26.5546875" style="538" hidden="1"/>
    <col min="7172" max="7172" width="8.88671875" style="538" hidden="1"/>
    <col min="7173" max="7173" width="9.6640625" style="538" hidden="1"/>
    <col min="7174" max="7423" width="8.88671875" style="538" hidden="1"/>
    <col min="7424" max="7424" width="9" style="538" hidden="1"/>
    <col min="7425" max="7425" width="29" style="538" hidden="1"/>
    <col min="7426" max="7426" width="18.77734375" style="538" hidden="1"/>
    <col min="7427" max="7427" width="26.5546875" style="538" hidden="1"/>
    <col min="7428" max="7428" width="8.88671875" style="538" hidden="1"/>
    <col min="7429" max="7429" width="9.6640625" style="538" hidden="1"/>
    <col min="7430" max="7679" width="8.88671875" style="538" hidden="1"/>
    <col min="7680" max="7680" width="9" style="538" hidden="1"/>
    <col min="7681" max="7681" width="29" style="538" hidden="1"/>
    <col min="7682" max="7682" width="18.77734375" style="538" hidden="1"/>
    <col min="7683" max="7683" width="26.5546875" style="538" hidden="1"/>
    <col min="7684" max="7684" width="8.88671875" style="538" hidden="1"/>
    <col min="7685" max="7685" width="9.6640625" style="538" hidden="1"/>
    <col min="7686" max="7935" width="8.88671875" style="538" hidden="1"/>
    <col min="7936" max="7936" width="9" style="538" hidden="1"/>
    <col min="7937" max="7937" width="29" style="538" hidden="1"/>
    <col min="7938" max="7938" width="18.77734375" style="538" hidden="1"/>
    <col min="7939" max="7939" width="26.5546875" style="538" hidden="1"/>
    <col min="7940" max="7940" width="8.88671875" style="538" hidden="1"/>
    <col min="7941" max="7941" width="9.6640625" style="538" hidden="1"/>
    <col min="7942" max="8191" width="8.88671875" style="538" hidden="1"/>
    <col min="8192" max="8192" width="9" style="538" hidden="1"/>
    <col min="8193" max="8193" width="29" style="538" hidden="1"/>
    <col min="8194" max="8194" width="18.77734375" style="538" hidden="1"/>
    <col min="8195" max="8195" width="26.5546875" style="538" hidden="1"/>
    <col min="8196" max="8196" width="8.88671875" style="538" hidden="1"/>
    <col min="8197" max="8197" width="9.6640625" style="538" hidden="1"/>
    <col min="8198" max="8447" width="8.88671875" style="538" hidden="1"/>
    <col min="8448" max="8448" width="9" style="538" hidden="1"/>
    <col min="8449" max="8449" width="29" style="538" hidden="1"/>
    <col min="8450" max="8450" width="18.77734375" style="538" hidden="1"/>
    <col min="8451" max="8451" width="26.5546875" style="538" hidden="1"/>
    <col min="8452" max="8452" width="8.88671875" style="538" hidden="1"/>
    <col min="8453" max="8453" width="9.6640625" style="538" hidden="1"/>
    <col min="8454" max="8703" width="8.88671875" style="538" hidden="1"/>
    <col min="8704" max="8704" width="9" style="538" hidden="1"/>
    <col min="8705" max="8705" width="29" style="538" hidden="1"/>
    <col min="8706" max="8706" width="18.77734375" style="538" hidden="1"/>
    <col min="8707" max="8707" width="26.5546875" style="538" hidden="1"/>
    <col min="8708" max="8708" width="8.88671875" style="538" hidden="1"/>
    <col min="8709" max="8709" width="9.6640625" style="538" hidden="1"/>
    <col min="8710" max="8959" width="8.88671875" style="538" hidden="1"/>
    <col min="8960" max="8960" width="9" style="538" hidden="1"/>
    <col min="8961" max="8961" width="29" style="538" hidden="1"/>
    <col min="8962" max="8962" width="18.77734375" style="538" hidden="1"/>
    <col min="8963" max="8963" width="26.5546875" style="538" hidden="1"/>
    <col min="8964" max="8964" width="8.88671875" style="538" hidden="1"/>
    <col min="8965" max="8965" width="9.6640625" style="538" hidden="1"/>
    <col min="8966" max="9215" width="8.88671875" style="538" hidden="1"/>
    <col min="9216" max="9216" width="9" style="538" hidden="1"/>
    <col min="9217" max="9217" width="29" style="538" hidden="1"/>
    <col min="9218" max="9218" width="18.77734375" style="538" hidden="1"/>
    <col min="9219" max="9219" width="26.5546875" style="538" hidden="1"/>
    <col min="9220" max="9220" width="8.88671875" style="538" hidden="1"/>
    <col min="9221" max="9221" width="9.6640625" style="538" hidden="1"/>
    <col min="9222" max="9471" width="8.88671875" style="538" hidden="1"/>
    <col min="9472" max="9472" width="9" style="538" hidden="1"/>
    <col min="9473" max="9473" width="29" style="538" hidden="1"/>
    <col min="9474" max="9474" width="18.77734375" style="538" hidden="1"/>
    <col min="9475" max="9475" width="26.5546875" style="538" hidden="1"/>
    <col min="9476" max="9476" width="8.88671875" style="538" hidden="1"/>
    <col min="9477" max="9477" width="9.6640625" style="538" hidden="1"/>
    <col min="9478" max="9727" width="8.88671875" style="538" hidden="1"/>
    <col min="9728" max="9728" width="9" style="538" hidden="1"/>
    <col min="9729" max="9729" width="29" style="538" hidden="1"/>
    <col min="9730" max="9730" width="18.77734375" style="538" hidden="1"/>
    <col min="9731" max="9731" width="26.5546875" style="538" hidden="1"/>
    <col min="9732" max="9732" width="8.88671875" style="538" hidden="1"/>
    <col min="9733" max="9733" width="9.6640625" style="538" hidden="1"/>
    <col min="9734" max="9983" width="8.88671875" style="538" hidden="1"/>
    <col min="9984" max="9984" width="9" style="538" hidden="1"/>
    <col min="9985" max="9985" width="29" style="538" hidden="1"/>
    <col min="9986" max="9986" width="18.77734375" style="538" hidden="1"/>
    <col min="9987" max="9987" width="26.5546875" style="538" hidden="1"/>
    <col min="9988" max="9988" width="8.88671875" style="538" hidden="1"/>
    <col min="9989" max="9989" width="9.6640625" style="538" hidden="1"/>
    <col min="9990" max="10239" width="8.88671875" style="538" hidden="1"/>
    <col min="10240" max="10240" width="9" style="538" hidden="1"/>
    <col min="10241" max="10241" width="29" style="538" hidden="1"/>
    <col min="10242" max="10242" width="18.77734375" style="538" hidden="1"/>
    <col min="10243" max="10243" width="26.5546875" style="538" hidden="1"/>
    <col min="10244" max="10244" width="8.88671875" style="538" hidden="1"/>
    <col min="10245" max="10245" width="9.6640625" style="538" hidden="1"/>
    <col min="10246" max="10495" width="8.88671875" style="538" hidden="1"/>
    <col min="10496" max="10496" width="9" style="538" hidden="1"/>
    <col min="10497" max="10497" width="29" style="538" hidden="1"/>
    <col min="10498" max="10498" width="18.77734375" style="538" hidden="1"/>
    <col min="10499" max="10499" width="26.5546875" style="538" hidden="1"/>
    <col min="10500" max="10500" width="8.88671875" style="538" hidden="1"/>
    <col min="10501" max="10501" width="9.6640625" style="538" hidden="1"/>
    <col min="10502" max="10751" width="8.88671875" style="538" hidden="1"/>
    <col min="10752" max="10752" width="9" style="538" hidden="1"/>
    <col min="10753" max="10753" width="29" style="538" hidden="1"/>
    <col min="10754" max="10754" width="18.77734375" style="538" hidden="1"/>
    <col min="10755" max="10755" width="26.5546875" style="538" hidden="1"/>
    <col min="10756" max="10756" width="8.88671875" style="538" hidden="1"/>
    <col min="10757" max="10757" width="9.6640625" style="538" hidden="1"/>
    <col min="10758" max="11007" width="8.88671875" style="538" hidden="1"/>
    <col min="11008" max="11008" width="9" style="538" hidden="1"/>
    <col min="11009" max="11009" width="29" style="538" hidden="1"/>
    <col min="11010" max="11010" width="18.77734375" style="538" hidden="1"/>
    <col min="11011" max="11011" width="26.5546875" style="538" hidden="1"/>
    <col min="11012" max="11012" width="8.88671875" style="538" hidden="1"/>
    <col min="11013" max="11013" width="9.6640625" style="538" hidden="1"/>
    <col min="11014" max="11263" width="8.88671875" style="538" hidden="1"/>
    <col min="11264" max="11264" width="9" style="538" hidden="1"/>
    <col min="11265" max="11265" width="29" style="538" hidden="1"/>
    <col min="11266" max="11266" width="18.77734375" style="538" hidden="1"/>
    <col min="11267" max="11267" width="26.5546875" style="538" hidden="1"/>
    <col min="11268" max="11268" width="8.88671875" style="538" hidden="1"/>
    <col min="11269" max="11269" width="9.6640625" style="538" hidden="1"/>
    <col min="11270" max="11519" width="8.88671875" style="538" hidden="1"/>
    <col min="11520" max="11520" width="9" style="538" hidden="1"/>
    <col min="11521" max="11521" width="29" style="538" hidden="1"/>
    <col min="11522" max="11522" width="18.77734375" style="538" hidden="1"/>
    <col min="11523" max="11523" width="26.5546875" style="538" hidden="1"/>
    <col min="11524" max="11524" width="8.88671875" style="538" hidden="1"/>
    <col min="11525" max="11525" width="9.6640625" style="538" hidden="1"/>
    <col min="11526" max="11775" width="8.88671875" style="538" hidden="1"/>
    <col min="11776" max="11776" width="9" style="538" hidden="1"/>
    <col min="11777" max="11777" width="29" style="538" hidden="1"/>
    <col min="11778" max="11778" width="18.77734375" style="538" hidden="1"/>
    <col min="11779" max="11779" width="26.5546875" style="538" hidden="1"/>
    <col min="11780" max="11780" width="8.88671875" style="538" hidden="1"/>
    <col min="11781" max="11781" width="9.6640625" style="538" hidden="1"/>
    <col min="11782" max="12031" width="8.88671875" style="538" hidden="1"/>
    <col min="12032" max="12032" width="9" style="538" hidden="1"/>
    <col min="12033" max="12033" width="29" style="538" hidden="1"/>
    <col min="12034" max="12034" width="18.77734375" style="538" hidden="1"/>
    <col min="12035" max="12035" width="26.5546875" style="538" hidden="1"/>
    <col min="12036" max="12036" width="8.88671875" style="538" hidden="1"/>
    <col min="12037" max="12037" width="9.6640625" style="538" hidden="1"/>
    <col min="12038" max="12287" width="8.88671875" style="538" hidden="1"/>
    <col min="12288" max="12288" width="9" style="538" hidden="1"/>
    <col min="12289" max="12289" width="29" style="538" hidden="1"/>
    <col min="12290" max="12290" width="18.77734375" style="538" hidden="1"/>
    <col min="12291" max="12291" width="26.5546875" style="538" hidden="1"/>
    <col min="12292" max="12292" width="8.88671875" style="538" hidden="1"/>
    <col min="12293" max="12293" width="9.6640625" style="538" hidden="1"/>
    <col min="12294" max="12543" width="8.88671875" style="538" hidden="1"/>
    <col min="12544" max="12544" width="9" style="538" hidden="1"/>
    <col min="12545" max="12545" width="29" style="538" hidden="1"/>
    <col min="12546" max="12546" width="18.77734375" style="538" hidden="1"/>
    <col min="12547" max="12547" width="26.5546875" style="538" hidden="1"/>
    <col min="12548" max="12548" width="8.88671875" style="538" hidden="1"/>
    <col min="12549" max="12549" width="9.6640625" style="538" hidden="1"/>
    <col min="12550" max="12799" width="8.88671875" style="538" hidden="1"/>
    <col min="12800" max="12800" width="9" style="538" hidden="1"/>
    <col min="12801" max="12801" width="29" style="538" hidden="1"/>
    <col min="12802" max="12802" width="18.77734375" style="538" hidden="1"/>
    <col min="12803" max="12803" width="26.5546875" style="538" hidden="1"/>
    <col min="12804" max="12804" width="8.88671875" style="538" hidden="1"/>
    <col min="12805" max="12805" width="9.6640625" style="538" hidden="1"/>
    <col min="12806" max="13055" width="8.88671875" style="538" hidden="1"/>
    <col min="13056" max="13056" width="9" style="538" hidden="1"/>
    <col min="13057" max="13057" width="29" style="538" hidden="1"/>
    <col min="13058" max="13058" width="18.77734375" style="538" hidden="1"/>
    <col min="13059" max="13059" width="26.5546875" style="538" hidden="1"/>
    <col min="13060" max="13060" width="8.88671875" style="538" hidden="1"/>
    <col min="13061" max="13061" width="9.6640625" style="538" hidden="1"/>
    <col min="13062" max="13311" width="8.88671875" style="538" hidden="1"/>
    <col min="13312" max="13312" width="9" style="538" hidden="1"/>
    <col min="13313" max="13313" width="29" style="538" hidden="1"/>
    <col min="13314" max="13314" width="18.77734375" style="538" hidden="1"/>
    <col min="13315" max="13315" width="26.5546875" style="538" hidden="1"/>
    <col min="13316" max="13316" width="8.88671875" style="538" hidden="1"/>
    <col min="13317" max="13317" width="9.6640625" style="538" hidden="1"/>
    <col min="13318" max="13567" width="8.88671875" style="538" hidden="1"/>
    <col min="13568" max="13568" width="9" style="538" hidden="1"/>
    <col min="13569" max="13569" width="29" style="538" hidden="1"/>
    <col min="13570" max="13570" width="18.77734375" style="538" hidden="1"/>
    <col min="13571" max="13571" width="26.5546875" style="538" hidden="1"/>
    <col min="13572" max="13572" width="8.88671875" style="538" hidden="1"/>
    <col min="13573" max="13573" width="9.6640625" style="538" hidden="1"/>
    <col min="13574" max="13823" width="8.88671875" style="538" hidden="1"/>
    <col min="13824" max="13824" width="9" style="538" hidden="1"/>
    <col min="13825" max="13825" width="29" style="538" hidden="1"/>
    <col min="13826" max="13826" width="18.77734375" style="538" hidden="1"/>
    <col min="13827" max="13827" width="26.5546875" style="538" hidden="1"/>
    <col min="13828" max="13828" width="8.88671875" style="538" hidden="1"/>
    <col min="13829" max="13829" width="9.6640625" style="538" hidden="1"/>
    <col min="13830" max="14079" width="8.88671875" style="538" hidden="1"/>
    <col min="14080" max="14080" width="9" style="538" hidden="1"/>
    <col min="14081" max="14081" width="29" style="538" hidden="1"/>
    <col min="14082" max="14082" width="18.77734375" style="538" hidden="1"/>
    <col min="14083" max="14083" width="26.5546875" style="538" hidden="1"/>
    <col min="14084" max="14084" width="8.88671875" style="538" hidden="1"/>
    <col min="14085" max="14085" width="9.6640625" style="538" hidden="1"/>
    <col min="14086" max="14335" width="8.88671875" style="538" hidden="1"/>
    <col min="14336" max="14336" width="9" style="538" hidden="1"/>
    <col min="14337" max="14337" width="29" style="538" hidden="1"/>
    <col min="14338" max="14338" width="18.77734375" style="538" hidden="1"/>
    <col min="14339" max="14339" width="26.5546875" style="538" hidden="1"/>
    <col min="14340" max="14340" width="8.88671875" style="538" hidden="1"/>
    <col min="14341" max="14341" width="9.6640625" style="538" hidden="1"/>
    <col min="14342" max="14591" width="8.88671875" style="538" hidden="1"/>
    <col min="14592" max="14592" width="9" style="538" hidden="1"/>
    <col min="14593" max="14593" width="29" style="538" hidden="1"/>
    <col min="14594" max="14594" width="18.77734375" style="538" hidden="1"/>
    <col min="14595" max="14595" width="26.5546875" style="538" hidden="1"/>
    <col min="14596" max="14596" width="8.88671875" style="538" hidden="1"/>
    <col min="14597" max="14597" width="9.6640625" style="538" hidden="1"/>
    <col min="14598" max="14847" width="8.88671875" style="538" hidden="1"/>
    <col min="14848" max="14848" width="9" style="538" hidden="1"/>
    <col min="14849" max="14849" width="29" style="538" hidden="1"/>
    <col min="14850" max="14850" width="18.77734375" style="538" hidden="1"/>
    <col min="14851" max="14851" width="26.5546875" style="538" hidden="1"/>
    <col min="14852" max="14852" width="8.88671875" style="538" hidden="1"/>
    <col min="14853" max="14853" width="9.6640625" style="538" hidden="1"/>
    <col min="14854" max="15103" width="8.88671875" style="538" hidden="1"/>
    <col min="15104" max="15104" width="9" style="538" hidden="1"/>
    <col min="15105" max="15105" width="29" style="538" hidden="1"/>
    <col min="15106" max="15106" width="18.77734375" style="538" hidden="1"/>
    <col min="15107" max="15107" width="26.5546875" style="538" hidden="1"/>
    <col min="15108" max="15108" width="8.88671875" style="538" hidden="1"/>
    <col min="15109" max="15109" width="9.6640625" style="538" hidden="1"/>
    <col min="15110" max="15359" width="8.88671875" style="538" hidden="1"/>
    <col min="15360" max="15360" width="9" style="538" hidden="1"/>
    <col min="15361" max="15361" width="29" style="538" hidden="1"/>
    <col min="15362" max="15362" width="18.77734375" style="538" hidden="1"/>
    <col min="15363" max="15363" width="26.5546875" style="538" hidden="1"/>
    <col min="15364" max="15364" width="8.88671875" style="538" hidden="1"/>
    <col min="15365" max="15365" width="9.6640625" style="538" hidden="1"/>
    <col min="15366" max="15615" width="8.88671875" style="538" hidden="1"/>
    <col min="15616" max="15616" width="9" style="538" hidden="1"/>
    <col min="15617" max="15617" width="29" style="538" hidden="1"/>
    <col min="15618" max="15618" width="18.77734375" style="538" hidden="1"/>
    <col min="15619" max="15619" width="26.5546875" style="538" hidden="1"/>
    <col min="15620" max="15620" width="8.88671875" style="538" hidden="1"/>
    <col min="15621" max="15621" width="9.6640625" style="538" hidden="1"/>
    <col min="15622" max="15871" width="8.88671875" style="538" hidden="1"/>
    <col min="15872" max="15872" width="9" style="538" hidden="1"/>
    <col min="15873" max="15873" width="29" style="538" hidden="1"/>
    <col min="15874" max="15874" width="18.77734375" style="538" hidden="1"/>
    <col min="15875" max="15875" width="26.5546875" style="538" hidden="1"/>
    <col min="15876" max="15876" width="8.88671875" style="538" hidden="1"/>
    <col min="15877" max="15877" width="9.6640625" style="538" hidden="1"/>
    <col min="15878" max="16127" width="8.88671875" style="538" hidden="1"/>
    <col min="16128" max="16128" width="9" style="538" hidden="1"/>
    <col min="16129" max="16129" width="29" style="538" hidden="1"/>
    <col min="16130" max="16130" width="18.77734375" style="538" hidden="1"/>
    <col min="16131" max="16131" width="26.5546875" style="538" hidden="1"/>
    <col min="16132" max="16132" width="8.88671875" style="538" hidden="1"/>
    <col min="16133" max="16136" width="9.6640625" style="538" hidden="1"/>
    <col min="16137" max="16384" width="0" style="538" hidden="1"/>
  </cols>
  <sheetData>
    <row r="1" spans="1:20" s="24" customFormat="1" ht="27" customHeight="1">
      <c r="A1" s="1438" t="s">
        <v>5464</v>
      </c>
      <c r="B1" s="1438"/>
      <c r="C1" s="1438"/>
      <c r="D1" s="1438"/>
      <c r="E1" s="1438"/>
      <c r="F1" s="1438"/>
      <c r="G1" s="1438"/>
      <c r="H1" s="1438"/>
      <c r="I1" s="1438"/>
      <c r="J1" s="1438"/>
      <c r="K1" s="1438"/>
      <c r="L1" s="127"/>
      <c r="M1" s="126"/>
      <c r="N1" s="963"/>
      <c r="O1" s="963"/>
      <c r="P1" s="595" t="s">
        <v>173</v>
      </c>
      <c r="Q1" s="111"/>
    </row>
    <row r="2" spans="1:20" s="24" customFormat="1" ht="19.5" customHeight="1">
      <c r="A2" s="1438"/>
      <c r="B2" s="1438"/>
      <c r="C2" s="1438"/>
      <c r="D2" s="1438"/>
      <c r="E2" s="1438"/>
      <c r="F2" s="1438"/>
      <c r="G2" s="1438"/>
      <c r="H2" s="1438"/>
      <c r="I2" s="1438"/>
      <c r="J2" s="1438"/>
      <c r="K2" s="1438"/>
      <c r="L2" s="127"/>
      <c r="M2" s="126"/>
      <c r="N2" s="963"/>
      <c r="O2" s="963"/>
      <c r="P2" s="963"/>
      <c r="Q2" s="111"/>
      <c r="R2" s="111"/>
      <c r="S2" s="111"/>
      <c r="T2" s="111"/>
    </row>
    <row r="3" spans="1:20" s="24" customFormat="1" ht="18" customHeight="1">
      <c r="A3" s="549" t="str">
        <f>Nhattrinh!E1</f>
        <v xml:space="preserve">     Công trình: Gia cố nâng cấp kênh Bà Xoài từ K0+300÷K0+600 - Hệ thống thủy lợi Nha Trinh, huyện Ninh Hải, tỉnh Ninh Thuận</v>
      </c>
      <c r="B3" s="552"/>
      <c r="C3" s="552"/>
      <c r="D3" s="552"/>
      <c r="E3" s="549"/>
      <c r="F3" s="549"/>
      <c r="G3" s="549"/>
      <c r="H3" s="549"/>
      <c r="I3" s="549"/>
      <c r="J3" s="549"/>
      <c r="K3" s="549"/>
      <c r="L3" s="548"/>
      <c r="M3" s="549"/>
      <c r="N3" s="550"/>
      <c r="O3" s="550"/>
      <c r="P3" s="550"/>
      <c r="Q3" s="553"/>
      <c r="R3" s="111"/>
      <c r="S3" s="111"/>
      <c r="T3" s="111"/>
    </row>
    <row r="4" spans="1:20" s="24" customFormat="1" ht="18" customHeight="1">
      <c r="A4" s="554" t="str">
        <f>Nhattrinh!E2</f>
        <v xml:space="preserve">     Địa điểm XD: Huyện Ninh Hải - Tỉnh Ninh Thuận</v>
      </c>
      <c r="B4" s="555"/>
      <c r="C4" s="555"/>
      <c r="D4" s="555"/>
      <c r="E4" s="554"/>
      <c r="F4" s="554"/>
      <c r="G4" s="554"/>
      <c r="H4" s="554"/>
      <c r="I4" s="554"/>
      <c r="J4" s="554"/>
      <c r="K4" s="554"/>
      <c r="L4" s="551"/>
      <c r="M4" s="554"/>
      <c r="N4" s="556"/>
      <c r="O4" s="556"/>
      <c r="P4" s="556"/>
      <c r="Q4" s="557"/>
      <c r="R4" s="111"/>
      <c r="S4" s="111"/>
      <c r="T4" s="111"/>
    </row>
    <row r="5" spans="1:20" s="533" customFormat="1" ht="28.5">
      <c r="A5" s="3" t="s">
        <v>64</v>
      </c>
      <c r="B5" s="3" t="s">
        <v>4273</v>
      </c>
      <c r="C5" s="3" t="s">
        <v>29</v>
      </c>
      <c r="D5" s="3" t="s">
        <v>23</v>
      </c>
      <c r="E5" s="3" t="s">
        <v>30</v>
      </c>
      <c r="F5" s="568" t="s">
        <v>1078</v>
      </c>
      <c r="G5" s="160" t="s">
        <v>1077</v>
      </c>
      <c r="H5" s="4" t="s">
        <v>32</v>
      </c>
      <c r="I5" s="571" t="s">
        <v>4282</v>
      </c>
      <c r="J5" s="4" t="s">
        <v>65</v>
      </c>
      <c r="K5" s="3" t="s">
        <v>31</v>
      </c>
      <c r="L5" s="3" t="s">
        <v>26</v>
      </c>
      <c r="M5" s="3" t="s">
        <v>1076</v>
      </c>
      <c r="N5" s="3" t="s">
        <v>177</v>
      </c>
      <c r="O5" s="3" t="s">
        <v>408</v>
      </c>
      <c r="P5" s="3" t="s">
        <v>168</v>
      </c>
    </row>
    <row r="6" spans="1:20">
      <c r="A6" s="1157">
        <v>1</v>
      </c>
      <c r="B6" s="1158">
        <v>13</v>
      </c>
      <c r="C6" s="1157" t="s">
        <v>1240</v>
      </c>
      <c r="D6" s="1159" t="s">
        <v>5770</v>
      </c>
      <c r="E6" s="1159" t="s">
        <v>5932</v>
      </c>
      <c r="F6" s="1160" t="s">
        <v>5885</v>
      </c>
      <c r="G6" s="1161">
        <v>43960</v>
      </c>
      <c r="H6" s="1162">
        <v>43960</v>
      </c>
      <c r="I6" s="1163" t="s">
        <v>5837</v>
      </c>
      <c r="J6" s="1162">
        <v>43961</v>
      </c>
      <c r="K6" s="1160" t="s">
        <v>4431</v>
      </c>
      <c r="L6" s="1158"/>
      <c r="M6" s="1158">
        <v>1</v>
      </c>
      <c r="N6" s="1164">
        <v>1</v>
      </c>
      <c r="O6" s="1164">
        <f>RANK(J6,$J$4:$J$1500,1)+COUNTIF($J$4:J6,J6)-1</f>
        <v>1</v>
      </c>
      <c r="P6" s="1164">
        <v>1</v>
      </c>
      <c r="Q6" s="534"/>
      <c r="R6" s="535"/>
      <c r="S6" s="535"/>
      <c r="T6" s="536"/>
    </row>
    <row r="7" spans="1:20">
      <c r="A7" s="1165">
        <v>2</v>
      </c>
      <c r="B7" s="1166">
        <v>17</v>
      </c>
      <c r="C7" s="1165" t="s">
        <v>1864</v>
      </c>
      <c r="D7" s="1167" t="s">
        <v>5952</v>
      </c>
      <c r="E7" s="1167" t="s">
        <v>5932</v>
      </c>
      <c r="F7" s="1168" t="s">
        <v>5885</v>
      </c>
      <c r="G7" s="1169">
        <v>43968</v>
      </c>
      <c r="H7" s="1170">
        <v>43968</v>
      </c>
      <c r="I7" s="1171" t="s">
        <v>5837</v>
      </c>
      <c r="J7" s="1170">
        <v>43969</v>
      </c>
      <c r="K7" s="1168" t="s">
        <v>5935</v>
      </c>
      <c r="L7" s="1166" t="s">
        <v>402</v>
      </c>
      <c r="M7" s="1166">
        <v>1</v>
      </c>
      <c r="N7" s="1172">
        <v>1</v>
      </c>
      <c r="O7" s="1172">
        <f>RANK(J7,$J$4:$J$1500,1)+COUNTIF($J$4:J7,J7)-1</f>
        <v>4</v>
      </c>
      <c r="P7" s="1172">
        <v>2</v>
      </c>
      <c r="Q7" s="534"/>
      <c r="R7" s="539"/>
      <c r="S7" s="539"/>
      <c r="T7" s="536"/>
    </row>
    <row r="8" spans="1:20">
      <c r="A8" s="1165">
        <v>3</v>
      </c>
      <c r="B8" s="1166">
        <v>20</v>
      </c>
      <c r="C8" s="1165" t="s">
        <v>1728</v>
      </c>
      <c r="D8" s="1167" t="s">
        <v>5772</v>
      </c>
      <c r="E8" s="1167" t="s">
        <v>5932</v>
      </c>
      <c r="F8" s="1168" t="s">
        <v>5885</v>
      </c>
      <c r="G8" s="1169">
        <v>43969</v>
      </c>
      <c r="H8" s="1170">
        <v>43969</v>
      </c>
      <c r="I8" s="1171" t="s">
        <v>5837</v>
      </c>
      <c r="J8" s="1170">
        <v>43970</v>
      </c>
      <c r="K8" s="1168" t="s">
        <v>3849</v>
      </c>
      <c r="L8" s="1166"/>
      <c r="M8" s="1166">
        <v>1</v>
      </c>
      <c r="N8" s="1172">
        <v>1</v>
      </c>
      <c r="O8" s="1172">
        <f>RANK(J8,$J$4:$J$1500,1)+COUNTIF($J$4:J8,J8)-1</f>
        <v>5</v>
      </c>
      <c r="P8" s="1172">
        <v>3</v>
      </c>
      <c r="Q8" s="534"/>
      <c r="R8" s="539"/>
      <c r="S8" s="539"/>
      <c r="T8" s="536"/>
    </row>
    <row r="9" spans="1:20">
      <c r="A9" s="1165">
        <v>4</v>
      </c>
      <c r="B9" s="1166">
        <v>23</v>
      </c>
      <c r="C9" s="1165" t="s">
        <v>1765</v>
      </c>
      <c r="D9" s="1167" t="s">
        <v>5775</v>
      </c>
      <c r="E9" s="1167" t="s">
        <v>5932</v>
      </c>
      <c r="F9" s="1168" t="s">
        <v>5885</v>
      </c>
      <c r="G9" s="1169">
        <v>43970</v>
      </c>
      <c r="H9" s="1170">
        <v>43970</v>
      </c>
      <c r="I9" s="1171" t="s">
        <v>5837</v>
      </c>
      <c r="J9" s="1170">
        <v>43971</v>
      </c>
      <c r="K9" s="1168" t="s">
        <v>3849</v>
      </c>
      <c r="L9" s="1166"/>
      <c r="M9" s="1166">
        <v>1</v>
      </c>
      <c r="N9" s="1172">
        <v>1</v>
      </c>
      <c r="O9" s="1172">
        <f>RANK(J9,$J$4:$J$1500,1)+COUNTIF($J$4:J9,J9)-1</f>
        <v>6</v>
      </c>
      <c r="P9" s="1172">
        <v>4</v>
      </c>
      <c r="Q9" s="534"/>
      <c r="R9" s="539"/>
      <c r="S9" s="539"/>
      <c r="T9" s="536"/>
    </row>
    <row r="10" spans="1:20" ht="37.5" customHeight="1">
      <c r="A10" s="1165">
        <v>5</v>
      </c>
      <c r="B10" s="1166">
        <v>31</v>
      </c>
      <c r="C10" s="1165" t="s">
        <v>1714</v>
      </c>
      <c r="D10" s="1167" t="s">
        <v>5953</v>
      </c>
      <c r="E10" s="1167" t="s">
        <v>5932</v>
      </c>
      <c r="F10" s="1168" t="s">
        <v>5885</v>
      </c>
      <c r="G10" s="1169">
        <v>43978</v>
      </c>
      <c r="H10" s="1170">
        <v>43978</v>
      </c>
      <c r="I10" s="1171" t="s">
        <v>5837</v>
      </c>
      <c r="J10" s="1170">
        <v>43979</v>
      </c>
      <c r="K10" s="1168" t="s">
        <v>3849</v>
      </c>
      <c r="L10" s="1166" t="s">
        <v>401</v>
      </c>
      <c r="M10" s="1166">
        <v>1</v>
      </c>
      <c r="N10" s="1172">
        <v>1</v>
      </c>
      <c r="O10" s="1172">
        <f>RANK(J10,$J$4:$J$1500,1)+COUNTIF($J$4:J10,J10)-1</f>
        <v>13</v>
      </c>
      <c r="P10" s="1172">
        <v>5</v>
      </c>
      <c r="Q10" s="534"/>
      <c r="R10" s="539"/>
      <c r="S10" s="539"/>
      <c r="T10" s="536"/>
    </row>
    <row r="11" spans="1:20" ht="37.5" customHeight="1">
      <c r="A11" s="1165">
        <v>6</v>
      </c>
      <c r="B11" s="1166">
        <v>40</v>
      </c>
      <c r="C11" s="1165" t="s">
        <v>1338</v>
      </c>
      <c r="D11" s="1167" t="s">
        <v>5943</v>
      </c>
      <c r="E11" s="1167" t="s">
        <v>5932</v>
      </c>
      <c r="F11" s="1168" t="s">
        <v>5885</v>
      </c>
      <c r="G11" s="1169">
        <v>43983</v>
      </c>
      <c r="H11" s="1170">
        <v>43983</v>
      </c>
      <c r="I11" s="1171" t="s">
        <v>5837</v>
      </c>
      <c r="J11" s="1170">
        <v>43984</v>
      </c>
      <c r="K11" s="1168" t="s">
        <v>4431</v>
      </c>
      <c r="L11" s="1166" t="s">
        <v>382</v>
      </c>
      <c r="M11" s="1166">
        <v>1</v>
      </c>
      <c r="N11" s="1172">
        <v>1</v>
      </c>
      <c r="O11" s="1172">
        <f>RANK(J11,$J$4:$J$1500,1)+COUNTIF($J$4:J11,J11)-1</f>
        <v>16</v>
      </c>
      <c r="P11" s="1172">
        <v>6</v>
      </c>
      <c r="Q11" s="534"/>
      <c r="R11" s="539"/>
      <c r="S11" s="539"/>
      <c r="T11" s="536"/>
    </row>
    <row r="12" spans="1:20" ht="37.5" customHeight="1">
      <c r="A12" s="1165">
        <v>7</v>
      </c>
      <c r="B12" s="1166">
        <v>43</v>
      </c>
      <c r="C12" s="1165" t="s">
        <v>1240</v>
      </c>
      <c r="D12" s="1167" t="s">
        <v>5770</v>
      </c>
      <c r="E12" s="1167" t="s">
        <v>5944</v>
      </c>
      <c r="F12" s="1168" t="s">
        <v>5885</v>
      </c>
      <c r="G12" s="1169">
        <v>43962</v>
      </c>
      <c r="H12" s="1170">
        <v>43962</v>
      </c>
      <c r="I12" s="1171" t="s">
        <v>5837</v>
      </c>
      <c r="J12" s="1170">
        <v>43963</v>
      </c>
      <c r="K12" s="1168" t="s">
        <v>4431</v>
      </c>
      <c r="L12" s="1166"/>
      <c r="M12" s="1166">
        <v>1</v>
      </c>
      <c r="N12" s="1172">
        <v>1</v>
      </c>
      <c r="O12" s="1172">
        <f>RANK(J12,$J$4:$J$1500,1)+COUNTIF($J$4:J12,J12)-1</f>
        <v>2</v>
      </c>
      <c r="P12" s="1172">
        <v>7</v>
      </c>
      <c r="Q12" s="534"/>
      <c r="R12" s="539"/>
      <c r="S12" s="539"/>
      <c r="T12" s="536"/>
    </row>
    <row r="13" spans="1:20" ht="37.5" customHeight="1">
      <c r="A13" s="1165">
        <v>8</v>
      </c>
      <c r="B13" s="1166">
        <v>47</v>
      </c>
      <c r="C13" s="1165" t="s">
        <v>1864</v>
      </c>
      <c r="D13" s="1167" t="s">
        <v>5952</v>
      </c>
      <c r="E13" s="1167" t="s">
        <v>5944</v>
      </c>
      <c r="F13" s="1168" t="s">
        <v>6217</v>
      </c>
      <c r="G13" s="1169">
        <v>43970</v>
      </c>
      <c r="H13" s="1170">
        <v>43970</v>
      </c>
      <c r="I13" s="1171" t="s">
        <v>6274</v>
      </c>
      <c r="J13" s="1170">
        <v>43971</v>
      </c>
      <c r="K13" s="1168" t="s">
        <v>5935</v>
      </c>
      <c r="L13" s="1166" t="s">
        <v>402</v>
      </c>
      <c r="M13" s="1166">
        <v>2</v>
      </c>
      <c r="N13" s="1172">
        <v>4</v>
      </c>
      <c r="O13" s="1172">
        <f>RANK(J13,$J$4:$J$1500,1)+COUNTIF($J$4:J13,J13)-1</f>
        <v>7</v>
      </c>
      <c r="P13" s="1172">
        <v>8</v>
      </c>
      <c r="Q13" s="534"/>
      <c r="R13" s="539"/>
      <c r="S13" s="539"/>
      <c r="T13" s="536"/>
    </row>
    <row r="14" spans="1:20" ht="37.5" customHeight="1">
      <c r="A14" s="1165">
        <v>9</v>
      </c>
      <c r="B14" s="1166">
        <v>50</v>
      </c>
      <c r="C14" s="1165" t="s">
        <v>1728</v>
      </c>
      <c r="D14" s="1167" t="s">
        <v>5772</v>
      </c>
      <c r="E14" s="1167" t="s">
        <v>5944</v>
      </c>
      <c r="F14" s="1168" t="s">
        <v>5885</v>
      </c>
      <c r="G14" s="1169">
        <v>43971</v>
      </c>
      <c r="H14" s="1170">
        <v>43971</v>
      </c>
      <c r="I14" s="1171" t="s">
        <v>5837</v>
      </c>
      <c r="J14" s="1170">
        <v>43972</v>
      </c>
      <c r="K14" s="1168" t="s">
        <v>3849</v>
      </c>
      <c r="L14" s="1166"/>
      <c r="M14" s="1166">
        <v>1</v>
      </c>
      <c r="N14" s="1172">
        <v>1</v>
      </c>
      <c r="O14" s="1172">
        <f>RANK(J14,$J$4:$J$1500,1)+COUNTIF($J$4:J14,J14)-1</f>
        <v>8</v>
      </c>
      <c r="P14" s="1172">
        <v>9</v>
      </c>
      <c r="Q14" s="534"/>
      <c r="R14" s="539"/>
      <c r="S14" s="539"/>
      <c r="T14" s="536"/>
    </row>
    <row r="15" spans="1:20" ht="37.5" customHeight="1">
      <c r="A15" s="1165">
        <v>10</v>
      </c>
      <c r="B15" s="1166">
        <v>53</v>
      </c>
      <c r="C15" s="1165" t="s">
        <v>1765</v>
      </c>
      <c r="D15" s="1167" t="s">
        <v>5775</v>
      </c>
      <c r="E15" s="1167" t="s">
        <v>5944</v>
      </c>
      <c r="F15" s="1168" t="s">
        <v>5885</v>
      </c>
      <c r="G15" s="1169">
        <v>43972</v>
      </c>
      <c r="H15" s="1170">
        <v>43972</v>
      </c>
      <c r="I15" s="1171" t="s">
        <v>5837</v>
      </c>
      <c r="J15" s="1170">
        <v>43973</v>
      </c>
      <c r="K15" s="1168" t="s">
        <v>3849</v>
      </c>
      <c r="L15" s="1166"/>
      <c r="M15" s="1166">
        <v>1</v>
      </c>
      <c r="N15" s="1172">
        <v>1</v>
      </c>
      <c r="O15" s="1172">
        <f>RANK(J15,$J$4:$J$1500,1)+COUNTIF($J$4:J15,J15)-1</f>
        <v>9</v>
      </c>
      <c r="P15" s="1172">
        <v>10</v>
      </c>
      <c r="Q15" s="534"/>
      <c r="R15" s="539"/>
      <c r="S15" s="539"/>
      <c r="T15" s="536"/>
    </row>
    <row r="16" spans="1:20" ht="37.5" customHeight="1">
      <c r="A16" s="1165">
        <v>11</v>
      </c>
      <c r="B16" s="1166">
        <v>61</v>
      </c>
      <c r="C16" s="1165" t="s">
        <v>1714</v>
      </c>
      <c r="D16" s="1167" t="s">
        <v>5953</v>
      </c>
      <c r="E16" s="1167" t="s">
        <v>5944</v>
      </c>
      <c r="F16" s="1168" t="s">
        <v>5885</v>
      </c>
      <c r="G16" s="1169">
        <v>43980</v>
      </c>
      <c r="H16" s="1170">
        <v>43980</v>
      </c>
      <c r="I16" s="1171" t="s">
        <v>5837</v>
      </c>
      <c r="J16" s="1170">
        <v>43981</v>
      </c>
      <c r="K16" s="1168" t="s">
        <v>3849</v>
      </c>
      <c r="L16" s="1166" t="s">
        <v>401</v>
      </c>
      <c r="M16" s="1166">
        <v>1</v>
      </c>
      <c r="N16" s="1172">
        <v>1</v>
      </c>
      <c r="O16" s="1172">
        <f>RANK(J16,$J$4:$J$1500,1)+COUNTIF($J$4:J16,J16)-1</f>
        <v>14</v>
      </c>
      <c r="P16" s="1172">
        <v>11</v>
      </c>
      <c r="Q16" s="534"/>
      <c r="R16" s="539"/>
      <c r="S16" s="539"/>
      <c r="T16" s="536"/>
    </row>
    <row r="17" spans="1:20" ht="37.5" customHeight="1">
      <c r="A17" s="1165">
        <v>12</v>
      </c>
      <c r="B17" s="1166">
        <v>70</v>
      </c>
      <c r="C17" s="1165" t="s">
        <v>1338</v>
      </c>
      <c r="D17" s="1167" t="s">
        <v>5943</v>
      </c>
      <c r="E17" s="1167" t="s">
        <v>5944</v>
      </c>
      <c r="F17" s="1168" t="s">
        <v>5885</v>
      </c>
      <c r="G17" s="1169">
        <v>43985</v>
      </c>
      <c r="H17" s="1170">
        <v>43985</v>
      </c>
      <c r="I17" s="1171" t="s">
        <v>5837</v>
      </c>
      <c r="J17" s="1170">
        <v>43986</v>
      </c>
      <c r="K17" s="1168" t="s">
        <v>4431</v>
      </c>
      <c r="L17" s="1166" t="s">
        <v>382</v>
      </c>
      <c r="M17" s="1166">
        <v>1</v>
      </c>
      <c r="N17" s="1172">
        <v>1</v>
      </c>
      <c r="O17" s="1172">
        <f>RANK(J17,$J$4:$J$1500,1)+COUNTIF($J$4:J17,J17)-1</f>
        <v>17</v>
      </c>
      <c r="P17" s="1172">
        <v>12</v>
      </c>
      <c r="Q17" s="534"/>
      <c r="R17" s="539"/>
      <c r="S17" s="539"/>
      <c r="T17" s="536"/>
    </row>
    <row r="18" spans="1:20" ht="51.75" customHeight="1">
      <c r="A18" s="1165">
        <v>13</v>
      </c>
      <c r="B18" s="1166">
        <v>73</v>
      </c>
      <c r="C18" s="1165" t="s">
        <v>1240</v>
      </c>
      <c r="D18" s="1167" t="s">
        <v>5770</v>
      </c>
      <c r="E18" s="1167" t="s">
        <v>5949</v>
      </c>
      <c r="F18" s="1168" t="s">
        <v>5885</v>
      </c>
      <c r="G18" s="1169">
        <v>43964</v>
      </c>
      <c r="H18" s="1170">
        <v>43964</v>
      </c>
      <c r="I18" s="1171" t="s">
        <v>5837</v>
      </c>
      <c r="J18" s="1170">
        <v>43965</v>
      </c>
      <c r="K18" s="1168" t="s">
        <v>4431</v>
      </c>
      <c r="L18" s="1166"/>
      <c r="M18" s="1166">
        <v>1</v>
      </c>
      <c r="N18" s="1172">
        <v>1</v>
      </c>
      <c r="O18" s="1172">
        <f>RANK(J18,$J$4:$J$1500,1)+COUNTIF($J$4:J18,J18)-1</f>
        <v>3</v>
      </c>
      <c r="P18" s="1172">
        <v>13</v>
      </c>
      <c r="Q18" s="534"/>
      <c r="R18" s="539"/>
      <c r="S18" s="539"/>
      <c r="T18" s="536"/>
    </row>
    <row r="19" spans="1:20" ht="37.5" customHeight="1">
      <c r="A19" s="1165">
        <v>14</v>
      </c>
      <c r="B19" s="1166">
        <v>77</v>
      </c>
      <c r="C19" s="1165" t="s">
        <v>1864</v>
      </c>
      <c r="D19" s="1167" t="s">
        <v>5952</v>
      </c>
      <c r="E19" s="1167" t="s">
        <v>5949</v>
      </c>
      <c r="F19" s="1168" t="s">
        <v>6217</v>
      </c>
      <c r="G19" s="1169">
        <v>43972</v>
      </c>
      <c r="H19" s="1170">
        <v>43972</v>
      </c>
      <c r="I19" s="1171" t="s">
        <v>6274</v>
      </c>
      <c r="J19" s="1170">
        <v>43973</v>
      </c>
      <c r="K19" s="1168" t="s">
        <v>5935</v>
      </c>
      <c r="L19" s="1166" t="s">
        <v>402</v>
      </c>
      <c r="M19" s="1166">
        <v>2</v>
      </c>
      <c r="N19" s="1172">
        <v>4</v>
      </c>
      <c r="O19" s="1172">
        <f>RANK(J19,$J$4:$J$1500,1)+COUNTIF($J$4:J19,J19)-1</f>
        <v>10</v>
      </c>
      <c r="P19" s="1172">
        <v>14</v>
      </c>
      <c r="Q19" s="534"/>
      <c r="R19" s="539"/>
      <c r="S19" s="539"/>
      <c r="T19" s="536"/>
    </row>
    <row r="20" spans="1:20" ht="37.5" customHeight="1">
      <c r="A20" s="1165">
        <v>15</v>
      </c>
      <c r="B20" s="1166">
        <v>80</v>
      </c>
      <c r="C20" s="1165" t="s">
        <v>1728</v>
      </c>
      <c r="D20" s="1167" t="s">
        <v>5772</v>
      </c>
      <c r="E20" s="1167" t="s">
        <v>5949</v>
      </c>
      <c r="F20" s="1168" t="s">
        <v>5885</v>
      </c>
      <c r="G20" s="1169">
        <v>43973</v>
      </c>
      <c r="H20" s="1170">
        <v>43973</v>
      </c>
      <c r="I20" s="1171" t="s">
        <v>5837</v>
      </c>
      <c r="J20" s="1170">
        <v>43974</v>
      </c>
      <c r="K20" s="1168" t="s">
        <v>3849</v>
      </c>
      <c r="L20" s="1166"/>
      <c r="M20" s="1166">
        <v>1</v>
      </c>
      <c r="N20" s="1172">
        <v>1</v>
      </c>
      <c r="O20" s="1172">
        <f>RANK(J20,$J$4:$J$1500,1)+COUNTIF($J$4:J20,J20)-1</f>
        <v>11</v>
      </c>
      <c r="P20" s="1172">
        <v>15</v>
      </c>
      <c r="Q20" s="534"/>
      <c r="R20" s="539"/>
      <c r="S20" s="539"/>
      <c r="T20" s="536"/>
    </row>
    <row r="21" spans="1:20" ht="37.5" customHeight="1">
      <c r="A21" s="1165">
        <v>16</v>
      </c>
      <c r="B21" s="1166">
        <v>83</v>
      </c>
      <c r="C21" s="1165" t="s">
        <v>1765</v>
      </c>
      <c r="D21" s="1167" t="s">
        <v>5775</v>
      </c>
      <c r="E21" s="1167" t="s">
        <v>5949</v>
      </c>
      <c r="F21" s="1168" t="s">
        <v>5885</v>
      </c>
      <c r="G21" s="1169">
        <v>43974</v>
      </c>
      <c r="H21" s="1170">
        <v>43974</v>
      </c>
      <c r="I21" s="1171" t="s">
        <v>5837</v>
      </c>
      <c r="J21" s="1170">
        <v>43975</v>
      </c>
      <c r="K21" s="1168" t="s">
        <v>3849</v>
      </c>
      <c r="L21" s="1166"/>
      <c r="M21" s="1166">
        <v>1</v>
      </c>
      <c r="N21" s="1172">
        <v>1</v>
      </c>
      <c r="O21" s="1172">
        <f>RANK(J21,$J$4:$J$1500,1)+COUNTIF($J$4:J21,J21)-1</f>
        <v>12</v>
      </c>
      <c r="P21" s="1172">
        <v>16</v>
      </c>
      <c r="Q21" s="534"/>
      <c r="R21" s="539"/>
      <c r="S21" s="539"/>
      <c r="T21" s="536"/>
    </row>
    <row r="22" spans="1:20" ht="37.5" customHeight="1">
      <c r="A22" s="1165">
        <v>17</v>
      </c>
      <c r="B22" s="1166">
        <v>91</v>
      </c>
      <c r="C22" s="1165" t="s">
        <v>1714</v>
      </c>
      <c r="D22" s="1167" t="s">
        <v>5953</v>
      </c>
      <c r="E22" s="1167" t="s">
        <v>5949</v>
      </c>
      <c r="F22" s="1168" t="s">
        <v>5885</v>
      </c>
      <c r="G22" s="1169">
        <v>43982</v>
      </c>
      <c r="H22" s="1170">
        <v>43982</v>
      </c>
      <c r="I22" s="1171" t="s">
        <v>5837</v>
      </c>
      <c r="J22" s="1170">
        <v>43983</v>
      </c>
      <c r="K22" s="1168" t="s">
        <v>3849</v>
      </c>
      <c r="L22" s="1166" t="s">
        <v>401</v>
      </c>
      <c r="M22" s="1166">
        <v>1</v>
      </c>
      <c r="N22" s="1172">
        <v>1</v>
      </c>
      <c r="O22" s="1172">
        <f>RANK(J22,$J$4:$J$1500,1)+COUNTIF($J$4:J22,J22)-1</f>
        <v>15</v>
      </c>
      <c r="P22" s="1172">
        <v>17</v>
      </c>
      <c r="Q22" s="534"/>
      <c r="R22" s="539"/>
      <c r="S22" s="539"/>
      <c r="T22" s="536"/>
    </row>
    <row r="23" spans="1:20" ht="37.5" customHeight="1">
      <c r="A23" s="1173">
        <v>18</v>
      </c>
      <c r="B23" s="1174">
        <v>100</v>
      </c>
      <c r="C23" s="1173" t="s">
        <v>1338</v>
      </c>
      <c r="D23" s="1175" t="s">
        <v>5943</v>
      </c>
      <c r="E23" s="1175" t="s">
        <v>5949</v>
      </c>
      <c r="F23" s="1176" t="s">
        <v>5885</v>
      </c>
      <c r="G23" s="1177">
        <v>43987</v>
      </c>
      <c r="H23" s="1178">
        <v>43987</v>
      </c>
      <c r="I23" s="1179" t="s">
        <v>5837</v>
      </c>
      <c r="J23" s="1178">
        <v>43988</v>
      </c>
      <c r="K23" s="1176" t="s">
        <v>4431</v>
      </c>
      <c r="L23" s="1174" t="s">
        <v>382</v>
      </c>
      <c r="M23" s="1174">
        <v>1</v>
      </c>
      <c r="N23" s="1180">
        <v>1</v>
      </c>
      <c r="O23" s="1180">
        <f>RANK(J23,$J$4:$J$1500,1)+COUNTIF($J$4:J23,J23)-1</f>
        <v>18</v>
      </c>
      <c r="P23" s="1180">
        <v>18</v>
      </c>
      <c r="Q23" s="534"/>
      <c r="R23" s="539"/>
      <c r="S23" s="539"/>
      <c r="T23" s="536"/>
    </row>
    <row r="24" spans="1:20" ht="37.5" customHeight="1">
      <c r="A24" s="1081"/>
      <c r="B24" s="1082"/>
      <c r="C24" s="1081"/>
      <c r="D24" s="1083"/>
      <c r="E24" s="1083"/>
      <c r="F24" s="1084"/>
      <c r="G24" s="1085"/>
      <c r="H24" s="1086"/>
      <c r="I24" s="1087"/>
      <c r="J24" s="1086"/>
      <c r="K24" s="1084"/>
      <c r="L24" s="1082"/>
      <c r="M24" s="1082"/>
      <c r="N24" s="1088"/>
      <c r="O24" s="1088"/>
      <c r="P24" s="1088"/>
      <c r="Q24" s="534"/>
      <c r="R24" s="539"/>
      <c r="S24" s="539"/>
      <c r="T24" s="536"/>
    </row>
    <row r="25" spans="1:20" ht="37.5" customHeight="1">
      <c r="A25" s="1081"/>
      <c r="B25" s="1082"/>
      <c r="C25" s="1081"/>
      <c r="D25" s="1083"/>
      <c r="E25" s="1083"/>
      <c r="F25" s="1084"/>
      <c r="G25" s="1085"/>
      <c r="H25" s="1086"/>
      <c r="I25" s="1087"/>
      <c r="J25" s="1086"/>
      <c r="K25" s="1084"/>
      <c r="L25" s="1082"/>
      <c r="M25" s="1082"/>
      <c r="N25" s="1088"/>
      <c r="O25" s="1088"/>
      <c r="P25" s="1088"/>
      <c r="Q25" s="534"/>
      <c r="R25" s="539"/>
      <c r="S25" s="539"/>
      <c r="T25" s="536"/>
    </row>
    <row r="26" spans="1:20" ht="51.75" customHeight="1">
      <c r="A26" s="1081"/>
      <c r="B26" s="1082"/>
      <c r="C26" s="1081"/>
      <c r="D26" s="1083"/>
      <c r="E26" s="1083"/>
      <c r="F26" s="1084"/>
      <c r="G26" s="1085"/>
      <c r="H26" s="1086"/>
      <c r="I26" s="1087"/>
      <c r="J26" s="1086"/>
      <c r="K26" s="1084"/>
      <c r="L26" s="1082"/>
      <c r="M26" s="1082"/>
      <c r="N26" s="1088"/>
      <c r="O26" s="1088"/>
      <c r="P26" s="1088"/>
      <c r="Q26" s="534"/>
      <c r="R26" s="540"/>
      <c r="S26" s="540"/>
      <c r="T26" s="536"/>
    </row>
    <row r="27" spans="1:20" ht="51.75" customHeight="1">
      <c r="A27" s="1081"/>
      <c r="B27" s="1082"/>
      <c r="C27" s="1081"/>
      <c r="D27" s="1083"/>
      <c r="E27" s="1244"/>
      <c r="F27" s="1084"/>
      <c r="G27" s="1085"/>
      <c r="H27" s="1086"/>
      <c r="I27" s="1087"/>
      <c r="J27" s="1086"/>
      <c r="K27" s="1084"/>
      <c r="L27" s="1082"/>
      <c r="M27" s="1082"/>
      <c r="N27" s="1088"/>
      <c r="O27" s="1088"/>
      <c r="P27" s="1088"/>
      <c r="Q27" s="536"/>
    </row>
    <row r="28" spans="1:20" ht="51.75" customHeight="1">
      <c r="A28" s="1081"/>
      <c r="B28" s="1082"/>
      <c r="C28" s="1081"/>
      <c r="D28" s="1083"/>
      <c r="E28" s="1244"/>
      <c r="F28" s="1084"/>
      <c r="G28" s="1085"/>
      <c r="H28" s="1086"/>
      <c r="I28" s="1087"/>
      <c r="J28" s="1086"/>
      <c r="K28" s="1084"/>
      <c r="L28" s="1082"/>
      <c r="M28" s="1082"/>
      <c r="N28" s="1088"/>
      <c r="O28" s="1088"/>
      <c r="P28" s="1088"/>
      <c r="Q28" s="536"/>
    </row>
    <row r="29" spans="1:20" ht="51.75" customHeight="1">
      <c r="A29" s="1081"/>
      <c r="B29" s="1082"/>
      <c r="C29" s="1081"/>
      <c r="D29" s="1083"/>
      <c r="E29" s="1244"/>
      <c r="F29" s="1084"/>
      <c r="G29" s="1085"/>
      <c r="H29" s="1086"/>
      <c r="I29" s="1087"/>
      <c r="J29" s="1086"/>
      <c r="K29" s="1084"/>
      <c r="L29" s="1082"/>
      <c r="M29" s="1082"/>
      <c r="N29" s="1088"/>
      <c r="O29" s="1088"/>
      <c r="P29" s="1088"/>
      <c r="Q29" s="536"/>
    </row>
    <row r="30" spans="1:20" ht="51.75" customHeight="1">
      <c r="A30" s="1081"/>
      <c r="B30" s="1082"/>
      <c r="C30" s="1081"/>
      <c r="D30" s="1083"/>
      <c r="E30" s="1083"/>
      <c r="F30" s="1084"/>
      <c r="G30" s="1085"/>
      <c r="H30" s="1086"/>
      <c r="I30" s="1087"/>
      <c r="J30" s="1086"/>
      <c r="K30" s="1084"/>
      <c r="L30" s="1082"/>
      <c r="M30" s="1082"/>
      <c r="N30" s="1088"/>
      <c r="O30" s="1088"/>
      <c r="P30" s="1088"/>
      <c r="Q30" s="536"/>
    </row>
    <row r="31" spans="1:20" ht="51.75" customHeight="1">
      <c r="A31" s="1081"/>
      <c r="B31" s="1082"/>
      <c r="C31" s="1081"/>
      <c r="D31" s="1083"/>
      <c r="E31" s="1083"/>
      <c r="F31" s="1084"/>
      <c r="G31" s="1085"/>
      <c r="H31" s="1086"/>
      <c r="I31" s="1087"/>
      <c r="J31" s="1086"/>
      <c r="K31" s="1084"/>
      <c r="L31" s="1082"/>
      <c r="M31" s="1082"/>
      <c r="N31" s="1088"/>
      <c r="O31" s="1088"/>
      <c r="P31" s="1088"/>
      <c r="Q31" s="536"/>
    </row>
    <row r="32" spans="1:20" ht="37.5" customHeight="1">
      <c r="A32" s="1081"/>
      <c r="B32" s="1082"/>
      <c r="C32" s="1081"/>
      <c r="D32" s="1083"/>
      <c r="E32" s="1083"/>
      <c r="F32" s="1084"/>
      <c r="G32" s="1085"/>
      <c r="H32" s="1086"/>
      <c r="I32" s="1087"/>
      <c r="J32" s="1086"/>
      <c r="K32" s="1084"/>
      <c r="L32" s="1082"/>
      <c r="M32" s="1082"/>
      <c r="N32" s="1088"/>
      <c r="O32" s="1088"/>
      <c r="P32" s="1088"/>
      <c r="Q32" s="536"/>
    </row>
    <row r="33" spans="1:17" ht="37.5" customHeight="1">
      <c r="A33" s="1081"/>
      <c r="B33" s="1082"/>
      <c r="C33" s="1081"/>
      <c r="D33" s="1083"/>
      <c r="E33" s="1083"/>
      <c r="F33" s="1084"/>
      <c r="G33" s="1085"/>
      <c r="H33" s="1086"/>
      <c r="I33" s="1087"/>
      <c r="J33" s="1086"/>
      <c r="K33" s="1084"/>
      <c r="L33" s="1082"/>
      <c r="M33" s="1082"/>
      <c r="N33" s="1088"/>
      <c r="O33" s="1088"/>
      <c r="P33" s="1088"/>
      <c r="Q33" s="536"/>
    </row>
    <row r="34" spans="1:17" ht="37.5" customHeight="1">
      <c r="A34" s="1081"/>
      <c r="B34" s="1082"/>
      <c r="C34" s="1081"/>
      <c r="D34" s="1083"/>
      <c r="E34" s="1083"/>
      <c r="F34" s="1084"/>
      <c r="G34" s="1085"/>
      <c r="H34" s="1086"/>
      <c r="I34" s="1087"/>
      <c r="J34" s="1086"/>
      <c r="K34" s="1084"/>
      <c r="L34" s="1082"/>
      <c r="M34" s="1082"/>
      <c r="N34" s="1088"/>
      <c r="O34" s="1088"/>
      <c r="P34" s="1088"/>
      <c r="Q34" s="536"/>
    </row>
    <row r="35" spans="1:17" ht="37.5" customHeight="1">
      <c r="A35" s="1081"/>
      <c r="B35" s="1082"/>
      <c r="C35" s="1081"/>
      <c r="D35" s="1083"/>
      <c r="E35" s="1083"/>
      <c r="F35" s="1084"/>
      <c r="G35" s="1085"/>
      <c r="H35" s="1086"/>
      <c r="I35" s="1087"/>
      <c r="J35" s="1086"/>
      <c r="K35" s="1084"/>
      <c r="L35" s="1082"/>
      <c r="M35" s="1082"/>
      <c r="N35" s="1088"/>
      <c r="O35" s="1088"/>
      <c r="P35" s="1088"/>
      <c r="Q35" s="536"/>
    </row>
    <row r="36" spans="1:17" ht="51.75" customHeight="1">
      <c r="A36" s="1081"/>
      <c r="B36" s="1082"/>
      <c r="C36" s="1081"/>
      <c r="D36" s="1083"/>
      <c r="E36" s="1083"/>
      <c r="F36" s="1084"/>
      <c r="G36" s="1085"/>
      <c r="H36" s="1086"/>
      <c r="I36" s="1087"/>
      <c r="J36" s="1086"/>
      <c r="K36" s="1084"/>
      <c r="L36" s="1082"/>
      <c r="M36" s="1082"/>
      <c r="N36" s="1088"/>
      <c r="O36" s="1088"/>
      <c r="P36" s="1088"/>
      <c r="Q36" s="536"/>
    </row>
    <row r="37" spans="1:17" ht="37.5" customHeight="1">
      <c r="A37" s="1081"/>
      <c r="B37" s="1082"/>
      <c r="C37" s="1081"/>
      <c r="D37" s="1083"/>
      <c r="E37" s="1083"/>
      <c r="F37" s="1084"/>
      <c r="G37" s="1085"/>
      <c r="H37" s="1086"/>
      <c r="I37" s="1087"/>
      <c r="J37" s="1086"/>
      <c r="K37" s="1084"/>
      <c r="L37" s="1082"/>
      <c r="M37" s="1082"/>
      <c r="N37" s="1088"/>
      <c r="O37" s="1088"/>
      <c r="P37" s="1088"/>
      <c r="Q37" s="536"/>
    </row>
    <row r="38" spans="1:17" ht="37.5" customHeight="1">
      <c r="A38" s="1081"/>
      <c r="B38" s="1082"/>
      <c r="C38" s="1081"/>
      <c r="D38" s="1083"/>
      <c r="E38" s="1083"/>
      <c r="F38" s="1084"/>
      <c r="G38" s="1085"/>
      <c r="H38" s="1086"/>
      <c r="I38" s="1087"/>
      <c r="J38" s="1086"/>
      <c r="K38" s="1084"/>
      <c r="L38" s="1082"/>
      <c r="M38" s="1082"/>
      <c r="N38" s="1088"/>
      <c r="O38" s="1088"/>
      <c r="P38" s="1088"/>
      <c r="Q38" s="536"/>
    </row>
    <row r="39" spans="1:17" ht="37.5" customHeight="1">
      <c r="A39" s="1081"/>
      <c r="B39" s="1082"/>
      <c r="C39" s="1081"/>
      <c r="D39" s="1083"/>
      <c r="E39" s="1083"/>
      <c r="F39" s="1084"/>
      <c r="G39" s="1085"/>
      <c r="H39" s="1086"/>
      <c r="I39" s="1087"/>
      <c r="J39" s="1086"/>
      <c r="K39" s="1084"/>
      <c r="L39" s="1082"/>
      <c r="M39" s="1082"/>
      <c r="N39" s="1088"/>
      <c r="O39" s="1088"/>
      <c r="P39" s="1088"/>
      <c r="Q39" s="536"/>
    </row>
    <row r="40" spans="1:17" ht="51.75" customHeight="1">
      <c r="A40" s="1081"/>
      <c r="B40" s="1082"/>
      <c r="C40" s="1081"/>
      <c r="D40" s="1083"/>
      <c r="E40" s="1083"/>
      <c r="F40" s="1084"/>
      <c r="G40" s="1085"/>
      <c r="H40" s="1086"/>
      <c r="I40" s="1087"/>
      <c r="J40" s="1086"/>
      <c r="K40" s="1084"/>
      <c r="L40" s="1082"/>
      <c r="M40" s="1082"/>
      <c r="N40" s="1088"/>
      <c r="O40" s="1088"/>
      <c r="P40" s="1088"/>
      <c r="Q40" s="536"/>
    </row>
    <row r="41" spans="1:17" ht="37.5" customHeight="1">
      <c r="A41" s="1081"/>
      <c r="B41" s="1082"/>
      <c r="C41" s="1081"/>
      <c r="D41" s="1083"/>
      <c r="E41" s="1083"/>
      <c r="F41" s="1084"/>
      <c r="G41" s="1085"/>
      <c r="H41" s="1086"/>
      <c r="I41" s="1087"/>
      <c r="J41" s="1086"/>
      <c r="K41" s="1084"/>
      <c r="L41" s="1082"/>
      <c r="M41" s="1082"/>
      <c r="N41" s="1088"/>
      <c r="O41" s="1088"/>
      <c r="P41" s="1088"/>
      <c r="Q41" s="536"/>
    </row>
    <row r="42" spans="1:17" ht="37.5" customHeight="1">
      <c r="A42" s="1081"/>
      <c r="B42" s="1082"/>
      <c r="C42" s="1081"/>
      <c r="D42" s="1083"/>
      <c r="E42" s="1083"/>
      <c r="F42" s="1084"/>
      <c r="G42" s="1085"/>
      <c r="H42" s="1086"/>
      <c r="I42" s="1087"/>
      <c r="J42" s="1086"/>
      <c r="K42" s="1084"/>
      <c r="L42" s="1082"/>
      <c r="M42" s="1082"/>
      <c r="N42" s="1088"/>
      <c r="O42" s="1088"/>
      <c r="P42" s="1088"/>
      <c r="Q42" s="536"/>
    </row>
    <row r="43" spans="1:17" ht="37.5" customHeight="1">
      <c r="A43" s="1081"/>
      <c r="B43" s="1082"/>
      <c r="C43" s="1081"/>
      <c r="D43" s="1083"/>
      <c r="E43" s="1083"/>
      <c r="F43" s="1084"/>
      <c r="G43" s="1085"/>
      <c r="H43" s="1086"/>
      <c r="I43" s="1087"/>
      <c r="J43" s="1086"/>
      <c r="K43" s="1084"/>
      <c r="L43" s="1082"/>
      <c r="M43" s="1082"/>
      <c r="N43" s="1088"/>
      <c r="O43" s="1088"/>
      <c r="P43" s="1088"/>
      <c r="Q43" s="536"/>
    </row>
    <row r="44" spans="1:17" ht="37.5" customHeight="1">
      <c r="A44" s="1081"/>
      <c r="B44" s="1082"/>
      <c r="C44" s="1081"/>
      <c r="D44" s="1083"/>
      <c r="E44" s="1083"/>
      <c r="F44" s="1084"/>
      <c r="G44" s="1085"/>
      <c r="H44" s="1086"/>
      <c r="I44" s="1087"/>
      <c r="J44" s="1086"/>
      <c r="K44" s="1084"/>
      <c r="L44" s="1082"/>
      <c r="M44" s="1082"/>
      <c r="N44" s="1088"/>
      <c r="O44" s="1088"/>
      <c r="P44" s="1088"/>
      <c r="Q44" s="536"/>
    </row>
    <row r="45" spans="1:17" ht="37.5" customHeight="1">
      <c r="A45" s="1081"/>
      <c r="B45" s="1082"/>
      <c r="C45" s="1081"/>
      <c r="D45" s="1083"/>
      <c r="E45" s="1083"/>
      <c r="F45" s="1084"/>
      <c r="G45" s="1085"/>
      <c r="H45" s="1086"/>
      <c r="I45" s="1087"/>
      <c r="J45" s="1086"/>
      <c r="K45" s="1084"/>
      <c r="L45" s="1082"/>
      <c r="M45" s="1082"/>
      <c r="N45" s="1088"/>
      <c r="O45" s="1088"/>
      <c r="P45" s="1088"/>
      <c r="Q45" s="536"/>
    </row>
    <row r="46" spans="1:17" ht="37.5" customHeight="1">
      <c r="A46" s="1081"/>
      <c r="B46" s="1082"/>
      <c r="C46" s="1081"/>
      <c r="D46" s="1083"/>
      <c r="E46" s="1083"/>
      <c r="F46" s="1084"/>
      <c r="G46" s="1085"/>
      <c r="H46" s="1086"/>
      <c r="I46" s="1087"/>
      <c r="J46" s="1086"/>
      <c r="K46" s="1084"/>
      <c r="L46" s="1082"/>
      <c r="M46" s="1082"/>
      <c r="N46" s="1088"/>
      <c r="O46" s="1088"/>
      <c r="P46" s="1088"/>
    </row>
    <row r="47" spans="1:17" ht="37.5" customHeight="1">
      <c r="A47" s="1081"/>
      <c r="B47" s="1081"/>
      <c r="C47" s="1081"/>
      <c r="D47" s="1083"/>
      <c r="E47" s="1083"/>
      <c r="F47" s="1084"/>
      <c r="G47" s="1085"/>
      <c r="H47" s="1089"/>
      <c r="I47" s="1081"/>
      <c r="J47" s="1089"/>
      <c r="K47" s="1081"/>
      <c r="L47" s="1081"/>
      <c r="M47" s="1081"/>
      <c r="N47" s="1081"/>
      <c r="O47" s="1081"/>
      <c r="P47" s="1081"/>
    </row>
    <row r="48" spans="1:17" ht="37.5" customHeight="1">
      <c r="A48" s="1081"/>
      <c r="B48" s="1082"/>
      <c r="C48" s="1081"/>
      <c r="D48" s="1083"/>
      <c r="E48" s="1083"/>
      <c r="F48" s="1084"/>
      <c r="G48" s="1085"/>
      <c r="H48" s="1086"/>
      <c r="I48" s="1087"/>
      <c r="J48" s="1086"/>
      <c r="K48" s="1084"/>
      <c r="L48" s="1082"/>
      <c r="M48" s="1082"/>
      <c r="N48" s="1088"/>
      <c r="O48" s="1088"/>
      <c r="P48" s="1088"/>
    </row>
    <row r="49" spans="1:16" ht="37.5" customHeight="1">
      <c r="A49" s="1081"/>
      <c r="B49" s="1082"/>
      <c r="C49" s="1081"/>
      <c r="D49" s="1083"/>
      <c r="E49" s="1083"/>
      <c r="F49" s="1084"/>
      <c r="G49" s="1085"/>
      <c r="H49" s="1086"/>
      <c r="I49" s="1087"/>
      <c r="J49" s="1086"/>
      <c r="K49" s="1084"/>
      <c r="L49" s="1082"/>
      <c r="M49" s="1082"/>
      <c r="N49" s="1088"/>
      <c r="O49" s="1088"/>
      <c r="P49" s="1088"/>
    </row>
    <row r="50" spans="1:16" ht="37.5" customHeight="1">
      <c r="A50" s="1081"/>
      <c r="B50" s="1082"/>
      <c r="C50" s="1081"/>
      <c r="D50" s="1083"/>
      <c r="E50" s="1083"/>
      <c r="F50" s="1084"/>
      <c r="G50" s="1085"/>
      <c r="H50" s="1086"/>
      <c r="I50" s="1087"/>
      <c r="J50" s="1086"/>
      <c r="K50" s="1084"/>
      <c r="L50" s="1082"/>
      <c r="M50" s="1082"/>
      <c r="N50" s="1088"/>
      <c r="O50" s="1088"/>
      <c r="P50" s="1088"/>
    </row>
    <row r="51" spans="1:16" ht="37.5" customHeight="1">
      <c r="A51" s="1081"/>
      <c r="B51" s="1082"/>
      <c r="C51" s="1081"/>
      <c r="D51" s="1083"/>
      <c r="E51" s="1083"/>
      <c r="F51" s="1084"/>
      <c r="G51" s="1085"/>
      <c r="H51" s="1086"/>
      <c r="I51" s="1087"/>
      <c r="J51" s="1086"/>
      <c r="K51" s="1084"/>
      <c r="L51" s="1082"/>
      <c r="M51" s="1082"/>
      <c r="N51" s="1088"/>
      <c r="O51" s="1088"/>
      <c r="P51" s="1088"/>
    </row>
    <row r="52" spans="1:16" ht="37.5" customHeight="1">
      <c r="A52" s="1081"/>
      <c r="B52" s="1082"/>
      <c r="C52" s="1081"/>
      <c r="D52" s="1083"/>
      <c r="E52" s="1083"/>
      <c r="F52" s="1084"/>
      <c r="G52" s="1085"/>
      <c r="H52" s="1086"/>
      <c r="I52" s="1087"/>
      <c r="J52" s="1086"/>
      <c r="K52" s="1084"/>
      <c r="L52" s="1082"/>
      <c r="M52" s="1082"/>
      <c r="N52" s="1088"/>
      <c r="O52" s="1088"/>
      <c r="P52" s="1088"/>
    </row>
    <row r="53" spans="1:16" ht="37.5" customHeight="1">
      <c r="A53" s="1081"/>
      <c r="B53" s="1082"/>
      <c r="C53" s="1081"/>
      <c r="D53" s="1083"/>
      <c r="E53" s="1083"/>
      <c r="F53" s="1084"/>
      <c r="G53" s="1085"/>
      <c r="H53" s="1086"/>
      <c r="I53" s="1087"/>
      <c r="J53" s="1086"/>
      <c r="K53" s="1084"/>
      <c r="L53" s="1082"/>
      <c r="M53" s="1082"/>
      <c r="N53" s="1088"/>
      <c r="O53" s="1088"/>
      <c r="P53" s="1088"/>
    </row>
    <row r="54" spans="1:16" ht="37.5" customHeight="1">
      <c r="A54" s="1081"/>
      <c r="B54" s="1082"/>
      <c r="C54" s="1081"/>
      <c r="D54" s="1083"/>
      <c r="E54" s="1083"/>
      <c r="F54" s="1084"/>
      <c r="G54" s="1085"/>
      <c r="H54" s="1086"/>
      <c r="I54" s="1087"/>
      <c r="J54" s="1086"/>
      <c r="K54" s="1084"/>
      <c r="L54" s="1082"/>
      <c r="M54" s="1082"/>
      <c r="N54" s="1088"/>
      <c r="O54" s="1088"/>
      <c r="P54" s="1088"/>
    </row>
    <row r="55" spans="1:16" ht="66" customHeight="1">
      <c r="A55" s="1081"/>
      <c r="B55" s="1082"/>
      <c r="C55" s="1081"/>
      <c r="D55" s="1083"/>
      <c r="E55" s="1083"/>
      <c r="F55" s="1084"/>
      <c r="G55" s="1085"/>
      <c r="H55" s="1086"/>
      <c r="I55" s="1087"/>
      <c r="J55" s="1086"/>
      <c r="K55" s="1084"/>
      <c r="L55" s="1082"/>
      <c r="M55" s="1082"/>
      <c r="N55" s="1088"/>
      <c r="O55" s="1088"/>
      <c r="P55" s="1088"/>
    </row>
    <row r="56" spans="1:16" ht="66" customHeight="1">
      <c r="A56" s="1081"/>
      <c r="B56" s="1082"/>
      <c r="C56" s="1081"/>
      <c r="D56" s="1083"/>
      <c r="E56" s="1083"/>
      <c r="F56" s="1084"/>
      <c r="G56" s="1085"/>
      <c r="H56" s="1086"/>
      <c r="I56" s="1087"/>
      <c r="J56" s="1086"/>
      <c r="K56" s="1084"/>
      <c r="L56" s="1082"/>
      <c r="M56" s="1082"/>
      <c r="N56" s="1088"/>
      <c r="O56" s="1088"/>
      <c r="P56" s="1088"/>
    </row>
    <row r="57" spans="1:16" ht="66" customHeight="1">
      <c r="A57" s="1081"/>
      <c r="B57" s="1082"/>
      <c r="C57" s="1081"/>
      <c r="D57" s="1083"/>
      <c r="E57" s="1083"/>
      <c r="F57" s="1084"/>
      <c r="G57" s="1085"/>
      <c r="H57" s="1086"/>
      <c r="I57" s="1087"/>
      <c r="J57" s="1086"/>
      <c r="K57" s="1084"/>
      <c r="L57" s="1082"/>
      <c r="M57" s="1082"/>
      <c r="N57" s="1088"/>
      <c r="O57" s="1088"/>
      <c r="P57" s="1088"/>
    </row>
    <row r="58" spans="1:16" ht="66" customHeight="1">
      <c r="A58" s="1081"/>
      <c r="B58" s="1082"/>
      <c r="C58" s="1081"/>
      <c r="D58" s="1083"/>
      <c r="E58" s="1083"/>
      <c r="F58" s="1084"/>
      <c r="G58" s="1085"/>
      <c r="H58" s="1086"/>
      <c r="I58" s="1087"/>
      <c r="J58" s="1086"/>
      <c r="K58" s="1084"/>
      <c r="L58" s="1082"/>
      <c r="M58" s="1082"/>
      <c r="N58" s="1088"/>
      <c r="O58" s="1088"/>
      <c r="P58" s="1088"/>
    </row>
    <row r="59" spans="1:16" ht="66" customHeight="1">
      <c r="A59" s="1081"/>
      <c r="B59" s="1082"/>
      <c r="C59" s="1081"/>
      <c r="D59" s="1083"/>
      <c r="E59" s="1083"/>
      <c r="F59" s="1084"/>
      <c r="G59" s="1085"/>
      <c r="H59" s="1086"/>
      <c r="I59" s="1087"/>
      <c r="J59" s="1086"/>
      <c r="K59" s="1084"/>
      <c r="L59" s="1082"/>
      <c r="M59" s="1082"/>
      <c r="N59" s="1088"/>
      <c r="O59" s="1088"/>
      <c r="P59" s="1088"/>
    </row>
    <row r="60" spans="1:16" ht="66" customHeight="1">
      <c r="A60" s="1081"/>
      <c r="B60" s="1082"/>
      <c r="C60" s="1081"/>
      <c r="D60" s="1083"/>
      <c r="E60" s="1083"/>
      <c r="F60" s="1084"/>
      <c r="G60" s="1085"/>
      <c r="H60" s="1086"/>
      <c r="I60" s="1087"/>
      <c r="J60" s="1086"/>
      <c r="K60" s="1084"/>
      <c r="L60" s="1082"/>
      <c r="M60" s="1082"/>
      <c r="N60" s="1088"/>
      <c r="O60" s="1088"/>
      <c r="P60" s="1088"/>
    </row>
    <row r="61" spans="1:16" ht="66" customHeight="1">
      <c r="A61" s="1081"/>
      <c r="B61" s="1082"/>
      <c r="C61" s="1081"/>
      <c r="D61" s="1083"/>
      <c r="E61" s="1083"/>
      <c r="F61" s="1084"/>
      <c r="G61" s="1085"/>
      <c r="H61" s="1086"/>
      <c r="I61" s="1087"/>
      <c r="J61" s="1086"/>
      <c r="K61" s="1084"/>
      <c r="L61" s="1082"/>
      <c r="M61" s="1082"/>
      <c r="N61" s="1088"/>
      <c r="O61" s="1088"/>
      <c r="P61" s="1088"/>
    </row>
    <row r="62" spans="1:16" ht="66" customHeight="1">
      <c r="A62" s="1081"/>
      <c r="B62" s="1082"/>
      <c r="C62" s="1081"/>
      <c r="D62" s="1083"/>
      <c r="E62" s="1083"/>
      <c r="F62" s="1084"/>
      <c r="G62" s="1085"/>
      <c r="H62" s="1086"/>
      <c r="I62" s="1087"/>
      <c r="J62" s="1086"/>
      <c r="K62" s="1084"/>
      <c r="L62" s="1082"/>
      <c r="M62" s="1082"/>
      <c r="N62" s="1088"/>
      <c r="O62" s="1088"/>
      <c r="P62" s="1088"/>
    </row>
    <row r="63" spans="1:16" ht="51.75" customHeight="1">
      <c r="A63" s="1081"/>
      <c r="B63" s="1082"/>
      <c r="C63" s="1081"/>
      <c r="D63" s="1083"/>
      <c r="E63" s="1083"/>
      <c r="F63" s="1084"/>
      <c r="G63" s="1085"/>
      <c r="H63" s="1086"/>
      <c r="I63" s="1087"/>
      <c r="J63" s="1086"/>
      <c r="K63" s="1084"/>
      <c r="L63" s="1082"/>
      <c r="M63" s="1082"/>
      <c r="N63" s="1088"/>
      <c r="O63" s="1088"/>
      <c r="P63" s="1088"/>
    </row>
    <row r="64" spans="1:16" ht="51.75" customHeight="1">
      <c r="A64" s="1081"/>
      <c r="B64" s="1082"/>
      <c r="C64" s="1081"/>
      <c r="D64" s="1083"/>
      <c r="E64" s="1083"/>
      <c r="F64" s="1084"/>
      <c r="G64" s="1085"/>
      <c r="H64" s="1086"/>
      <c r="I64" s="1087"/>
      <c r="J64" s="1086"/>
      <c r="K64" s="1084"/>
      <c r="L64" s="1082"/>
      <c r="M64" s="1082"/>
      <c r="N64" s="1088"/>
      <c r="O64" s="1088"/>
      <c r="P64" s="1088"/>
    </row>
    <row r="65" spans="1:16" ht="51.75" customHeight="1">
      <c r="A65" s="1081"/>
      <c r="B65" s="1082"/>
      <c r="C65" s="1081"/>
      <c r="D65" s="1083"/>
      <c r="E65" s="1083"/>
      <c r="F65" s="1084"/>
      <c r="G65" s="1085"/>
      <c r="H65" s="1086"/>
      <c r="I65" s="1087"/>
      <c r="J65" s="1086"/>
      <c r="K65" s="1084"/>
      <c r="L65" s="1082"/>
      <c r="M65" s="1082"/>
      <c r="N65" s="1088"/>
      <c r="O65" s="1088"/>
      <c r="P65" s="1088"/>
    </row>
    <row r="66" spans="1:16" ht="51.75" customHeight="1">
      <c r="A66" s="1081"/>
      <c r="B66" s="1082"/>
      <c r="C66" s="1081"/>
      <c r="D66" s="1083"/>
      <c r="E66" s="1083"/>
      <c r="F66" s="1084"/>
      <c r="G66" s="1085"/>
      <c r="H66" s="1086"/>
      <c r="I66" s="1087"/>
      <c r="J66" s="1086"/>
      <c r="K66" s="1084"/>
      <c r="L66" s="1082"/>
      <c r="M66" s="1082"/>
      <c r="N66" s="1088"/>
      <c r="O66" s="1088"/>
      <c r="P66" s="1088"/>
    </row>
    <row r="67" spans="1:16" ht="51.75" customHeight="1">
      <c r="A67" s="1081"/>
      <c r="B67" s="1082"/>
      <c r="C67" s="1081"/>
      <c r="D67" s="1083"/>
      <c r="E67" s="1083"/>
      <c r="F67" s="1084"/>
      <c r="G67" s="1085"/>
      <c r="H67" s="1086"/>
      <c r="I67" s="1087"/>
      <c r="J67" s="1086"/>
      <c r="K67" s="1084"/>
      <c r="L67" s="1082"/>
      <c r="M67" s="1082"/>
      <c r="N67" s="1088"/>
      <c r="O67" s="1088"/>
      <c r="P67" s="1088"/>
    </row>
    <row r="68" spans="1:16" ht="51.75" customHeight="1">
      <c r="A68" s="1081"/>
      <c r="B68" s="1082"/>
      <c r="C68" s="1081"/>
      <c r="D68" s="1083"/>
      <c r="E68" s="1083"/>
      <c r="F68" s="1084"/>
      <c r="G68" s="1085"/>
      <c r="H68" s="1086"/>
      <c r="I68" s="1087"/>
      <c r="J68" s="1086"/>
      <c r="K68" s="1084"/>
      <c r="L68" s="1082"/>
      <c r="M68" s="1082"/>
      <c r="N68" s="1088"/>
      <c r="O68" s="1088"/>
      <c r="P68" s="1088"/>
    </row>
    <row r="69" spans="1:16" ht="51.75" customHeight="1">
      <c r="A69" s="1081"/>
      <c r="B69" s="1082"/>
      <c r="C69" s="1081"/>
      <c r="D69" s="1083"/>
      <c r="E69" s="1083"/>
      <c r="F69" s="1084"/>
      <c r="G69" s="1085"/>
      <c r="H69" s="1086"/>
      <c r="I69" s="1087"/>
      <c r="J69" s="1086"/>
      <c r="K69" s="1084"/>
      <c r="L69" s="1082"/>
      <c r="M69" s="1082"/>
      <c r="N69" s="1088"/>
      <c r="O69" s="1088"/>
      <c r="P69" s="1088"/>
    </row>
    <row r="70" spans="1:16" ht="51.75" customHeight="1">
      <c r="A70" s="1081"/>
      <c r="B70" s="1082"/>
      <c r="C70" s="1081"/>
      <c r="D70" s="1083"/>
      <c r="E70" s="1083"/>
      <c r="F70" s="1084"/>
      <c r="G70" s="1085"/>
      <c r="H70" s="1086"/>
      <c r="I70" s="1087"/>
      <c r="J70" s="1086"/>
      <c r="K70" s="1084"/>
      <c r="L70" s="1082"/>
      <c r="M70" s="1082"/>
      <c r="N70" s="1088"/>
      <c r="O70" s="1088"/>
      <c r="P70" s="1088"/>
    </row>
    <row r="71" spans="1:16" ht="37.5" customHeight="1">
      <c r="A71" s="1081"/>
      <c r="B71" s="1082"/>
      <c r="C71" s="1081"/>
      <c r="D71" s="1083"/>
      <c r="E71" s="1083"/>
      <c r="F71" s="1084"/>
      <c r="G71" s="1085"/>
      <c r="H71" s="1086"/>
      <c r="I71" s="1087"/>
      <c r="J71" s="1086"/>
      <c r="K71" s="1084"/>
      <c r="L71" s="1082"/>
      <c r="M71" s="1082"/>
      <c r="N71" s="1088"/>
      <c r="O71" s="1088"/>
      <c r="P71" s="1088"/>
    </row>
    <row r="72" spans="1:16" ht="37.5" customHeight="1">
      <c r="A72" s="1081"/>
      <c r="B72" s="1082"/>
      <c r="C72" s="1081"/>
      <c r="D72" s="1083"/>
      <c r="E72" s="1083"/>
      <c r="F72" s="1084"/>
      <c r="G72" s="1085"/>
      <c r="H72" s="1086"/>
      <c r="I72" s="1087"/>
      <c r="J72" s="1086"/>
      <c r="K72" s="1084"/>
      <c r="L72" s="1082"/>
      <c r="M72" s="1082"/>
      <c r="N72" s="1088"/>
      <c r="O72" s="1088"/>
      <c r="P72" s="1088"/>
    </row>
    <row r="73" spans="1:16" ht="37.5" customHeight="1">
      <c r="A73" s="1081"/>
      <c r="B73" s="1082"/>
      <c r="C73" s="1081"/>
      <c r="D73" s="1083"/>
      <c r="E73" s="1083"/>
      <c r="F73" s="1084"/>
      <c r="G73" s="1085"/>
      <c r="H73" s="1086"/>
      <c r="I73" s="1087"/>
      <c r="J73" s="1086"/>
      <c r="K73" s="1084"/>
      <c r="L73" s="1082"/>
      <c r="M73" s="1082"/>
      <c r="N73" s="1088"/>
      <c r="O73" s="1088"/>
      <c r="P73" s="1088"/>
    </row>
    <row r="74" spans="1:16" ht="37.5" customHeight="1">
      <c r="A74" s="1081"/>
      <c r="B74" s="1082"/>
      <c r="C74" s="1081"/>
      <c r="D74" s="1083"/>
      <c r="E74" s="1083"/>
      <c r="F74" s="1084"/>
      <c r="G74" s="1085"/>
      <c r="H74" s="1086"/>
      <c r="I74" s="1087"/>
      <c r="J74" s="1086"/>
      <c r="K74" s="1084"/>
      <c r="L74" s="1082"/>
      <c r="M74" s="1082"/>
      <c r="N74" s="1088"/>
      <c r="O74" s="1088"/>
      <c r="P74" s="1088"/>
    </row>
    <row r="75" spans="1:16" ht="37.5" customHeight="1">
      <c r="A75" s="1081"/>
      <c r="B75" s="1082"/>
      <c r="C75" s="1081"/>
      <c r="D75" s="1083"/>
      <c r="E75" s="1083"/>
      <c r="F75" s="1084"/>
      <c r="G75" s="1085"/>
      <c r="H75" s="1086"/>
      <c r="I75" s="1087"/>
      <c r="J75" s="1086"/>
      <c r="K75" s="1084"/>
      <c r="L75" s="1082"/>
      <c r="M75" s="1082"/>
      <c r="N75" s="1088"/>
      <c r="O75" s="1088"/>
      <c r="P75" s="1088"/>
    </row>
    <row r="76" spans="1:16" ht="37.5" customHeight="1">
      <c r="A76" s="1081"/>
      <c r="B76" s="1082"/>
      <c r="C76" s="1081"/>
      <c r="D76" s="1083"/>
      <c r="E76" s="1083"/>
      <c r="F76" s="1084"/>
      <c r="G76" s="1085"/>
      <c r="H76" s="1086"/>
      <c r="I76" s="1087"/>
      <c r="J76" s="1086"/>
      <c r="K76" s="1084"/>
      <c r="L76" s="1082"/>
      <c r="M76" s="1082"/>
      <c r="N76" s="1088"/>
      <c r="O76" s="1088"/>
      <c r="P76" s="1088"/>
    </row>
    <row r="77" spans="1:16" ht="37.5" customHeight="1">
      <c r="A77" s="1081"/>
      <c r="B77" s="1082"/>
      <c r="C77" s="1081"/>
      <c r="D77" s="1083"/>
      <c r="E77" s="1083"/>
      <c r="F77" s="1084"/>
      <c r="G77" s="1085"/>
      <c r="H77" s="1086"/>
      <c r="I77" s="1087"/>
      <c r="J77" s="1086"/>
      <c r="K77" s="1084"/>
      <c r="L77" s="1082"/>
      <c r="M77" s="1082"/>
      <c r="N77" s="1088"/>
      <c r="O77" s="1088"/>
      <c r="P77" s="1088"/>
    </row>
    <row r="78" spans="1:16" ht="37.5" customHeight="1">
      <c r="A78" s="1081"/>
      <c r="B78" s="1082"/>
      <c r="C78" s="1081"/>
      <c r="D78" s="1083"/>
      <c r="E78" s="1083"/>
      <c r="F78" s="1084"/>
      <c r="G78" s="1085"/>
      <c r="H78" s="1086"/>
      <c r="I78" s="1087"/>
      <c r="J78" s="1086"/>
      <c r="K78" s="1084"/>
      <c r="L78" s="1082"/>
      <c r="M78" s="1082"/>
      <c r="N78" s="1088"/>
      <c r="O78" s="1088"/>
      <c r="P78" s="1088"/>
    </row>
    <row r="79" spans="1:16" ht="37.5" customHeight="1">
      <c r="A79" s="1081"/>
      <c r="B79" s="1082"/>
      <c r="C79" s="1081"/>
      <c r="D79" s="1083"/>
      <c r="E79" s="1083"/>
      <c r="F79" s="1084"/>
      <c r="G79" s="1085"/>
      <c r="H79" s="1086"/>
      <c r="I79" s="1087"/>
      <c r="J79" s="1086"/>
      <c r="K79" s="1084"/>
      <c r="L79" s="1082"/>
      <c r="M79" s="1082"/>
      <c r="N79" s="1088"/>
      <c r="O79" s="1088"/>
      <c r="P79" s="1088"/>
    </row>
    <row r="80" spans="1:16" ht="37.5" customHeight="1">
      <c r="A80" s="1081"/>
      <c r="B80" s="1082"/>
      <c r="C80" s="1081"/>
      <c r="D80" s="1083"/>
      <c r="E80" s="1083"/>
      <c r="F80" s="1084"/>
      <c r="G80" s="1085"/>
      <c r="H80" s="1086"/>
      <c r="I80" s="1087"/>
      <c r="J80" s="1086"/>
      <c r="K80" s="1084"/>
      <c r="L80" s="1082"/>
      <c r="M80" s="1082"/>
      <c r="N80" s="1088"/>
      <c r="O80" s="1088"/>
      <c r="P80" s="1088"/>
    </row>
    <row r="81" spans="1:16" ht="37.5" customHeight="1">
      <c r="A81" s="1081"/>
      <c r="B81" s="1082"/>
      <c r="C81" s="1081"/>
      <c r="D81" s="1083"/>
      <c r="E81" s="1083"/>
      <c r="F81" s="1084"/>
      <c r="G81" s="1085"/>
      <c r="H81" s="1086"/>
      <c r="I81" s="1087"/>
      <c r="J81" s="1086"/>
      <c r="K81" s="1084"/>
      <c r="L81" s="1082"/>
      <c r="M81" s="1082"/>
      <c r="N81" s="1088"/>
      <c r="O81" s="1088"/>
      <c r="P81" s="1088"/>
    </row>
    <row r="82" spans="1:16" ht="37.5" customHeight="1">
      <c r="A82" s="1081"/>
      <c r="B82" s="1082"/>
      <c r="C82" s="1081"/>
      <c r="D82" s="1083"/>
      <c r="E82" s="1083"/>
      <c r="F82" s="1084"/>
      <c r="G82" s="1085"/>
      <c r="H82" s="1086"/>
      <c r="I82" s="1087"/>
      <c r="J82" s="1086"/>
      <c r="K82" s="1084"/>
      <c r="L82" s="1082"/>
      <c r="M82" s="1082"/>
      <c r="N82" s="1088"/>
      <c r="O82" s="1088"/>
      <c r="P82" s="1088"/>
    </row>
    <row r="83" spans="1:16" ht="37.5" customHeight="1">
      <c r="A83" s="1081"/>
      <c r="B83" s="1082"/>
      <c r="C83" s="1081"/>
      <c r="D83" s="1083"/>
      <c r="E83" s="1083"/>
      <c r="F83" s="1084"/>
      <c r="G83" s="1085"/>
      <c r="H83" s="1086"/>
      <c r="I83" s="1087"/>
      <c r="J83" s="1086"/>
      <c r="K83" s="1084"/>
      <c r="L83" s="1082"/>
      <c r="M83" s="1082"/>
      <c r="N83" s="1088"/>
      <c r="O83" s="1088"/>
      <c r="P83" s="1088"/>
    </row>
    <row r="84" spans="1:16" ht="37.5" customHeight="1">
      <c r="A84" s="1081"/>
      <c r="B84" s="1082"/>
      <c r="C84" s="1081"/>
      <c r="D84" s="1083"/>
      <c r="E84" s="1083"/>
      <c r="F84" s="1084"/>
      <c r="G84" s="1085"/>
      <c r="H84" s="1086"/>
      <c r="I84" s="1087"/>
      <c r="J84" s="1086"/>
      <c r="K84" s="1084"/>
      <c r="L84" s="1082"/>
      <c r="M84" s="1082"/>
      <c r="N84" s="1088"/>
      <c r="O84" s="1088"/>
      <c r="P84" s="1088"/>
    </row>
    <row r="85" spans="1:16" ht="37.5" customHeight="1">
      <c r="A85" s="1081"/>
      <c r="B85" s="1082"/>
      <c r="C85" s="1081"/>
      <c r="D85" s="1083"/>
      <c r="E85" s="1083"/>
      <c r="F85" s="1084"/>
      <c r="G85" s="1085"/>
      <c r="H85" s="1086"/>
      <c r="I85" s="1087"/>
      <c r="J85" s="1086"/>
      <c r="K85" s="1084"/>
      <c r="L85" s="1082"/>
      <c r="M85" s="1082"/>
      <c r="N85" s="1088"/>
      <c r="O85" s="1088"/>
      <c r="P85" s="1088"/>
    </row>
    <row r="86" spans="1:16" ht="37.5" customHeight="1">
      <c r="A86" s="1081"/>
      <c r="B86" s="1082"/>
      <c r="C86" s="1081"/>
      <c r="D86" s="1083"/>
      <c r="E86" s="1083"/>
      <c r="F86" s="1084"/>
      <c r="G86" s="1085"/>
      <c r="H86" s="1086"/>
      <c r="I86" s="1087"/>
      <c r="J86" s="1086"/>
      <c r="K86" s="1084"/>
      <c r="L86" s="1082"/>
      <c r="M86" s="1082"/>
      <c r="N86" s="1088"/>
      <c r="O86" s="1088"/>
      <c r="P86" s="1088"/>
    </row>
    <row r="87" spans="1:16" ht="37.5" customHeight="1">
      <c r="A87" s="1081"/>
      <c r="B87" s="1082"/>
      <c r="C87" s="1081"/>
      <c r="D87" s="1083"/>
      <c r="E87" s="1083"/>
      <c r="F87" s="1084"/>
      <c r="G87" s="1085"/>
      <c r="H87" s="1086"/>
      <c r="I87" s="1087"/>
      <c r="J87" s="1086"/>
      <c r="K87" s="1084"/>
      <c r="L87" s="1082"/>
      <c r="M87" s="1082"/>
      <c r="N87" s="1088"/>
      <c r="O87" s="1088"/>
      <c r="P87" s="1088"/>
    </row>
    <row r="88" spans="1:16" ht="24" customHeight="1">
      <c r="A88" s="1081"/>
      <c r="B88" s="1082"/>
      <c r="C88" s="1081"/>
      <c r="D88" s="1083"/>
      <c r="E88" s="1083"/>
      <c r="F88" s="1084"/>
      <c r="G88" s="1085"/>
      <c r="H88" s="1086"/>
      <c r="I88" s="1087"/>
      <c r="J88" s="1086"/>
      <c r="K88" s="1084"/>
      <c r="L88" s="1082"/>
      <c r="M88" s="1082"/>
      <c r="N88" s="1088"/>
      <c r="O88" s="1088"/>
      <c r="P88" s="1088"/>
    </row>
    <row r="89" spans="1:16" ht="24" customHeight="1">
      <c r="A89" s="1081"/>
      <c r="B89" s="1082"/>
      <c r="C89" s="1081"/>
      <c r="D89" s="1083"/>
      <c r="E89" s="1083"/>
      <c r="F89" s="1084"/>
      <c r="G89" s="1085"/>
      <c r="H89" s="1086"/>
      <c r="I89" s="1087"/>
      <c r="J89" s="1086"/>
      <c r="K89" s="1084"/>
      <c r="L89" s="1082"/>
      <c r="M89" s="1082"/>
      <c r="N89" s="1088"/>
      <c r="O89" s="1088"/>
      <c r="P89" s="1088"/>
    </row>
    <row r="90" spans="1:16" ht="24" customHeight="1">
      <c r="A90" s="1081"/>
      <c r="B90" s="1082"/>
      <c r="C90" s="1081"/>
      <c r="D90" s="1083"/>
      <c r="E90" s="1083"/>
      <c r="F90" s="1084"/>
      <c r="G90" s="1085"/>
      <c r="H90" s="1086"/>
      <c r="I90" s="1087"/>
      <c r="J90" s="1086"/>
      <c r="K90" s="1084"/>
      <c r="L90" s="1082"/>
      <c r="M90" s="1082"/>
      <c r="N90" s="1088"/>
      <c r="O90" s="1088"/>
      <c r="P90" s="1088"/>
    </row>
    <row r="91" spans="1:16">
      <c r="A91" s="1081"/>
      <c r="B91" s="1082"/>
      <c r="C91" s="1081"/>
      <c r="D91" s="1083"/>
      <c r="E91" s="1083"/>
      <c r="F91" s="1084"/>
      <c r="G91" s="1085"/>
      <c r="H91" s="1086"/>
      <c r="I91" s="1087"/>
      <c r="J91" s="1086"/>
      <c r="K91" s="1084"/>
      <c r="L91" s="1082"/>
      <c r="M91" s="1082"/>
      <c r="N91" s="1088"/>
      <c r="O91" s="1088"/>
      <c r="P91" s="1088"/>
    </row>
    <row r="92" spans="1:16">
      <c r="A92" s="1081"/>
      <c r="B92" s="1082"/>
      <c r="C92" s="1081"/>
      <c r="D92" s="1083"/>
      <c r="E92" s="1083"/>
      <c r="F92" s="1084"/>
      <c r="G92" s="1085"/>
      <c r="H92" s="1086"/>
      <c r="I92" s="1087"/>
      <c r="J92" s="1086"/>
      <c r="K92" s="1084"/>
      <c r="L92" s="1082"/>
      <c r="M92" s="1082"/>
      <c r="N92" s="1088"/>
      <c r="O92" s="1088"/>
      <c r="P92" s="1088"/>
    </row>
    <row r="93" spans="1:16">
      <c r="A93" s="1081"/>
      <c r="B93" s="1082"/>
      <c r="C93" s="1081"/>
      <c r="D93" s="1083"/>
      <c r="E93" s="1083"/>
      <c r="F93" s="1084"/>
      <c r="G93" s="1085"/>
      <c r="H93" s="1086"/>
      <c r="I93" s="1087"/>
      <c r="J93" s="1086"/>
      <c r="K93" s="1084"/>
      <c r="L93" s="1082"/>
      <c r="M93" s="1082"/>
      <c r="N93" s="1088"/>
      <c r="O93" s="1088"/>
      <c r="P93" s="1088"/>
    </row>
    <row r="94" spans="1:16">
      <c r="A94" s="1081"/>
      <c r="B94" s="1082"/>
      <c r="C94" s="1081"/>
      <c r="D94" s="1083"/>
      <c r="E94" s="1083"/>
      <c r="F94" s="1084"/>
      <c r="G94" s="1085"/>
      <c r="H94" s="1086"/>
      <c r="I94" s="1087"/>
      <c r="J94" s="1086"/>
      <c r="K94" s="1084"/>
      <c r="L94" s="1082"/>
      <c r="M94" s="1082"/>
      <c r="N94" s="1088"/>
      <c r="O94" s="1088"/>
      <c r="P94" s="1088"/>
    </row>
    <row r="95" spans="1:16">
      <c r="A95" s="1081"/>
      <c r="B95" s="1082"/>
      <c r="C95" s="1081"/>
      <c r="D95" s="1083"/>
      <c r="E95" s="1083"/>
      <c r="F95" s="1084"/>
      <c r="G95" s="1085"/>
      <c r="H95" s="1086"/>
      <c r="I95" s="1087"/>
      <c r="J95" s="1086"/>
      <c r="K95" s="1084"/>
      <c r="L95" s="1082"/>
      <c r="M95" s="1082"/>
      <c r="N95" s="1088"/>
      <c r="O95" s="1088"/>
      <c r="P95" s="1088"/>
    </row>
    <row r="96" spans="1:16">
      <c r="A96" s="1081"/>
      <c r="B96" s="1082"/>
      <c r="C96" s="1081"/>
      <c r="D96" s="1083"/>
      <c r="E96" s="1083"/>
      <c r="F96" s="1084"/>
      <c r="G96" s="1085"/>
      <c r="H96" s="1086"/>
      <c r="I96" s="1087"/>
      <c r="J96" s="1086"/>
      <c r="K96" s="1084"/>
      <c r="L96" s="1082"/>
      <c r="M96" s="1082"/>
      <c r="N96" s="1088"/>
      <c r="O96" s="1088"/>
      <c r="P96" s="1088"/>
    </row>
    <row r="97" spans="1:16">
      <c r="A97" s="1081"/>
      <c r="B97" s="1082"/>
      <c r="C97" s="1081"/>
      <c r="D97" s="1083"/>
      <c r="E97" s="1083"/>
      <c r="F97" s="1084"/>
      <c r="G97" s="1085"/>
      <c r="H97" s="1086"/>
      <c r="I97" s="1087"/>
      <c r="J97" s="1086"/>
      <c r="K97" s="1084"/>
      <c r="L97" s="1082"/>
      <c r="M97" s="1082"/>
      <c r="N97" s="1088"/>
      <c r="O97" s="1088"/>
      <c r="P97" s="1088"/>
    </row>
    <row r="98" spans="1:16">
      <c r="A98" s="1081"/>
      <c r="B98" s="1082"/>
      <c r="C98" s="1081"/>
      <c r="D98" s="1083"/>
      <c r="E98" s="1083"/>
      <c r="F98" s="1084"/>
      <c r="G98" s="1085"/>
      <c r="H98" s="1086"/>
      <c r="I98" s="1087"/>
      <c r="J98" s="1086"/>
      <c r="K98" s="1084"/>
      <c r="L98" s="1082"/>
      <c r="M98" s="1082"/>
      <c r="N98" s="1088"/>
      <c r="O98" s="1088"/>
      <c r="P98" s="1088"/>
    </row>
    <row r="99" spans="1:16">
      <c r="A99" s="1081"/>
      <c r="B99" s="1082"/>
      <c r="C99" s="1081"/>
      <c r="D99" s="1083"/>
      <c r="E99" s="1083"/>
      <c r="F99" s="1084"/>
      <c r="G99" s="1085"/>
      <c r="H99" s="1086"/>
      <c r="I99" s="1087"/>
      <c r="J99" s="1086"/>
      <c r="K99" s="1084"/>
      <c r="L99" s="1082"/>
      <c r="M99" s="1082"/>
      <c r="N99" s="1088"/>
      <c r="O99" s="1088"/>
      <c r="P99" s="1088"/>
    </row>
    <row r="100" spans="1:16">
      <c r="A100" s="1081"/>
      <c r="B100" s="1082"/>
      <c r="C100" s="1081"/>
      <c r="D100" s="1083"/>
      <c r="E100" s="1083"/>
      <c r="F100" s="1084"/>
      <c r="G100" s="1085"/>
      <c r="H100" s="1086"/>
      <c r="I100" s="1087"/>
      <c r="J100" s="1086"/>
      <c r="K100" s="1084"/>
      <c r="L100" s="1082"/>
      <c r="M100" s="1082"/>
      <c r="N100" s="1088"/>
      <c r="O100" s="1088"/>
      <c r="P100" s="1088"/>
    </row>
    <row r="101" spans="1:16">
      <c r="A101" s="1081"/>
      <c r="B101" s="1082"/>
      <c r="C101" s="1081"/>
      <c r="D101" s="1083"/>
      <c r="E101" s="1083"/>
      <c r="F101" s="1084"/>
      <c r="G101" s="1085"/>
      <c r="H101" s="1086"/>
      <c r="I101" s="1087"/>
      <c r="J101" s="1086"/>
      <c r="K101" s="1084"/>
      <c r="L101" s="1082"/>
      <c r="M101" s="1082"/>
      <c r="N101" s="1088"/>
      <c r="O101" s="1088"/>
      <c r="P101" s="1088"/>
    </row>
    <row r="102" spans="1:16">
      <c r="A102" s="1081"/>
      <c r="B102" s="1082"/>
      <c r="C102" s="1081"/>
      <c r="D102" s="1083"/>
      <c r="E102" s="1083"/>
      <c r="F102" s="1084"/>
      <c r="G102" s="1085"/>
      <c r="H102" s="1086"/>
      <c r="I102" s="1087"/>
      <c r="J102" s="1086"/>
      <c r="K102" s="1084"/>
      <c r="L102" s="1082"/>
      <c r="M102" s="1082"/>
      <c r="N102" s="1088"/>
      <c r="O102" s="1088"/>
      <c r="P102" s="1088"/>
    </row>
    <row r="103" spans="1:16">
      <c r="A103" s="1081"/>
      <c r="B103" s="1082"/>
      <c r="C103" s="1081"/>
      <c r="D103" s="1083"/>
      <c r="E103" s="1083"/>
      <c r="F103" s="1084"/>
      <c r="G103" s="1085"/>
      <c r="H103" s="1086"/>
      <c r="I103" s="1087"/>
      <c r="J103" s="1086"/>
      <c r="K103" s="1084"/>
      <c r="L103" s="1082"/>
      <c r="M103" s="1082"/>
      <c r="N103" s="1088"/>
      <c r="O103" s="1088"/>
      <c r="P103" s="1088"/>
    </row>
    <row r="104" spans="1:16">
      <c r="A104" s="1081"/>
      <c r="B104" s="1082"/>
      <c r="C104" s="1081"/>
      <c r="D104" s="1083"/>
      <c r="E104" s="1083"/>
      <c r="F104" s="1084"/>
      <c r="G104" s="1085"/>
      <c r="H104" s="1086"/>
      <c r="I104" s="1087"/>
      <c r="J104" s="1086"/>
      <c r="K104" s="1084"/>
      <c r="L104" s="1082"/>
      <c r="M104" s="1082"/>
      <c r="N104" s="1088"/>
      <c r="O104" s="1088"/>
      <c r="P104" s="1088"/>
    </row>
    <row r="105" spans="1:16">
      <c r="A105" s="1081"/>
      <c r="B105" s="1082"/>
      <c r="C105" s="1081"/>
      <c r="D105" s="1083"/>
      <c r="E105" s="1083"/>
      <c r="F105" s="1084"/>
      <c r="G105" s="1085"/>
      <c r="H105" s="1086"/>
      <c r="I105" s="1087"/>
      <c r="J105" s="1086"/>
      <c r="K105" s="1084"/>
      <c r="L105" s="1082"/>
      <c r="M105" s="1082"/>
      <c r="N105" s="1088"/>
      <c r="O105" s="1088"/>
      <c r="P105" s="1088"/>
    </row>
    <row r="106" spans="1:16">
      <c r="A106" s="1081"/>
      <c r="B106" s="1082"/>
      <c r="C106" s="1081"/>
      <c r="D106" s="1083"/>
      <c r="E106" s="1083"/>
      <c r="F106" s="1084"/>
      <c r="G106" s="1085"/>
      <c r="H106" s="1086"/>
      <c r="I106" s="1087"/>
      <c r="J106" s="1086"/>
      <c r="K106" s="1084"/>
      <c r="L106" s="1082"/>
      <c r="M106" s="1082"/>
      <c r="N106" s="1088"/>
      <c r="O106" s="1088"/>
      <c r="P106" s="1088"/>
    </row>
    <row r="107" spans="1:16">
      <c r="A107" s="1081"/>
      <c r="B107" s="1082"/>
      <c r="C107" s="1081"/>
      <c r="D107" s="1083"/>
      <c r="E107" s="1083"/>
      <c r="F107" s="1084"/>
      <c r="G107" s="1085"/>
      <c r="H107" s="1086"/>
      <c r="I107" s="1087"/>
      <c r="J107" s="1086"/>
      <c r="K107" s="1084"/>
      <c r="L107" s="1082"/>
      <c r="M107" s="1082"/>
      <c r="N107" s="1088"/>
      <c r="O107" s="1088"/>
      <c r="P107" s="1088"/>
    </row>
    <row r="108" spans="1:16">
      <c r="A108" s="1081"/>
      <c r="B108" s="1082"/>
      <c r="C108" s="1081"/>
      <c r="D108" s="1083"/>
      <c r="E108" s="1083"/>
      <c r="F108" s="1084"/>
      <c r="G108" s="1085"/>
      <c r="H108" s="1086"/>
      <c r="I108" s="1087"/>
      <c r="J108" s="1086"/>
      <c r="K108" s="1084"/>
      <c r="L108" s="1082"/>
      <c r="M108" s="1082"/>
      <c r="N108" s="1088"/>
      <c r="O108" s="1088"/>
      <c r="P108" s="1088"/>
    </row>
    <row r="109" spans="1:16">
      <c r="A109" s="1081"/>
      <c r="B109" s="1082"/>
      <c r="C109" s="1081"/>
      <c r="D109" s="1083"/>
      <c r="E109" s="1083"/>
      <c r="F109" s="1084"/>
      <c r="G109" s="1085"/>
      <c r="H109" s="1086"/>
      <c r="I109" s="1087"/>
      <c r="J109" s="1086"/>
      <c r="K109" s="1084"/>
      <c r="L109" s="1082"/>
      <c r="M109" s="1082"/>
      <c r="N109" s="1088"/>
      <c r="O109" s="1088"/>
      <c r="P109" s="1088"/>
    </row>
    <row r="110" spans="1:16">
      <c r="A110" s="1081"/>
      <c r="B110" s="1082"/>
      <c r="C110" s="1081"/>
      <c r="D110" s="1083"/>
      <c r="E110" s="1083"/>
      <c r="F110" s="1084"/>
      <c r="G110" s="1085"/>
      <c r="H110" s="1086"/>
      <c r="I110" s="1087"/>
      <c r="J110" s="1086"/>
      <c r="K110" s="1084"/>
      <c r="L110" s="1082"/>
      <c r="M110" s="1082"/>
      <c r="N110" s="1088"/>
      <c r="O110" s="1088"/>
      <c r="P110" s="1088"/>
    </row>
    <row r="111" spans="1:16">
      <c r="A111" s="1081"/>
      <c r="B111" s="1082"/>
      <c r="C111" s="1081"/>
      <c r="D111" s="1083"/>
      <c r="E111" s="1083"/>
      <c r="F111" s="1084"/>
      <c r="G111" s="1085"/>
      <c r="H111" s="1086"/>
      <c r="I111" s="1087"/>
      <c r="J111" s="1086"/>
      <c r="K111" s="1084"/>
      <c r="L111" s="1082"/>
      <c r="M111" s="1082"/>
      <c r="N111" s="1088"/>
      <c r="O111" s="1088"/>
      <c r="P111" s="1088"/>
    </row>
    <row r="112" spans="1:16">
      <c r="A112" s="1081"/>
      <c r="B112" s="1082"/>
      <c r="C112" s="1081"/>
      <c r="D112" s="1083"/>
      <c r="E112" s="1083"/>
      <c r="F112" s="1084"/>
      <c r="G112" s="1085"/>
      <c r="H112" s="1086"/>
      <c r="I112" s="1087"/>
      <c r="J112" s="1086"/>
      <c r="K112" s="1084"/>
      <c r="L112" s="1082"/>
      <c r="M112" s="1082"/>
      <c r="N112" s="1088"/>
      <c r="O112" s="1088"/>
      <c r="P112" s="1088"/>
    </row>
    <row r="113" spans="1:16">
      <c r="A113" s="1081"/>
      <c r="B113" s="1082"/>
      <c r="C113" s="1081"/>
      <c r="D113" s="1083"/>
      <c r="E113" s="1083"/>
      <c r="F113" s="1084"/>
      <c r="G113" s="1085"/>
      <c r="H113" s="1086"/>
      <c r="I113" s="1087"/>
      <c r="J113" s="1086"/>
      <c r="K113" s="1084"/>
      <c r="L113" s="1082"/>
      <c r="M113" s="1082"/>
      <c r="N113" s="1088"/>
      <c r="O113" s="1088"/>
      <c r="P113" s="1088"/>
    </row>
    <row r="114" spans="1:16">
      <c r="A114" s="1081"/>
      <c r="B114" s="1082"/>
      <c r="C114" s="1081"/>
      <c r="D114" s="1083"/>
      <c r="E114" s="1083"/>
      <c r="F114" s="1084"/>
      <c r="G114" s="1085"/>
      <c r="H114" s="1086"/>
      <c r="I114" s="1087"/>
      <c r="J114" s="1086"/>
      <c r="K114" s="1084"/>
      <c r="L114" s="1082"/>
      <c r="M114" s="1082"/>
      <c r="N114" s="1088"/>
      <c r="O114" s="1088"/>
      <c r="P114" s="1088"/>
    </row>
    <row r="115" spans="1:16">
      <c r="A115" s="1081"/>
      <c r="B115" s="1082"/>
      <c r="C115" s="1081"/>
      <c r="D115" s="1083"/>
      <c r="E115" s="1083"/>
      <c r="F115" s="1084"/>
      <c r="G115" s="1085"/>
      <c r="H115" s="1086"/>
      <c r="I115" s="1087"/>
      <c r="J115" s="1086"/>
      <c r="K115" s="1084"/>
      <c r="L115" s="1082"/>
      <c r="M115" s="1082"/>
      <c r="N115" s="1088"/>
      <c r="O115" s="1088"/>
      <c r="P115" s="1088"/>
    </row>
    <row r="116" spans="1:16">
      <c r="A116" s="1081"/>
      <c r="B116" s="1082"/>
      <c r="C116" s="1081"/>
      <c r="D116" s="1083"/>
      <c r="E116" s="1083"/>
      <c r="F116" s="1084"/>
      <c r="G116" s="1085"/>
      <c r="H116" s="1086"/>
      <c r="I116" s="1087"/>
      <c r="J116" s="1086"/>
      <c r="K116" s="1084"/>
      <c r="L116" s="1082"/>
      <c r="M116" s="1082"/>
      <c r="N116" s="1088"/>
      <c r="O116" s="1088"/>
      <c r="P116" s="1088"/>
    </row>
    <row r="117" spans="1:16">
      <c r="A117" s="1081"/>
      <c r="B117" s="1082"/>
      <c r="C117" s="1081"/>
      <c r="D117" s="1083"/>
      <c r="E117" s="1083"/>
      <c r="F117" s="1084"/>
      <c r="G117" s="1085"/>
      <c r="H117" s="1086"/>
      <c r="I117" s="1087"/>
      <c r="J117" s="1086"/>
      <c r="K117" s="1084"/>
      <c r="L117" s="1082"/>
      <c r="M117" s="1082"/>
      <c r="N117" s="1088"/>
      <c r="O117" s="1088"/>
      <c r="P117" s="1088"/>
    </row>
    <row r="118" spans="1:16">
      <c r="A118" s="1081"/>
      <c r="B118" s="1082"/>
      <c r="C118" s="1081"/>
      <c r="D118" s="1083"/>
      <c r="E118" s="1083"/>
      <c r="F118" s="1084"/>
      <c r="G118" s="1085"/>
      <c r="H118" s="1086"/>
      <c r="I118" s="1087"/>
      <c r="J118" s="1086"/>
      <c r="K118" s="1084"/>
      <c r="L118" s="1082"/>
      <c r="M118" s="1082"/>
      <c r="N118" s="1088"/>
      <c r="O118" s="1088"/>
      <c r="P118" s="1088"/>
    </row>
    <row r="119" spans="1:16">
      <c r="A119" s="1081"/>
      <c r="B119" s="1082"/>
      <c r="C119" s="1081"/>
      <c r="D119" s="1083"/>
      <c r="E119" s="1083"/>
      <c r="F119" s="1084"/>
      <c r="G119" s="1085"/>
      <c r="H119" s="1086"/>
      <c r="I119" s="1087"/>
      <c r="J119" s="1086"/>
      <c r="K119" s="1084"/>
      <c r="L119" s="1082"/>
      <c r="M119" s="1082"/>
      <c r="N119" s="1088"/>
      <c r="O119" s="1088"/>
      <c r="P119" s="1088"/>
    </row>
    <row r="120" spans="1:16">
      <c r="A120" s="1081"/>
      <c r="B120" s="1082"/>
      <c r="C120" s="1081"/>
      <c r="D120" s="1083"/>
      <c r="E120" s="1083"/>
      <c r="F120" s="1084"/>
      <c r="G120" s="1085"/>
      <c r="H120" s="1086"/>
      <c r="I120" s="1087"/>
      <c r="J120" s="1086"/>
      <c r="K120" s="1084"/>
      <c r="L120" s="1082"/>
      <c r="M120" s="1082"/>
      <c r="N120" s="1088"/>
      <c r="O120" s="1088"/>
      <c r="P120" s="1088"/>
    </row>
    <row r="121" spans="1:16">
      <c r="A121" s="1081"/>
      <c r="B121" s="1082"/>
      <c r="C121" s="1081"/>
      <c r="D121" s="1083"/>
      <c r="E121" s="1083"/>
      <c r="F121" s="1084"/>
      <c r="G121" s="1085"/>
      <c r="H121" s="1086"/>
      <c r="I121" s="1087"/>
      <c r="J121" s="1086"/>
      <c r="K121" s="1084"/>
      <c r="L121" s="1082"/>
      <c r="M121" s="1082"/>
      <c r="N121" s="1088"/>
      <c r="O121" s="1088"/>
      <c r="P121" s="1088"/>
    </row>
    <row r="122" spans="1:16">
      <c r="A122" s="1081"/>
      <c r="B122" s="1082"/>
      <c r="C122" s="1081"/>
      <c r="D122" s="1083"/>
      <c r="E122" s="1083"/>
      <c r="F122" s="1084"/>
      <c r="G122" s="1085"/>
      <c r="H122" s="1086"/>
      <c r="I122" s="1087"/>
      <c r="J122" s="1086"/>
      <c r="K122" s="1084"/>
      <c r="L122" s="1082"/>
      <c r="M122" s="1082"/>
      <c r="N122" s="1088"/>
      <c r="O122" s="1088"/>
      <c r="P122" s="1088"/>
    </row>
    <row r="123" spans="1:16">
      <c r="A123" s="1081"/>
      <c r="B123" s="1082"/>
      <c r="C123" s="1081"/>
      <c r="D123" s="1083"/>
      <c r="E123" s="1083"/>
      <c r="F123" s="1084"/>
      <c r="G123" s="1085"/>
      <c r="H123" s="1086"/>
      <c r="I123" s="1087"/>
      <c r="J123" s="1086"/>
      <c r="K123" s="1084"/>
      <c r="L123" s="1082"/>
      <c r="M123" s="1082"/>
      <c r="N123" s="1088"/>
      <c r="O123" s="1088"/>
      <c r="P123" s="1088"/>
    </row>
    <row r="124" spans="1:16">
      <c r="A124" s="1081"/>
      <c r="B124" s="1082"/>
      <c r="C124" s="1081"/>
      <c r="D124" s="1083"/>
      <c r="E124" s="1083"/>
      <c r="F124" s="1084"/>
      <c r="G124" s="1085"/>
      <c r="H124" s="1086"/>
      <c r="I124" s="1087"/>
      <c r="J124" s="1086"/>
      <c r="K124" s="1084"/>
      <c r="L124" s="1082"/>
      <c r="M124" s="1082"/>
      <c r="N124" s="1088"/>
      <c r="O124" s="1088"/>
      <c r="P124" s="1088"/>
    </row>
    <row r="125" spans="1:16">
      <c r="A125" s="541"/>
      <c r="B125" s="854"/>
      <c r="C125" s="541"/>
      <c r="D125" s="855"/>
      <c r="E125" s="855"/>
      <c r="F125" s="856"/>
      <c r="G125" s="857"/>
      <c r="H125" s="858"/>
      <c r="I125" s="859"/>
      <c r="J125" s="858"/>
      <c r="K125" s="856"/>
      <c r="L125" s="854"/>
      <c r="M125" s="854"/>
      <c r="N125" s="860"/>
      <c r="O125" s="860"/>
      <c r="P125" s="860"/>
    </row>
  </sheetData>
  <sortState xmlns:xlrd2="http://schemas.microsoft.com/office/spreadsheetml/2017/richdata2" ref="B6:O24">
    <sortCondition ref="O6"/>
  </sortState>
  <mergeCells count="1">
    <mergeCell ref="A1:K2"/>
  </mergeCells>
  <dataValidations count="6">
    <dataValidation allowBlank="1" showInputMessage="1" showErrorMessage="1" prompt="Title of the project. Enter a new title in this cell. Highlight a period in H2. Chart legend is in J2 to AI2" sqref="A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xr:uid="{00000000-0002-0000-1600-000000000000}"/>
    <dataValidation allowBlank="1" showInputMessage="1" showErrorMessage="1" prompt="Enter activity in column B, starting with cell B5_x000a_" sqref="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xr:uid="{00000000-0002-0000-1600-000001000000}"/>
    <dataValidation allowBlank="1" showInputMessage="1" showErrorMessage="1" prompt="Enter plan duration period in column D, starting with cell D5" sqref="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xr:uid="{00000000-0002-0000-1600-000002000000}"/>
    <dataValidation allowBlank="1" showInputMessage="1" showErrorMessage="1" prompt="Enter actual start period in column E, starting with cell E5" sqref="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xr:uid="{00000000-0002-0000-1600-000003000000}"/>
    <dataValidation allowBlank="1" showInputMessage="1" showErrorMessage="1" prompt="Enter actual duration period in column F, starting with cell F5" sqref="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xr:uid="{00000000-0002-0000-1600-000004000000}"/>
    <dataValidation allowBlank="1" showInputMessage="1" showErrorMessage="1" prompt="Enter the percentage of project completed in column G, starting with cell G5" sqref="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xr:uid="{00000000-0002-0000-1600-000005000000}"/>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WVO18"/>
  <sheetViews>
    <sheetView showGridLines="0" zoomScaleNormal="100" workbookViewId="0">
      <selection activeCell="F6" sqref="F6"/>
    </sheetView>
  </sheetViews>
  <sheetFormatPr defaultColWidth="0" defaultRowHeight="14.25"/>
  <cols>
    <col min="1" max="1" width="4.88671875" style="26" bestFit="1" customWidth="1"/>
    <col min="2" max="2" width="4.33203125" style="26" bestFit="1" customWidth="1"/>
    <col min="3" max="3" width="9.77734375" style="26" bestFit="1" customWidth="1"/>
    <col min="4" max="4" width="25.88671875" style="94" customWidth="1"/>
    <col min="5" max="5" width="15.44140625" style="27" customWidth="1"/>
    <col min="6" max="6" width="10.21875" style="28" bestFit="1" customWidth="1"/>
    <col min="7" max="8" width="9.44140625" style="28" bestFit="1" customWidth="1"/>
    <col min="9" max="9" width="10.21875" style="28" bestFit="1" customWidth="1"/>
    <col min="10" max="10" width="9.44140625" style="28" bestFit="1" customWidth="1"/>
    <col min="11" max="11" width="21.44140625" style="28" customWidth="1"/>
    <col min="12" max="12" width="16.44140625" style="27" bestFit="1" customWidth="1"/>
    <col min="13" max="13" width="8.21875" style="96" bestFit="1" customWidth="1"/>
    <col min="14" max="14" width="8.21875" style="98" bestFit="1" customWidth="1"/>
    <col min="15" max="15" width="4.77734375" style="98" bestFit="1" customWidth="1"/>
    <col min="16" max="16" width="4.21875" style="98" customWidth="1"/>
    <col min="17" max="17" width="3.109375" style="98" customWidth="1"/>
    <col min="18" max="65" width="8.88671875" style="98" hidden="1"/>
    <col min="66" max="254" width="8.88671875" style="25" hidden="1"/>
    <col min="255" max="255" width="9" style="25" hidden="1"/>
    <col min="256" max="256" width="29" style="25" hidden="1"/>
    <col min="257" max="257" width="18.77734375" style="25" hidden="1"/>
    <col min="258" max="258" width="26.5546875" style="25" hidden="1"/>
    <col min="259" max="259" width="8.88671875" style="25" hidden="1"/>
    <col min="260" max="260" width="9.6640625" style="25" hidden="1"/>
    <col min="261" max="510" width="8.88671875" style="25" hidden="1"/>
    <col min="511" max="511" width="9" style="25" hidden="1"/>
    <col min="512" max="512" width="29" style="25" hidden="1"/>
    <col min="513" max="513" width="18.77734375" style="25" hidden="1"/>
    <col min="514" max="514" width="26.5546875" style="25" hidden="1"/>
    <col min="515" max="515" width="8.88671875" style="25" hidden="1"/>
    <col min="516" max="516" width="9.6640625" style="25" hidden="1"/>
    <col min="517" max="766" width="8.88671875" style="25" hidden="1"/>
    <col min="767" max="767" width="9" style="25" hidden="1"/>
    <col min="768" max="768" width="29" style="25" hidden="1"/>
    <col min="769" max="769" width="18.77734375" style="25" hidden="1"/>
    <col min="770" max="770" width="26.5546875" style="25" hidden="1"/>
    <col min="771" max="771" width="8.88671875" style="25" hidden="1"/>
    <col min="772" max="772" width="9.6640625" style="25" hidden="1"/>
    <col min="773" max="1022" width="8.88671875" style="25" hidden="1"/>
    <col min="1023" max="1023" width="9" style="25" hidden="1"/>
    <col min="1024" max="1024" width="29" style="25" hidden="1"/>
    <col min="1025" max="1025" width="18.77734375" style="25" hidden="1"/>
    <col min="1026" max="1026" width="26.5546875" style="25" hidden="1"/>
    <col min="1027" max="1027" width="8.88671875" style="25" hidden="1"/>
    <col min="1028" max="1028" width="9.6640625" style="25" hidden="1"/>
    <col min="1029" max="1278" width="8.88671875" style="25" hidden="1"/>
    <col min="1279" max="1279" width="9" style="25" hidden="1"/>
    <col min="1280" max="1280" width="29" style="25" hidden="1"/>
    <col min="1281" max="1281" width="18.77734375" style="25" hidden="1"/>
    <col min="1282" max="1282" width="26.5546875" style="25" hidden="1"/>
    <col min="1283" max="1283" width="8.88671875" style="25" hidden="1"/>
    <col min="1284" max="1284" width="9.6640625" style="25" hidden="1"/>
    <col min="1285" max="1534" width="8.88671875" style="25" hidden="1"/>
    <col min="1535" max="1535" width="9" style="25" hidden="1"/>
    <col min="1536" max="1536" width="29" style="25" hidden="1"/>
    <col min="1537" max="1537" width="18.77734375" style="25" hidden="1"/>
    <col min="1538" max="1538" width="26.5546875" style="25" hidden="1"/>
    <col min="1539" max="1539" width="8.88671875" style="25" hidden="1"/>
    <col min="1540" max="1540" width="9.6640625" style="25" hidden="1"/>
    <col min="1541" max="1790" width="8.88671875" style="25" hidden="1"/>
    <col min="1791" max="1791" width="9" style="25" hidden="1"/>
    <col min="1792" max="1792" width="29" style="25" hidden="1"/>
    <col min="1793" max="1793" width="18.77734375" style="25" hidden="1"/>
    <col min="1794" max="1794" width="26.5546875" style="25" hidden="1"/>
    <col min="1795" max="1795" width="8.88671875" style="25" hidden="1"/>
    <col min="1796" max="1796" width="9.6640625" style="25" hidden="1"/>
    <col min="1797" max="2046" width="8.88671875" style="25" hidden="1"/>
    <col min="2047" max="2047" width="9" style="25" hidden="1"/>
    <col min="2048" max="2048" width="29" style="25" hidden="1"/>
    <col min="2049" max="2049" width="18.77734375" style="25" hidden="1"/>
    <col min="2050" max="2050" width="26.5546875" style="25" hidden="1"/>
    <col min="2051" max="2051" width="8.88671875" style="25" hidden="1"/>
    <col min="2052" max="2052" width="9.6640625" style="25" hidden="1"/>
    <col min="2053" max="2302" width="8.88671875" style="25" hidden="1"/>
    <col min="2303" max="2303" width="9" style="25" hidden="1"/>
    <col min="2304" max="2304" width="29" style="25" hidden="1"/>
    <col min="2305" max="2305" width="18.77734375" style="25" hidden="1"/>
    <col min="2306" max="2306" width="26.5546875" style="25" hidden="1"/>
    <col min="2307" max="2307" width="8.88671875" style="25" hidden="1"/>
    <col min="2308" max="2308" width="9.6640625" style="25" hidden="1"/>
    <col min="2309" max="2558" width="8.88671875" style="25" hidden="1"/>
    <col min="2559" max="2559" width="9" style="25" hidden="1"/>
    <col min="2560" max="2560" width="29" style="25" hidden="1"/>
    <col min="2561" max="2561" width="18.77734375" style="25" hidden="1"/>
    <col min="2562" max="2562" width="26.5546875" style="25" hidden="1"/>
    <col min="2563" max="2563" width="8.88671875" style="25" hidden="1"/>
    <col min="2564" max="2564" width="9.6640625" style="25" hidden="1"/>
    <col min="2565" max="2814" width="8.88671875" style="25" hidden="1"/>
    <col min="2815" max="2815" width="9" style="25" hidden="1"/>
    <col min="2816" max="2816" width="29" style="25" hidden="1"/>
    <col min="2817" max="2817" width="18.77734375" style="25" hidden="1"/>
    <col min="2818" max="2818" width="26.5546875" style="25" hidden="1"/>
    <col min="2819" max="2819" width="8.88671875" style="25" hidden="1"/>
    <col min="2820" max="2820" width="9.6640625" style="25" hidden="1"/>
    <col min="2821" max="3070" width="8.88671875" style="25" hidden="1"/>
    <col min="3071" max="3071" width="9" style="25" hidden="1"/>
    <col min="3072" max="3072" width="29" style="25" hidden="1"/>
    <col min="3073" max="3073" width="18.77734375" style="25" hidden="1"/>
    <col min="3074" max="3074" width="26.5546875" style="25" hidden="1"/>
    <col min="3075" max="3075" width="8.88671875" style="25" hidden="1"/>
    <col min="3076" max="3076" width="9.6640625" style="25" hidden="1"/>
    <col min="3077" max="3326" width="8.88671875" style="25" hidden="1"/>
    <col min="3327" max="3327" width="9" style="25" hidden="1"/>
    <col min="3328" max="3328" width="29" style="25" hidden="1"/>
    <col min="3329" max="3329" width="18.77734375" style="25" hidden="1"/>
    <col min="3330" max="3330" width="26.5546875" style="25" hidden="1"/>
    <col min="3331" max="3331" width="8.88671875" style="25" hidden="1"/>
    <col min="3332" max="3332" width="9.6640625" style="25" hidden="1"/>
    <col min="3333" max="3582" width="8.88671875" style="25" hidden="1"/>
    <col min="3583" max="3583" width="9" style="25" hidden="1"/>
    <col min="3584" max="3584" width="29" style="25" hidden="1"/>
    <col min="3585" max="3585" width="18.77734375" style="25" hidden="1"/>
    <col min="3586" max="3586" width="26.5546875" style="25" hidden="1"/>
    <col min="3587" max="3587" width="8.88671875" style="25" hidden="1"/>
    <col min="3588" max="3588" width="9.6640625" style="25" hidden="1"/>
    <col min="3589" max="3838" width="8.88671875" style="25" hidden="1"/>
    <col min="3839" max="3839" width="9" style="25" hidden="1"/>
    <col min="3840" max="3840" width="29" style="25" hidden="1"/>
    <col min="3841" max="3841" width="18.77734375" style="25" hidden="1"/>
    <col min="3842" max="3842" width="26.5546875" style="25" hidden="1"/>
    <col min="3843" max="3843" width="8.88671875" style="25" hidden="1"/>
    <col min="3844" max="3844" width="9.6640625" style="25" hidden="1"/>
    <col min="3845" max="4094" width="8.88671875" style="25" hidden="1"/>
    <col min="4095" max="4095" width="9" style="25" hidden="1"/>
    <col min="4096" max="4096" width="29" style="25" hidden="1"/>
    <col min="4097" max="4097" width="18.77734375" style="25" hidden="1"/>
    <col min="4098" max="4098" width="26.5546875" style="25" hidden="1"/>
    <col min="4099" max="4099" width="8.88671875" style="25" hidden="1"/>
    <col min="4100" max="4100" width="9.6640625" style="25" hidden="1"/>
    <col min="4101" max="4350" width="8.88671875" style="25" hidden="1"/>
    <col min="4351" max="4351" width="9" style="25" hidden="1"/>
    <col min="4352" max="4352" width="29" style="25" hidden="1"/>
    <col min="4353" max="4353" width="18.77734375" style="25" hidden="1"/>
    <col min="4354" max="4354" width="26.5546875" style="25" hidden="1"/>
    <col min="4355" max="4355" width="8.88671875" style="25" hidden="1"/>
    <col min="4356" max="4356" width="9.6640625" style="25" hidden="1"/>
    <col min="4357" max="4606" width="8.88671875" style="25" hidden="1"/>
    <col min="4607" max="4607" width="9" style="25" hidden="1"/>
    <col min="4608" max="4608" width="29" style="25" hidden="1"/>
    <col min="4609" max="4609" width="18.77734375" style="25" hidden="1"/>
    <col min="4610" max="4610" width="26.5546875" style="25" hidden="1"/>
    <col min="4611" max="4611" width="8.88671875" style="25" hidden="1"/>
    <col min="4612" max="4612" width="9.6640625" style="25" hidden="1"/>
    <col min="4613" max="4862" width="8.88671875" style="25" hidden="1"/>
    <col min="4863" max="4863" width="9" style="25" hidden="1"/>
    <col min="4864" max="4864" width="29" style="25" hidden="1"/>
    <col min="4865" max="4865" width="18.77734375" style="25" hidden="1"/>
    <col min="4866" max="4866" width="26.5546875" style="25" hidden="1"/>
    <col min="4867" max="4867" width="8.88671875" style="25" hidden="1"/>
    <col min="4868" max="4868" width="9.6640625" style="25" hidden="1"/>
    <col min="4869" max="5118" width="8.88671875" style="25" hidden="1"/>
    <col min="5119" max="5119" width="9" style="25" hidden="1"/>
    <col min="5120" max="5120" width="29" style="25" hidden="1"/>
    <col min="5121" max="5121" width="18.77734375" style="25" hidden="1"/>
    <col min="5122" max="5122" width="26.5546875" style="25" hidden="1"/>
    <col min="5123" max="5123" width="8.88671875" style="25" hidden="1"/>
    <col min="5124" max="5124" width="9.6640625" style="25" hidden="1"/>
    <col min="5125" max="5374" width="8.88671875" style="25" hidden="1"/>
    <col min="5375" max="5375" width="9" style="25" hidden="1"/>
    <col min="5376" max="5376" width="29" style="25" hidden="1"/>
    <col min="5377" max="5377" width="18.77734375" style="25" hidden="1"/>
    <col min="5378" max="5378" width="26.5546875" style="25" hidden="1"/>
    <col min="5379" max="5379" width="8.88671875" style="25" hidden="1"/>
    <col min="5380" max="5380" width="9.6640625" style="25" hidden="1"/>
    <col min="5381" max="5630" width="8.88671875" style="25" hidden="1"/>
    <col min="5631" max="5631" width="9" style="25" hidden="1"/>
    <col min="5632" max="5632" width="29" style="25" hidden="1"/>
    <col min="5633" max="5633" width="18.77734375" style="25" hidden="1"/>
    <col min="5634" max="5634" width="26.5546875" style="25" hidden="1"/>
    <col min="5635" max="5635" width="8.88671875" style="25" hidden="1"/>
    <col min="5636" max="5636" width="9.6640625" style="25" hidden="1"/>
    <col min="5637" max="5886" width="8.88671875" style="25" hidden="1"/>
    <col min="5887" max="5887" width="9" style="25" hidden="1"/>
    <col min="5888" max="5888" width="29" style="25" hidden="1"/>
    <col min="5889" max="5889" width="18.77734375" style="25" hidden="1"/>
    <col min="5890" max="5890" width="26.5546875" style="25" hidden="1"/>
    <col min="5891" max="5891" width="8.88671875" style="25" hidden="1"/>
    <col min="5892" max="5892" width="9.6640625" style="25" hidden="1"/>
    <col min="5893" max="6142" width="8.88671875" style="25" hidden="1"/>
    <col min="6143" max="6143" width="9" style="25" hidden="1"/>
    <col min="6144" max="6144" width="29" style="25" hidden="1"/>
    <col min="6145" max="6145" width="18.77734375" style="25" hidden="1"/>
    <col min="6146" max="6146" width="26.5546875" style="25" hidden="1"/>
    <col min="6147" max="6147" width="8.88671875" style="25" hidden="1"/>
    <col min="6148" max="6148" width="9.6640625" style="25" hidden="1"/>
    <col min="6149" max="6398" width="8.88671875" style="25" hidden="1"/>
    <col min="6399" max="6399" width="9" style="25" hidden="1"/>
    <col min="6400" max="6400" width="29" style="25" hidden="1"/>
    <col min="6401" max="6401" width="18.77734375" style="25" hidden="1"/>
    <col min="6402" max="6402" width="26.5546875" style="25" hidden="1"/>
    <col min="6403" max="6403" width="8.88671875" style="25" hidden="1"/>
    <col min="6404" max="6404" width="9.6640625" style="25" hidden="1"/>
    <col min="6405" max="6654" width="8.88671875" style="25" hidden="1"/>
    <col min="6655" max="6655" width="9" style="25" hidden="1"/>
    <col min="6656" max="6656" width="29" style="25" hidden="1"/>
    <col min="6657" max="6657" width="18.77734375" style="25" hidden="1"/>
    <col min="6658" max="6658" width="26.5546875" style="25" hidden="1"/>
    <col min="6659" max="6659" width="8.88671875" style="25" hidden="1"/>
    <col min="6660" max="6660" width="9.6640625" style="25" hidden="1"/>
    <col min="6661" max="6910" width="8.88671875" style="25" hidden="1"/>
    <col min="6911" max="6911" width="9" style="25" hidden="1"/>
    <col min="6912" max="6912" width="29" style="25" hidden="1"/>
    <col min="6913" max="6913" width="18.77734375" style="25" hidden="1"/>
    <col min="6914" max="6914" width="26.5546875" style="25" hidden="1"/>
    <col min="6915" max="6915" width="8.88671875" style="25" hidden="1"/>
    <col min="6916" max="6916" width="9.6640625" style="25" hidden="1"/>
    <col min="6917" max="7166" width="8.88671875" style="25" hidden="1"/>
    <col min="7167" max="7167" width="9" style="25" hidden="1"/>
    <col min="7168" max="7168" width="29" style="25" hidden="1"/>
    <col min="7169" max="7169" width="18.77734375" style="25" hidden="1"/>
    <col min="7170" max="7170" width="26.5546875" style="25" hidden="1"/>
    <col min="7171" max="7171" width="8.88671875" style="25" hidden="1"/>
    <col min="7172" max="7172" width="9.6640625" style="25" hidden="1"/>
    <col min="7173" max="7422" width="8.88671875" style="25" hidden="1"/>
    <col min="7423" max="7423" width="9" style="25" hidden="1"/>
    <col min="7424" max="7424" width="29" style="25" hidden="1"/>
    <col min="7425" max="7425" width="18.77734375" style="25" hidden="1"/>
    <col min="7426" max="7426" width="26.5546875" style="25" hidden="1"/>
    <col min="7427" max="7427" width="8.88671875" style="25" hidden="1"/>
    <col min="7428" max="7428" width="9.6640625" style="25" hidden="1"/>
    <col min="7429" max="7678" width="8.88671875" style="25" hidden="1"/>
    <col min="7679" max="7679" width="9" style="25" hidden="1"/>
    <col min="7680" max="7680" width="29" style="25" hidden="1"/>
    <col min="7681" max="7681" width="18.77734375" style="25" hidden="1"/>
    <col min="7682" max="7682" width="26.5546875" style="25" hidden="1"/>
    <col min="7683" max="7683" width="8.88671875" style="25" hidden="1"/>
    <col min="7684" max="7684" width="9.6640625" style="25" hidden="1"/>
    <col min="7685" max="7934" width="8.88671875" style="25" hidden="1"/>
    <col min="7935" max="7935" width="9" style="25" hidden="1"/>
    <col min="7936" max="7936" width="29" style="25" hidden="1"/>
    <col min="7937" max="7937" width="18.77734375" style="25" hidden="1"/>
    <col min="7938" max="7938" width="26.5546875" style="25" hidden="1"/>
    <col min="7939" max="7939" width="8.88671875" style="25" hidden="1"/>
    <col min="7940" max="7940" width="9.6640625" style="25" hidden="1"/>
    <col min="7941" max="8190" width="8.88671875" style="25" hidden="1"/>
    <col min="8191" max="8191" width="9" style="25" hidden="1"/>
    <col min="8192" max="8192" width="29" style="25" hidden="1"/>
    <col min="8193" max="8193" width="18.77734375" style="25" hidden="1"/>
    <col min="8194" max="8194" width="26.5546875" style="25" hidden="1"/>
    <col min="8195" max="8195" width="8.88671875" style="25" hidden="1"/>
    <col min="8196" max="8196" width="9.6640625" style="25" hidden="1"/>
    <col min="8197" max="8446" width="8.88671875" style="25" hidden="1"/>
    <col min="8447" max="8447" width="9" style="25" hidden="1"/>
    <col min="8448" max="8448" width="29" style="25" hidden="1"/>
    <col min="8449" max="8449" width="18.77734375" style="25" hidden="1"/>
    <col min="8450" max="8450" width="26.5546875" style="25" hidden="1"/>
    <col min="8451" max="8451" width="8.88671875" style="25" hidden="1"/>
    <col min="8452" max="8452" width="9.6640625" style="25" hidden="1"/>
    <col min="8453" max="8702" width="8.88671875" style="25" hidden="1"/>
    <col min="8703" max="8703" width="9" style="25" hidden="1"/>
    <col min="8704" max="8704" width="29" style="25" hidden="1"/>
    <col min="8705" max="8705" width="18.77734375" style="25" hidden="1"/>
    <col min="8706" max="8706" width="26.5546875" style="25" hidden="1"/>
    <col min="8707" max="8707" width="8.88671875" style="25" hidden="1"/>
    <col min="8708" max="8708" width="9.6640625" style="25" hidden="1"/>
    <col min="8709" max="8958" width="8.88671875" style="25" hidden="1"/>
    <col min="8959" max="8959" width="9" style="25" hidden="1"/>
    <col min="8960" max="8960" width="29" style="25" hidden="1"/>
    <col min="8961" max="8961" width="18.77734375" style="25" hidden="1"/>
    <col min="8962" max="8962" width="26.5546875" style="25" hidden="1"/>
    <col min="8963" max="8963" width="8.88671875" style="25" hidden="1"/>
    <col min="8964" max="8964" width="9.6640625" style="25" hidden="1"/>
    <col min="8965" max="9214" width="8.88671875" style="25" hidden="1"/>
    <col min="9215" max="9215" width="9" style="25" hidden="1"/>
    <col min="9216" max="9216" width="29" style="25" hidden="1"/>
    <col min="9217" max="9217" width="18.77734375" style="25" hidden="1"/>
    <col min="9218" max="9218" width="26.5546875" style="25" hidden="1"/>
    <col min="9219" max="9219" width="8.88671875" style="25" hidden="1"/>
    <col min="9220" max="9220" width="9.6640625" style="25" hidden="1"/>
    <col min="9221" max="9470" width="8.88671875" style="25" hidden="1"/>
    <col min="9471" max="9471" width="9" style="25" hidden="1"/>
    <col min="9472" max="9472" width="29" style="25" hidden="1"/>
    <col min="9473" max="9473" width="18.77734375" style="25" hidden="1"/>
    <col min="9474" max="9474" width="26.5546875" style="25" hidden="1"/>
    <col min="9475" max="9475" width="8.88671875" style="25" hidden="1"/>
    <col min="9476" max="9476" width="9.6640625" style="25" hidden="1"/>
    <col min="9477" max="9726" width="8.88671875" style="25" hidden="1"/>
    <col min="9727" max="9727" width="9" style="25" hidden="1"/>
    <col min="9728" max="9728" width="29" style="25" hidden="1"/>
    <col min="9729" max="9729" width="18.77734375" style="25" hidden="1"/>
    <col min="9730" max="9730" width="26.5546875" style="25" hidden="1"/>
    <col min="9731" max="9731" width="8.88671875" style="25" hidden="1"/>
    <col min="9732" max="9732" width="9.6640625" style="25" hidden="1"/>
    <col min="9733" max="9982" width="8.88671875" style="25" hidden="1"/>
    <col min="9983" max="9983" width="9" style="25" hidden="1"/>
    <col min="9984" max="9984" width="29" style="25" hidden="1"/>
    <col min="9985" max="9985" width="18.77734375" style="25" hidden="1"/>
    <col min="9986" max="9986" width="26.5546875" style="25" hidden="1"/>
    <col min="9987" max="9987" width="8.88671875" style="25" hidden="1"/>
    <col min="9988" max="9988" width="9.6640625" style="25" hidden="1"/>
    <col min="9989" max="10238" width="8.88671875" style="25" hidden="1"/>
    <col min="10239" max="10239" width="9" style="25" hidden="1"/>
    <col min="10240" max="10240" width="29" style="25" hidden="1"/>
    <col min="10241" max="10241" width="18.77734375" style="25" hidden="1"/>
    <col min="10242" max="10242" width="26.5546875" style="25" hidden="1"/>
    <col min="10243" max="10243" width="8.88671875" style="25" hidden="1"/>
    <col min="10244" max="10244" width="9.6640625" style="25" hidden="1"/>
    <col min="10245" max="10494" width="8.88671875" style="25" hidden="1"/>
    <col min="10495" max="10495" width="9" style="25" hidden="1"/>
    <col min="10496" max="10496" width="29" style="25" hidden="1"/>
    <col min="10497" max="10497" width="18.77734375" style="25" hidden="1"/>
    <col min="10498" max="10498" width="26.5546875" style="25" hidden="1"/>
    <col min="10499" max="10499" width="8.88671875" style="25" hidden="1"/>
    <col min="10500" max="10500" width="9.6640625" style="25" hidden="1"/>
    <col min="10501" max="10750" width="8.88671875" style="25" hidden="1"/>
    <col min="10751" max="10751" width="9" style="25" hidden="1"/>
    <col min="10752" max="10752" width="29" style="25" hidden="1"/>
    <col min="10753" max="10753" width="18.77734375" style="25" hidden="1"/>
    <col min="10754" max="10754" width="26.5546875" style="25" hidden="1"/>
    <col min="10755" max="10755" width="8.88671875" style="25" hidden="1"/>
    <col min="10756" max="10756" width="9.6640625" style="25" hidden="1"/>
    <col min="10757" max="11006" width="8.88671875" style="25" hidden="1"/>
    <col min="11007" max="11007" width="9" style="25" hidden="1"/>
    <col min="11008" max="11008" width="29" style="25" hidden="1"/>
    <col min="11009" max="11009" width="18.77734375" style="25" hidden="1"/>
    <col min="11010" max="11010" width="26.5546875" style="25" hidden="1"/>
    <col min="11011" max="11011" width="8.88671875" style="25" hidden="1"/>
    <col min="11012" max="11012" width="9.6640625" style="25" hidden="1"/>
    <col min="11013" max="11262" width="8.88671875" style="25" hidden="1"/>
    <col min="11263" max="11263" width="9" style="25" hidden="1"/>
    <col min="11264" max="11264" width="29" style="25" hidden="1"/>
    <col min="11265" max="11265" width="18.77734375" style="25" hidden="1"/>
    <col min="11266" max="11266" width="26.5546875" style="25" hidden="1"/>
    <col min="11267" max="11267" width="8.88671875" style="25" hidden="1"/>
    <col min="11268" max="11268" width="9.6640625" style="25" hidden="1"/>
    <col min="11269" max="11518" width="8.88671875" style="25" hidden="1"/>
    <col min="11519" max="11519" width="9" style="25" hidden="1"/>
    <col min="11520" max="11520" width="29" style="25" hidden="1"/>
    <col min="11521" max="11521" width="18.77734375" style="25" hidden="1"/>
    <col min="11522" max="11522" width="26.5546875" style="25" hidden="1"/>
    <col min="11523" max="11523" width="8.88671875" style="25" hidden="1"/>
    <col min="11524" max="11524" width="9.6640625" style="25" hidden="1"/>
    <col min="11525" max="11774" width="8.88671875" style="25" hidden="1"/>
    <col min="11775" max="11775" width="9" style="25" hidden="1"/>
    <col min="11776" max="11776" width="29" style="25" hidden="1"/>
    <col min="11777" max="11777" width="18.77734375" style="25" hidden="1"/>
    <col min="11778" max="11778" width="26.5546875" style="25" hidden="1"/>
    <col min="11779" max="11779" width="8.88671875" style="25" hidden="1"/>
    <col min="11780" max="11780" width="9.6640625" style="25" hidden="1"/>
    <col min="11781" max="12030" width="8.88671875" style="25" hidden="1"/>
    <col min="12031" max="12031" width="9" style="25" hidden="1"/>
    <col min="12032" max="12032" width="29" style="25" hidden="1"/>
    <col min="12033" max="12033" width="18.77734375" style="25" hidden="1"/>
    <col min="12034" max="12034" width="26.5546875" style="25" hidden="1"/>
    <col min="12035" max="12035" width="8.88671875" style="25" hidden="1"/>
    <col min="12036" max="12036" width="9.6640625" style="25" hidden="1"/>
    <col min="12037" max="12286" width="8.88671875" style="25" hidden="1"/>
    <col min="12287" max="12287" width="9" style="25" hidden="1"/>
    <col min="12288" max="12288" width="29" style="25" hidden="1"/>
    <col min="12289" max="12289" width="18.77734375" style="25" hidden="1"/>
    <col min="12290" max="12290" width="26.5546875" style="25" hidden="1"/>
    <col min="12291" max="12291" width="8.88671875" style="25" hidden="1"/>
    <col min="12292" max="12292" width="9.6640625" style="25" hidden="1"/>
    <col min="12293" max="12542" width="8.88671875" style="25" hidden="1"/>
    <col min="12543" max="12543" width="9" style="25" hidden="1"/>
    <col min="12544" max="12544" width="29" style="25" hidden="1"/>
    <col min="12545" max="12545" width="18.77734375" style="25" hidden="1"/>
    <col min="12546" max="12546" width="26.5546875" style="25" hidden="1"/>
    <col min="12547" max="12547" width="8.88671875" style="25" hidden="1"/>
    <col min="12548" max="12548" width="9.6640625" style="25" hidden="1"/>
    <col min="12549" max="12798" width="8.88671875" style="25" hidden="1"/>
    <col min="12799" max="12799" width="9" style="25" hidden="1"/>
    <col min="12800" max="12800" width="29" style="25" hidden="1"/>
    <col min="12801" max="12801" width="18.77734375" style="25" hidden="1"/>
    <col min="12802" max="12802" width="26.5546875" style="25" hidden="1"/>
    <col min="12803" max="12803" width="8.88671875" style="25" hidden="1"/>
    <col min="12804" max="12804" width="9.6640625" style="25" hidden="1"/>
    <col min="12805" max="13054" width="8.88671875" style="25" hidden="1"/>
    <col min="13055" max="13055" width="9" style="25" hidden="1"/>
    <col min="13056" max="13056" width="29" style="25" hidden="1"/>
    <col min="13057" max="13057" width="18.77734375" style="25" hidden="1"/>
    <col min="13058" max="13058" width="26.5546875" style="25" hidden="1"/>
    <col min="13059" max="13059" width="8.88671875" style="25" hidden="1"/>
    <col min="13060" max="13060" width="9.6640625" style="25" hidden="1"/>
    <col min="13061" max="13310" width="8.88671875" style="25" hidden="1"/>
    <col min="13311" max="13311" width="9" style="25" hidden="1"/>
    <col min="13312" max="13312" width="29" style="25" hidden="1"/>
    <col min="13313" max="13313" width="18.77734375" style="25" hidden="1"/>
    <col min="13314" max="13314" width="26.5546875" style="25" hidden="1"/>
    <col min="13315" max="13315" width="8.88671875" style="25" hidden="1"/>
    <col min="13316" max="13316" width="9.6640625" style="25" hidden="1"/>
    <col min="13317" max="13566" width="8.88671875" style="25" hidden="1"/>
    <col min="13567" max="13567" width="9" style="25" hidden="1"/>
    <col min="13568" max="13568" width="29" style="25" hidden="1"/>
    <col min="13569" max="13569" width="18.77734375" style="25" hidden="1"/>
    <col min="13570" max="13570" width="26.5546875" style="25" hidden="1"/>
    <col min="13571" max="13571" width="8.88671875" style="25" hidden="1"/>
    <col min="13572" max="13572" width="9.6640625" style="25" hidden="1"/>
    <col min="13573" max="13822" width="8.88671875" style="25" hidden="1"/>
    <col min="13823" max="13823" width="9" style="25" hidden="1"/>
    <col min="13824" max="13824" width="29" style="25" hidden="1"/>
    <col min="13825" max="13825" width="18.77734375" style="25" hidden="1"/>
    <col min="13826" max="13826" width="26.5546875" style="25" hidden="1"/>
    <col min="13827" max="13827" width="8.88671875" style="25" hidden="1"/>
    <col min="13828" max="13828" width="9.6640625" style="25" hidden="1"/>
    <col min="13829" max="14078" width="8.88671875" style="25" hidden="1"/>
    <col min="14079" max="14079" width="9" style="25" hidden="1"/>
    <col min="14080" max="14080" width="29" style="25" hidden="1"/>
    <col min="14081" max="14081" width="18.77734375" style="25" hidden="1"/>
    <col min="14082" max="14082" width="26.5546875" style="25" hidden="1"/>
    <col min="14083" max="14083" width="8.88671875" style="25" hidden="1"/>
    <col min="14084" max="14084" width="9.6640625" style="25" hidden="1"/>
    <col min="14085" max="14334" width="8.88671875" style="25" hidden="1"/>
    <col min="14335" max="14335" width="9" style="25" hidden="1"/>
    <col min="14336" max="14336" width="29" style="25" hidden="1"/>
    <col min="14337" max="14337" width="18.77734375" style="25" hidden="1"/>
    <col min="14338" max="14338" width="26.5546875" style="25" hidden="1"/>
    <col min="14339" max="14339" width="8.88671875" style="25" hidden="1"/>
    <col min="14340" max="14340" width="9.6640625" style="25" hidden="1"/>
    <col min="14341" max="14590" width="8.88671875" style="25" hidden="1"/>
    <col min="14591" max="14591" width="9" style="25" hidden="1"/>
    <col min="14592" max="14592" width="29" style="25" hidden="1"/>
    <col min="14593" max="14593" width="18.77734375" style="25" hidden="1"/>
    <col min="14594" max="14594" width="26.5546875" style="25" hidden="1"/>
    <col min="14595" max="14595" width="8.88671875" style="25" hidden="1"/>
    <col min="14596" max="14596" width="9.6640625" style="25" hidden="1"/>
    <col min="14597" max="14846" width="8.88671875" style="25" hidden="1"/>
    <col min="14847" max="14847" width="9" style="25" hidden="1"/>
    <col min="14848" max="14848" width="29" style="25" hidden="1"/>
    <col min="14849" max="14849" width="18.77734375" style="25" hidden="1"/>
    <col min="14850" max="14850" width="26.5546875" style="25" hidden="1"/>
    <col min="14851" max="14851" width="8.88671875" style="25" hidden="1"/>
    <col min="14852" max="14852" width="9.6640625" style="25" hidden="1"/>
    <col min="14853" max="15102" width="8.88671875" style="25" hidden="1"/>
    <col min="15103" max="15103" width="9" style="25" hidden="1"/>
    <col min="15104" max="15104" width="29" style="25" hidden="1"/>
    <col min="15105" max="15105" width="18.77734375" style="25" hidden="1"/>
    <col min="15106" max="15106" width="26.5546875" style="25" hidden="1"/>
    <col min="15107" max="15107" width="8.88671875" style="25" hidden="1"/>
    <col min="15108" max="15108" width="9.6640625" style="25" hidden="1"/>
    <col min="15109" max="15358" width="8.88671875" style="25" hidden="1"/>
    <col min="15359" max="15359" width="9" style="25" hidden="1"/>
    <col min="15360" max="15360" width="29" style="25" hidden="1"/>
    <col min="15361" max="15361" width="18.77734375" style="25" hidden="1"/>
    <col min="15362" max="15362" width="26.5546875" style="25" hidden="1"/>
    <col min="15363" max="15363" width="8.88671875" style="25" hidden="1"/>
    <col min="15364" max="15364" width="9.6640625" style="25" hidden="1"/>
    <col min="15365" max="15614" width="8.88671875" style="25" hidden="1"/>
    <col min="15615" max="15615" width="9" style="25" hidden="1"/>
    <col min="15616" max="15616" width="29" style="25" hidden="1"/>
    <col min="15617" max="15617" width="18.77734375" style="25" hidden="1"/>
    <col min="15618" max="15618" width="26.5546875" style="25" hidden="1"/>
    <col min="15619" max="15619" width="8.88671875" style="25" hidden="1"/>
    <col min="15620" max="15620" width="9.6640625" style="25" hidden="1"/>
    <col min="15621" max="15870" width="8.88671875" style="25" hidden="1"/>
    <col min="15871" max="15871" width="9" style="25" hidden="1"/>
    <col min="15872" max="15872" width="29" style="25" hidden="1"/>
    <col min="15873" max="15873" width="18.77734375" style="25" hidden="1"/>
    <col min="15874" max="15874" width="26.5546875" style="25" hidden="1"/>
    <col min="15875" max="15875" width="8.88671875" style="25" hidden="1"/>
    <col min="15876" max="15876" width="9.6640625" style="25" hidden="1"/>
    <col min="15877" max="16126" width="8.88671875" style="25" hidden="1"/>
    <col min="16127" max="16127" width="9" style="25" hidden="1"/>
    <col min="16128" max="16128" width="29" style="25" hidden="1"/>
    <col min="16129" max="16129" width="18.77734375" style="25" hidden="1"/>
    <col min="16130" max="16130" width="26.5546875" style="25" hidden="1"/>
    <col min="16131" max="16131" width="8.88671875" style="25" hidden="1"/>
    <col min="16132" max="16132" width="9.6640625" style="25" hidden="1"/>
    <col min="16133" max="16133" width="8.88671875" style="25" hidden="1"/>
    <col min="16134" max="16135" width="9.6640625" style="25" hidden="1"/>
    <col min="16136" max="16384" width="8.88671875" style="25" hidden="1"/>
  </cols>
  <sheetData>
    <row r="1" spans="1:65" s="24" customFormat="1" ht="27" customHeight="1">
      <c r="A1" s="1438" t="s">
        <v>66</v>
      </c>
      <c r="B1" s="1438"/>
      <c r="C1" s="1438"/>
      <c r="D1" s="1438"/>
      <c r="E1" s="126"/>
      <c r="F1" s="126"/>
      <c r="G1" s="126"/>
      <c r="H1" s="126"/>
      <c r="I1" s="126"/>
      <c r="J1" s="126"/>
      <c r="K1" s="126"/>
      <c r="L1" s="127"/>
      <c r="M1" s="126"/>
      <c r="N1" s="128"/>
      <c r="O1" s="128"/>
      <c r="P1" s="595" t="s">
        <v>173</v>
      </c>
      <c r="Q1" s="111"/>
    </row>
    <row r="2" spans="1:65" s="24" customFormat="1" ht="19.5" customHeight="1">
      <c r="A2" s="1438"/>
      <c r="B2" s="1438"/>
      <c r="C2" s="1438"/>
      <c r="D2" s="1438"/>
      <c r="E2" s="126"/>
      <c r="F2" s="126"/>
      <c r="G2" s="126"/>
      <c r="H2" s="126"/>
      <c r="I2" s="126"/>
      <c r="J2" s="126"/>
      <c r="K2" s="126"/>
      <c r="L2" s="127"/>
      <c r="M2" s="126"/>
      <c r="N2" s="128"/>
      <c r="O2" s="128"/>
      <c r="P2" s="128"/>
      <c r="Q2" s="111"/>
      <c r="R2" s="111"/>
      <c r="S2" s="111"/>
      <c r="T2" s="111"/>
    </row>
    <row r="3" spans="1:65" s="24" customFormat="1" ht="18" customHeight="1">
      <c r="A3" s="549" t="str">
        <f>Nhattrinh!E1</f>
        <v xml:space="preserve">     Công trình: Gia cố nâng cấp kênh Bà Xoài từ K0+300÷K0+600 - Hệ thống thủy lợi Nha Trinh, huyện Ninh Hải, tỉnh Ninh Thuận</v>
      </c>
      <c r="B3" s="552"/>
      <c r="C3" s="552"/>
      <c r="D3" s="552"/>
      <c r="E3" s="549"/>
      <c r="F3" s="549"/>
      <c r="G3" s="549"/>
      <c r="H3" s="549"/>
      <c r="I3" s="549"/>
      <c r="J3" s="549"/>
      <c r="K3" s="549"/>
      <c r="L3" s="548"/>
      <c r="M3" s="549"/>
      <c r="N3" s="550"/>
      <c r="O3" s="550"/>
      <c r="P3" s="550"/>
      <c r="Q3" s="553"/>
      <c r="R3" s="111"/>
      <c r="S3" s="111"/>
      <c r="T3" s="111"/>
    </row>
    <row r="4" spans="1:65" s="24" customFormat="1" ht="18" customHeight="1">
      <c r="A4" s="554" t="str">
        <f>Nhattrinh!E2</f>
        <v xml:space="preserve">     Địa điểm XD: Huyện Ninh Hải - Tỉnh Ninh Thuận</v>
      </c>
      <c r="B4" s="555"/>
      <c r="C4" s="555"/>
      <c r="D4" s="555"/>
      <c r="E4" s="554"/>
      <c r="F4" s="554"/>
      <c r="G4" s="554"/>
      <c r="H4" s="554"/>
      <c r="I4" s="554"/>
      <c r="J4" s="554"/>
      <c r="K4" s="554"/>
      <c r="L4" s="551"/>
      <c r="M4" s="554"/>
      <c r="N4" s="556"/>
      <c r="O4" s="556"/>
      <c r="P4" s="556"/>
      <c r="Q4" s="557"/>
      <c r="R4" s="111"/>
      <c r="S4" s="111"/>
      <c r="T4" s="111"/>
    </row>
    <row r="5" spans="1:65" s="24" customFormat="1" ht="28.5">
      <c r="A5" s="3" t="s">
        <v>64</v>
      </c>
      <c r="B5" s="3" t="s">
        <v>4273</v>
      </c>
      <c r="C5" s="3" t="s">
        <v>29</v>
      </c>
      <c r="D5" s="3" t="s">
        <v>23</v>
      </c>
      <c r="E5" s="3" t="s">
        <v>30</v>
      </c>
      <c r="F5" s="568" t="s">
        <v>1078</v>
      </c>
      <c r="G5" s="159" t="s">
        <v>1077</v>
      </c>
      <c r="H5" s="4" t="s">
        <v>32</v>
      </c>
      <c r="I5" s="571" t="s">
        <v>4282</v>
      </c>
      <c r="J5" s="4" t="s">
        <v>65</v>
      </c>
      <c r="K5" s="3" t="s">
        <v>31</v>
      </c>
      <c r="L5" s="3" t="s">
        <v>26</v>
      </c>
      <c r="M5" s="3" t="s">
        <v>1076</v>
      </c>
      <c r="N5" s="3" t="s">
        <v>177</v>
      </c>
      <c r="O5" s="3" t="s">
        <v>408</v>
      </c>
      <c r="P5" s="3" t="s">
        <v>168</v>
      </c>
      <c r="Q5" s="3"/>
      <c r="R5" s="3" t="s">
        <v>408</v>
      </c>
      <c r="S5" s="3" t="s">
        <v>168</v>
      </c>
      <c r="T5" s="111"/>
    </row>
    <row r="6" spans="1:65" s="95" customFormat="1" ht="20.25" customHeight="1">
      <c r="A6" s="1247">
        <v>1</v>
      </c>
      <c r="B6" s="1248">
        <v>101</v>
      </c>
      <c r="C6" s="1248" t="s">
        <v>407</v>
      </c>
      <c r="D6" s="1249" t="s">
        <v>4432</v>
      </c>
      <c r="E6" s="1250" t="s">
        <v>5951</v>
      </c>
      <c r="F6" s="1251" t="s">
        <v>6241</v>
      </c>
      <c r="G6" s="1251">
        <v>43988</v>
      </c>
      <c r="H6" s="1251">
        <v>43988</v>
      </c>
      <c r="I6" s="1251" t="s">
        <v>5784</v>
      </c>
      <c r="J6" s="1251">
        <v>43989</v>
      </c>
      <c r="K6" s="1251" t="s">
        <v>5867</v>
      </c>
      <c r="L6" s="1252" t="s">
        <v>5868</v>
      </c>
      <c r="M6" s="1253">
        <v>1</v>
      </c>
      <c r="N6" s="1254">
        <v>1</v>
      </c>
      <c r="O6" s="1254">
        <f>RANK(J6,$J$4:$J$1500,1)+COUNTIF($J$4:J6,J6)-1</f>
        <v>1</v>
      </c>
      <c r="P6" s="1254">
        <v>1</v>
      </c>
      <c r="Q6" s="112"/>
      <c r="R6" s="112"/>
      <c r="S6" s="112"/>
      <c r="T6" s="112"/>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row>
    <row r="7" spans="1:65">
      <c r="A7" s="1091"/>
      <c r="B7" s="1091"/>
      <c r="C7" s="1091"/>
      <c r="D7" s="1092"/>
      <c r="E7" s="1093"/>
      <c r="F7" s="1094"/>
      <c r="G7" s="1094"/>
      <c r="H7" s="1094"/>
      <c r="I7" s="1094"/>
      <c r="J7" s="1094"/>
      <c r="K7" s="1094"/>
      <c r="L7" s="1093"/>
      <c r="M7" s="1095"/>
      <c r="N7" s="1096"/>
      <c r="O7" s="1096"/>
      <c r="P7" s="1096"/>
      <c r="Q7" s="99"/>
      <c r="R7" s="99"/>
      <c r="S7" s="99"/>
      <c r="T7" s="99"/>
    </row>
    <row r="8" spans="1:65">
      <c r="A8" s="1091"/>
      <c r="B8" s="1090"/>
      <c r="C8" s="1097"/>
      <c r="D8" s="1098"/>
      <c r="E8" s="1099"/>
      <c r="F8" s="1100"/>
      <c r="G8" s="1101"/>
      <c r="H8" s="1101"/>
      <c r="I8" s="1101"/>
      <c r="J8" s="1101"/>
      <c r="K8" s="1101"/>
      <c r="L8" s="1102"/>
      <c r="M8" s="1103"/>
      <c r="N8" s="1104"/>
      <c r="O8" s="1104"/>
      <c r="P8" s="1104"/>
      <c r="Q8" s="99"/>
      <c r="R8" s="99"/>
      <c r="S8" s="99"/>
      <c r="T8" s="99"/>
    </row>
    <row r="9" spans="1:65">
      <c r="A9" s="1091"/>
      <c r="B9" s="1091"/>
      <c r="C9" s="1091"/>
      <c r="D9" s="1092"/>
      <c r="E9" s="1093"/>
      <c r="F9" s="1094"/>
      <c r="G9" s="1094"/>
      <c r="H9" s="1094"/>
      <c r="I9" s="1094"/>
      <c r="J9" s="1094"/>
      <c r="K9" s="1094"/>
      <c r="L9" s="1093"/>
      <c r="M9" s="1095"/>
      <c r="N9" s="1096"/>
      <c r="O9" s="1096"/>
      <c r="P9" s="1096"/>
      <c r="Q9" s="99"/>
    </row>
    <row r="10" spans="1:65">
      <c r="A10" s="1091"/>
      <c r="B10" s="1091"/>
      <c r="C10" s="1091"/>
      <c r="D10" s="1092"/>
      <c r="E10" s="1093"/>
      <c r="F10" s="1094"/>
      <c r="G10" s="1094"/>
      <c r="H10" s="1094"/>
      <c r="I10" s="1094"/>
      <c r="J10" s="1094"/>
      <c r="K10" s="1094"/>
      <c r="L10" s="1093"/>
      <c r="M10" s="1095"/>
      <c r="N10" s="1096"/>
      <c r="O10" s="1096"/>
      <c r="P10" s="1096"/>
      <c r="Q10" s="99"/>
    </row>
    <row r="11" spans="1:65">
      <c r="A11" s="1091"/>
      <c r="B11" s="1091"/>
      <c r="C11" s="1091"/>
      <c r="D11" s="1092"/>
      <c r="E11" s="1093"/>
      <c r="F11" s="1094"/>
      <c r="G11" s="1094"/>
      <c r="H11" s="1094"/>
      <c r="I11" s="1094"/>
      <c r="J11" s="1094"/>
      <c r="K11" s="1094"/>
      <c r="L11" s="1093"/>
      <c r="M11" s="1095"/>
      <c r="N11" s="1096"/>
      <c r="O11" s="1096"/>
      <c r="P11" s="1096"/>
      <c r="Q11" s="99"/>
    </row>
    <row r="12" spans="1:65">
      <c r="A12" s="1091"/>
      <c r="B12" s="1091"/>
      <c r="C12" s="1091"/>
      <c r="D12" s="1092"/>
      <c r="E12" s="1093"/>
      <c r="F12" s="1094"/>
      <c r="G12" s="1094"/>
      <c r="H12" s="1094"/>
      <c r="I12" s="1094"/>
      <c r="J12" s="1094"/>
      <c r="K12" s="1094"/>
      <c r="L12" s="1093"/>
      <c r="M12" s="1095"/>
      <c r="N12" s="1096"/>
      <c r="O12" s="1096"/>
      <c r="P12" s="1096"/>
    </row>
    <row r="13" spans="1:65">
      <c r="A13" s="1091"/>
      <c r="B13" s="1091"/>
      <c r="C13" s="1091"/>
      <c r="D13" s="1092"/>
      <c r="E13" s="1093"/>
      <c r="F13" s="1094"/>
      <c r="G13" s="1094"/>
      <c r="H13" s="1094"/>
      <c r="I13" s="1094"/>
      <c r="J13" s="1094"/>
      <c r="K13" s="1094"/>
      <c r="L13" s="1093"/>
      <c r="M13" s="1095"/>
      <c r="N13" s="1096"/>
      <c r="O13" s="1096"/>
      <c r="P13" s="1096"/>
    </row>
    <row r="14" spans="1:65">
      <c r="A14" s="1091"/>
      <c r="B14" s="1091"/>
      <c r="C14" s="1091"/>
      <c r="D14" s="1092"/>
      <c r="E14" s="1093"/>
      <c r="F14" s="1094"/>
      <c r="G14" s="1094"/>
      <c r="H14" s="1094"/>
      <c r="I14" s="1094"/>
      <c r="J14" s="1094"/>
      <c r="K14" s="1094"/>
      <c r="L14" s="1093"/>
      <c r="M14" s="1095"/>
      <c r="N14" s="1096"/>
      <c r="O14" s="1096"/>
      <c r="P14" s="1096"/>
    </row>
    <row r="15" spans="1:65">
      <c r="A15" s="1091"/>
      <c r="B15" s="1091"/>
      <c r="C15" s="1091"/>
      <c r="D15" s="1092"/>
      <c r="E15" s="1093"/>
      <c r="F15" s="1094"/>
      <c r="G15" s="1094"/>
      <c r="H15" s="1094"/>
      <c r="I15" s="1094"/>
      <c r="J15" s="1094"/>
      <c r="K15" s="1094"/>
      <c r="L15" s="1093"/>
      <c r="M15" s="1095"/>
      <c r="N15" s="1096"/>
      <c r="O15" s="1096"/>
      <c r="P15" s="1096"/>
    </row>
    <row r="16" spans="1:65">
      <c r="A16" s="1091"/>
      <c r="B16" s="1091"/>
      <c r="C16" s="1091"/>
      <c r="D16" s="1092"/>
      <c r="E16" s="1093"/>
      <c r="F16" s="1094"/>
      <c r="G16" s="1094"/>
      <c r="H16" s="1094"/>
      <c r="I16" s="1094"/>
      <c r="J16" s="1094"/>
      <c r="K16" s="1094"/>
      <c r="L16" s="1093"/>
      <c r="M16" s="1095"/>
      <c r="N16" s="1096"/>
      <c r="O16" s="1096"/>
      <c r="P16" s="1096"/>
    </row>
    <row r="17" spans="1:16">
      <c r="A17" s="1091"/>
      <c r="B17" s="1091"/>
      <c r="C17" s="1091"/>
      <c r="D17" s="1092"/>
      <c r="E17" s="1093"/>
      <c r="F17" s="1094"/>
      <c r="G17" s="1094"/>
      <c r="H17" s="1094"/>
      <c r="I17" s="1094"/>
      <c r="J17" s="1094"/>
      <c r="K17" s="1094"/>
      <c r="L17" s="1093"/>
      <c r="M17" s="1095"/>
      <c r="N17" s="1096"/>
      <c r="O17" s="1096"/>
      <c r="P17" s="1096"/>
    </row>
    <row r="18" spans="1:16">
      <c r="A18" s="861"/>
      <c r="B18" s="861"/>
      <c r="C18" s="861"/>
      <c r="D18" s="862"/>
      <c r="E18" s="863"/>
      <c r="F18" s="864"/>
      <c r="G18" s="864"/>
      <c r="H18" s="864"/>
      <c r="I18" s="864"/>
      <c r="J18" s="864"/>
      <c r="K18" s="864"/>
      <c r="L18" s="863"/>
      <c r="M18" s="865"/>
      <c r="N18" s="99"/>
      <c r="O18" s="99"/>
      <c r="P18" s="99"/>
    </row>
  </sheetData>
  <sortState xmlns:xlrd2="http://schemas.microsoft.com/office/spreadsheetml/2017/richdata2" ref="B6:O7">
    <sortCondition ref="O6"/>
  </sortState>
  <mergeCells count="1">
    <mergeCell ref="A1:D2"/>
  </mergeCells>
  <dataValidations count="6">
    <dataValidation allowBlank="1" showInputMessage="1" showErrorMessage="1" prompt="Enter the percentage of project completed in column G, starting with cell G5" sqref="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xr:uid="{00000000-0002-0000-1700-000000000000}"/>
    <dataValidation allowBlank="1" showInputMessage="1" showErrorMessage="1" prompt="Enter actual duration period in column F, starting with cell F5" sqref="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xr:uid="{00000000-0002-0000-1700-000001000000}"/>
    <dataValidation allowBlank="1" showInputMessage="1" showErrorMessage="1" prompt="Enter actual start period in column E, starting with cell E5" sqref="IT5 SP5 ACL5 AMH5 AWD5 BFZ5 BPV5 BZR5 CJN5 CTJ5 DDF5 DNB5 DWX5 EGT5 EQP5 FAL5 FKH5 FUD5 GDZ5 GNV5 GXR5 HHN5 HRJ5 IBF5 ILB5 IUX5 JET5 JOP5 JYL5 KIH5 KSD5 LBZ5 LLV5 LVR5 MFN5 MPJ5 MZF5 NJB5 NSX5 OCT5 OMP5 OWL5 PGH5 PQD5 PZZ5 QJV5 QTR5 RDN5 RNJ5 RXF5 SHB5 SQX5 TAT5 TKP5 TUL5 UEH5 UOD5 UXZ5 VHV5 VRR5 WBN5 WLJ5 WVF5" xr:uid="{00000000-0002-0000-1700-000002000000}"/>
    <dataValidation allowBlank="1" showInputMessage="1" showErrorMessage="1" prompt="Enter plan duration period in column D, starting with cell D5" sqref="IS5 SO5 ACK5 AMG5 AWC5 BFY5 BPU5 BZQ5 CJM5 CTI5 DDE5 DNA5 DWW5 EGS5 EQO5 FAK5 FKG5 FUC5 GDY5 GNU5 GXQ5 HHM5 HRI5 IBE5 ILA5 IUW5 JES5 JOO5 JYK5 KIG5 KSC5 LBY5 LLU5 LVQ5 MFM5 MPI5 MZE5 NJA5 NSW5 OCS5 OMO5 OWK5 PGG5 PQC5 PZY5 QJU5 QTQ5 RDM5 RNI5 RXE5 SHA5 SQW5 TAS5 TKO5 TUK5 UEG5 UOC5 UXY5 VHU5 VRQ5 WBM5 WLI5 WVE5" xr:uid="{00000000-0002-0000-1700-000003000000}"/>
    <dataValidation allowBlank="1" showInputMessage="1" showErrorMessage="1" prompt="Enter activity in column B, starting with cell B5_x000a_" sqref="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xr:uid="{00000000-0002-0000-1700-000004000000}"/>
    <dataValidation allowBlank="1" showInputMessage="1" showErrorMessage="1" prompt="Title of the project. Enter a new title in this cell. Highlight a period in H2. Chart legend is in J2 to AI2" sqref="A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xr:uid="{00000000-0002-0000-1700-00000500000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tabColor rgb="FFFF0000"/>
  </sheetPr>
  <dimension ref="A1:WVP19"/>
  <sheetViews>
    <sheetView zoomScaleNormal="100" workbookViewId="0">
      <selection activeCell="E6" sqref="E6"/>
    </sheetView>
  </sheetViews>
  <sheetFormatPr defaultColWidth="0" defaultRowHeight="15"/>
  <cols>
    <col min="1" max="1" width="4.88671875" style="581" bestFit="1" customWidth="1"/>
    <col min="2" max="2" width="4.21875" style="581" bestFit="1" customWidth="1"/>
    <col min="3" max="3" width="9.6640625" style="581" bestFit="1" customWidth="1"/>
    <col min="4" max="4" width="25.88671875" style="582" customWidth="1"/>
    <col min="5" max="5" width="15.44140625" style="583" customWidth="1"/>
    <col min="6" max="6" width="9.6640625" style="584" customWidth="1"/>
    <col min="7" max="7" width="9.109375" style="584" bestFit="1" customWidth="1"/>
    <col min="8" max="8" width="8.88671875" style="584" bestFit="1" customWidth="1"/>
    <col min="9" max="9" width="9.109375" style="584" bestFit="1" customWidth="1"/>
    <col min="10" max="10" width="7.44140625" style="584" bestFit="1" customWidth="1"/>
    <col min="11" max="11" width="9.44140625" style="584" customWidth="1"/>
    <col min="12" max="12" width="13.33203125" style="584" customWidth="1"/>
    <col min="13" max="13" width="16.44140625" style="585" bestFit="1" customWidth="1"/>
    <col min="14" max="14" width="6.44140625" style="581" customWidth="1"/>
    <col min="15" max="15" width="6" style="590" customWidth="1"/>
    <col min="16" max="16" width="5.88671875" style="591" customWidth="1"/>
    <col min="17" max="17" width="4.21875" style="590" customWidth="1"/>
    <col min="18" max="18" width="3.109375" style="579" customWidth="1"/>
    <col min="19" max="66" width="8.88671875" style="579" hidden="1"/>
    <col min="67" max="255" width="8.88671875" style="580" hidden="1"/>
    <col min="256" max="256" width="9" style="580" hidden="1"/>
    <col min="257" max="257" width="29" style="580" hidden="1"/>
    <col min="258" max="258" width="18.77734375" style="580" hidden="1"/>
    <col min="259" max="259" width="26.5546875" style="580" hidden="1"/>
    <col min="260" max="260" width="8.88671875" style="580" hidden="1"/>
    <col min="261" max="261" width="9.6640625" style="580" hidden="1"/>
    <col min="262" max="511" width="8.88671875" style="580" hidden="1"/>
    <col min="512" max="512" width="9" style="580" hidden="1"/>
    <col min="513" max="513" width="29" style="580" hidden="1"/>
    <col min="514" max="514" width="18.77734375" style="580" hidden="1"/>
    <col min="515" max="515" width="26.5546875" style="580" hidden="1"/>
    <col min="516" max="516" width="8.88671875" style="580" hidden="1"/>
    <col min="517" max="517" width="9.6640625" style="580" hidden="1"/>
    <col min="518" max="767" width="8.88671875" style="580" hidden="1"/>
    <col min="768" max="768" width="9" style="580" hidden="1"/>
    <col min="769" max="769" width="29" style="580" hidden="1"/>
    <col min="770" max="770" width="18.77734375" style="580" hidden="1"/>
    <col min="771" max="771" width="26.5546875" style="580" hidden="1"/>
    <col min="772" max="772" width="8.88671875" style="580" hidden="1"/>
    <col min="773" max="773" width="9.6640625" style="580" hidden="1"/>
    <col min="774" max="1023" width="8.88671875" style="580" hidden="1"/>
    <col min="1024" max="1024" width="9" style="580" hidden="1"/>
    <col min="1025" max="1025" width="29" style="580" hidden="1"/>
    <col min="1026" max="1026" width="18.77734375" style="580" hidden="1"/>
    <col min="1027" max="1027" width="26.5546875" style="580" hidden="1"/>
    <col min="1028" max="1028" width="8.88671875" style="580" hidden="1"/>
    <col min="1029" max="1029" width="9.6640625" style="580" hidden="1"/>
    <col min="1030" max="1279" width="8.88671875" style="580" hidden="1"/>
    <col min="1280" max="1280" width="9" style="580" hidden="1"/>
    <col min="1281" max="1281" width="29" style="580" hidden="1"/>
    <col min="1282" max="1282" width="18.77734375" style="580" hidden="1"/>
    <col min="1283" max="1283" width="26.5546875" style="580" hidden="1"/>
    <col min="1284" max="1284" width="8.88671875" style="580" hidden="1"/>
    <col min="1285" max="1285" width="9.6640625" style="580" hidden="1"/>
    <col min="1286" max="1535" width="8.88671875" style="580" hidden="1"/>
    <col min="1536" max="1536" width="9" style="580" hidden="1"/>
    <col min="1537" max="1537" width="29" style="580" hidden="1"/>
    <col min="1538" max="1538" width="18.77734375" style="580" hidden="1"/>
    <col min="1539" max="1539" width="26.5546875" style="580" hidden="1"/>
    <col min="1540" max="1540" width="8.88671875" style="580" hidden="1"/>
    <col min="1541" max="1541" width="9.6640625" style="580" hidden="1"/>
    <col min="1542" max="1791" width="8.88671875" style="580" hidden="1"/>
    <col min="1792" max="1792" width="9" style="580" hidden="1"/>
    <col min="1793" max="1793" width="29" style="580" hidden="1"/>
    <col min="1794" max="1794" width="18.77734375" style="580" hidden="1"/>
    <col min="1795" max="1795" width="26.5546875" style="580" hidden="1"/>
    <col min="1796" max="1796" width="8.88671875" style="580" hidden="1"/>
    <col min="1797" max="1797" width="9.6640625" style="580" hidden="1"/>
    <col min="1798" max="2047" width="8.88671875" style="580" hidden="1"/>
    <col min="2048" max="2048" width="9" style="580" hidden="1"/>
    <col min="2049" max="2049" width="29" style="580" hidden="1"/>
    <col min="2050" max="2050" width="18.77734375" style="580" hidden="1"/>
    <col min="2051" max="2051" width="26.5546875" style="580" hidden="1"/>
    <col min="2052" max="2052" width="8.88671875" style="580" hidden="1"/>
    <col min="2053" max="2053" width="9.6640625" style="580" hidden="1"/>
    <col min="2054" max="2303" width="8.88671875" style="580" hidden="1"/>
    <col min="2304" max="2304" width="9" style="580" hidden="1"/>
    <col min="2305" max="2305" width="29" style="580" hidden="1"/>
    <col min="2306" max="2306" width="18.77734375" style="580" hidden="1"/>
    <col min="2307" max="2307" width="26.5546875" style="580" hidden="1"/>
    <col min="2308" max="2308" width="8.88671875" style="580" hidden="1"/>
    <col min="2309" max="2309" width="9.6640625" style="580" hidden="1"/>
    <col min="2310" max="2559" width="8.88671875" style="580" hidden="1"/>
    <col min="2560" max="2560" width="9" style="580" hidden="1"/>
    <col min="2561" max="2561" width="29" style="580" hidden="1"/>
    <col min="2562" max="2562" width="18.77734375" style="580" hidden="1"/>
    <col min="2563" max="2563" width="26.5546875" style="580" hidden="1"/>
    <col min="2564" max="2564" width="8.88671875" style="580" hidden="1"/>
    <col min="2565" max="2565" width="9.6640625" style="580" hidden="1"/>
    <col min="2566" max="2815" width="8.88671875" style="580" hidden="1"/>
    <col min="2816" max="2816" width="9" style="580" hidden="1"/>
    <col min="2817" max="2817" width="29" style="580" hidden="1"/>
    <col min="2818" max="2818" width="18.77734375" style="580" hidden="1"/>
    <col min="2819" max="2819" width="26.5546875" style="580" hidden="1"/>
    <col min="2820" max="2820" width="8.88671875" style="580" hidden="1"/>
    <col min="2821" max="2821" width="9.6640625" style="580" hidden="1"/>
    <col min="2822" max="3071" width="8.88671875" style="580" hidden="1"/>
    <col min="3072" max="3072" width="9" style="580" hidden="1"/>
    <col min="3073" max="3073" width="29" style="580" hidden="1"/>
    <col min="3074" max="3074" width="18.77734375" style="580" hidden="1"/>
    <col min="3075" max="3075" width="26.5546875" style="580" hidden="1"/>
    <col min="3076" max="3076" width="8.88671875" style="580" hidden="1"/>
    <col min="3077" max="3077" width="9.6640625" style="580" hidden="1"/>
    <col min="3078" max="3327" width="8.88671875" style="580" hidden="1"/>
    <col min="3328" max="3328" width="9" style="580" hidden="1"/>
    <col min="3329" max="3329" width="29" style="580" hidden="1"/>
    <col min="3330" max="3330" width="18.77734375" style="580" hidden="1"/>
    <col min="3331" max="3331" width="26.5546875" style="580" hidden="1"/>
    <col min="3332" max="3332" width="8.88671875" style="580" hidden="1"/>
    <col min="3333" max="3333" width="9.6640625" style="580" hidden="1"/>
    <col min="3334" max="3583" width="8.88671875" style="580" hidden="1"/>
    <col min="3584" max="3584" width="9" style="580" hidden="1"/>
    <col min="3585" max="3585" width="29" style="580" hidden="1"/>
    <col min="3586" max="3586" width="18.77734375" style="580" hidden="1"/>
    <col min="3587" max="3587" width="26.5546875" style="580" hidden="1"/>
    <col min="3588" max="3588" width="8.88671875" style="580" hidden="1"/>
    <col min="3589" max="3589" width="9.6640625" style="580" hidden="1"/>
    <col min="3590" max="3839" width="8.88671875" style="580" hidden="1"/>
    <col min="3840" max="3840" width="9" style="580" hidden="1"/>
    <col min="3841" max="3841" width="29" style="580" hidden="1"/>
    <col min="3842" max="3842" width="18.77734375" style="580" hidden="1"/>
    <col min="3843" max="3843" width="26.5546875" style="580" hidden="1"/>
    <col min="3844" max="3844" width="8.88671875" style="580" hidden="1"/>
    <col min="3845" max="3845" width="9.6640625" style="580" hidden="1"/>
    <col min="3846" max="4095" width="8.88671875" style="580" hidden="1"/>
    <col min="4096" max="4096" width="9" style="580" hidden="1"/>
    <col min="4097" max="4097" width="29" style="580" hidden="1"/>
    <col min="4098" max="4098" width="18.77734375" style="580" hidden="1"/>
    <col min="4099" max="4099" width="26.5546875" style="580" hidden="1"/>
    <col min="4100" max="4100" width="8.88671875" style="580" hidden="1"/>
    <col min="4101" max="4101" width="9.6640625" style="580" hidden="1"/>
    <col min="4102" max="4351" width="8.88671875" style="580" hidden="1"/>
    <col min="4352" max="4352" width="9" style="580" hidden="1"/>
    <col min="4353" max="4353" width="29" style="580" hidden="1"/>
    <col min="4354" max="4354" width="18.77734375" style="580" hidden="1"/>
    <col min="4355" max="4355" width="26.5546875" style="580" hidden="1"/>
    <col min="4356" max="4356" width="8.88671875" style="580" hidden="1"/>
    <col min="4357" max="4357" width="9.6640625" style="580" hidden="1"/>
    <col min="4358" max="4607" width="8.88671875" style="580" hidden="1"/>
    <col min="4608" max="4608" width="9" style="580" hidden="1"/>
    <col min="4609" max="4609" width="29" style="580" hidden="1"/>
    <col min="4610" max="4610" width="18.77734375" style="580" hidden="1"/>
    <col min="4611" max="4611" width="26.5546875" style="580" hidden="1"/>
    <col min="4612" max="4612" width="8.88671875" style="580" hidden="1"/>
    <col min="4613" max="4613" width="9.6640625" style="580" hidden="1"/>
    <col min="4614" max="4863" width="8.88671875" style="580" hidden="1"/>
    <col min="4864" max="4864" width="9" style="580" hidden="1"/>
    <col min="4865" max="4865" width="29" style="580" hidden="1"/>
    <col min="4866" max="4866" width="18.77734375" style="580" hidden="1"/>
    <col min="4867" max="4867" width="26.5546875" style="580" hidden="1"/>
    <col min="4868" max="4868" width="8.88671875" style="580" hidden="1"/>
    <col min="4869" max="4869" width="9.6640625" style="580" hidden="1"/>
    <col min="4870" max="5119" width="8.88671875" style="580" hidden="1"/>
    <col min="5120" max="5120" width="9" style="580" hidden="1"/>
    <col min="5121" max="5121" width="29" style="580" hidden="1"/>
    <col min="5122" max="5122" width="18.77734375" style="580" hidden="1"/>
    <col min="5123" max="5123" width="26.5546875" style="580" hidden="1"/>
    <col min="5124" max="5124" width="8.88671875" style="580" hidden="1"/>
    <col min="5125" max="5125" width="9.6640625" style="580" hidden="1"/>
    <col min="5126" max="5375" width="8.88671875" style="580" hidden="1"/>
    <col min="5376" max="5376" width="9" style="580" hidden="1"/>
    <col min="5377" max="5377" width="29" style="580" hidden="1"/>
    <col min="5378" max="5378" width="18.77734375" style="580" hidden="1"/>
    <col min="5379" max="5379" width="26.5546875" style="580" hidden="1"/>
    <col min="5380" max="5380" width="8.88671875" style="580" hidden="1"/>
    <col min="5381" max="5381" width="9.6640625" style="580" hidden="1"/>
    <col min="5382" max="5631" width="8.88671875" style="580" hidden="1"/>
    <col min="5632" max="5632" width="9" style="580" hidden="1"/>
    <col min="5633" max="5633" width="29" style="580" hidden="1"/>
    <col min="5634" max="5634" width="18.77734375" style="580" hidden="1"/>
    <col min="5635" max="5635" width="26.5546875" style="580" hidden="1"/>
    <col min="5636" max="5636" width="8.88671875" style="580" hidden="1"/>
    <col min="5637" max="5637" width="9.6640625" style="580" hidden="1"/>
    <col min="5638" max="5887" width="8.88671875" style="580" hidden="1"/>
    <col min="5888" max="5888" width="9" style="580" hidden="1"/>
    <col min="5889" max="5889" width="29" style="580" hidden="1"/>
    <col min="5890" max="5890" width="18.77734375" style="580" hidden="1"/>
    <col min="5891" max="5891" width="26.5546875" style="580" hidden="1"/>
    <col min="5892" max="5892" width="8.88671875" style="580" hidden="1"/>
    <col min="5893" max="5893" width="9.6640625" style="580" hidden="1"/>
    <col min="5894" max="6143" width="8.88671875" style="580" hidden="1"/>
    <col min="6144" max="6144" width="9" style="580" hidden="1"/>
    <col min="6145" max="6145" width="29" style="580" hidden="1"/>
    <col min="6146" max="6146" width="18.77734375" style="580" hidden="1"/>
    <col min="6147" max="6147" width="26.5546875" style="580" hidden="1"/>
    <col min="6148" max="6148" width="8.88671875" style="580" hidden="1"/>
    <col min="6149" max="6149" width="9.6640625" style="580" hidden="1"/>
    <col min="6150" max="6399" width="8.88671875" style="580" hidden="1"/>
    <col min="6400" max="6400" width="9" style="580" hidden="1"/>
    <col min="6401" max="6401" width="29" style="580" hidden="1"/>
    <col min="6402" max="6402" width="18.77734375" style="580" hidden="1"/>
    <col min="6403" max="6403" width="26.5546875" style="580" hidden="1"/>
    <col min="6404" max="6404" width="8.88671875" style="580" hidden="1"/>
    <col min="6405" max="6405" width="9.6640625" style="580" hidden="1"/>
    <col min="6406" max="6655" width="8.88671875" style="580" hidden="1"/>
    <col min="6656" max="6656" width="9" style="580" hidden="1"/>
    <col min="6657" max="6657" width="29" style="580" hidden="1"/>
    <col min="6658" max="6658" width="18.77734375" style="580" hidden="1"/>
    <col min="6659" max="6659" width="26.5546875" style="580" hidden="1"/>
    <col min="6660" max="6660" width="8.88671875" style="580" hidden="1"/>
    <col min="6661" max="6661" width="9.6640625" style="580" hidden="1"/>
    <col min="6662" max="6911" width="8.88671875" style="580" hidden="1"/>
    <col min="6912" max="6912" width="9" style="580" hidden="1"/>
    <col min="6913" max="6913" width="29" style="580" hidden="1"/>
    <col min="6914" max="6914" width="18.77734375" style="580" hidden="1"/>
    <col min="6915" max="6915" width="26.5546875" style="580" hidden="1"/>
    <col min="6916" max="6916" width="8.88671875" style="580" hidden="1"/>
    <col min="6917" max="6917" width="9.6640625" style="580" hidden="1"/>
    <col min="6918" max="7167" width="8.88671875" style="580" hidden="1"/>
    <col min="7168" max="7168" width="9" style="580" hidden="1"/>
    <col min="7169" max="7169" width="29" style="580" hidden="1"/>
    <col min="7170" max="7170" width="18.77734375" style="580" hidden="1"/>
    <col min="7171" max="7171" width="26.5546875" style="580" hidden="1"/>
    <col min="7172" max="7172" width="8.88671875" style="580" hidden="1"/>
    <col min="7173" max="7173" width="9.6640625" style="580" hidden="1"/>
    <col min="7174" max="7423" width="8.88671875" style="580" hidden="1"/>
    <col min="7424" max="7424" width="9" style="580" hidden="1"/>
    <col min="7425" max="7425" width="29" style="580" hidden="1"/>
    <col min="7426" max="7426" width="18.77734375" style="580" hidden="1"/>
    <col min="7427" max="7427" width="26.5546875" style="580" hidden="1"/>
    <col min="7428" max="7428" width="8.88671875" style="580" hidden="1"/>
    <col min="7429" max="7429" width="9.6640625" style="580" hidden="1"/>
    <col min="7430" max="7679" width="8.88671875" style="580" hidden="1"/>
    <col min="7680" max="7680" width="9" style="580" hidden="1"/>
    <col min="7681" max="7681" width="29" style="580" hidden="1"/>
    <col min="7682" max="7682" width="18.77734375" style="580" hidden="1"/>
    <col min="7683" max="7683" width="26.5546875" style="580" hidden="1"/>
    <col min="7684" max="7684" width="8.88671875" style="580" hidden="1"/>
    <col min="7685" max="7685" width="9.6640625" style="580" hidden="1"/>
    <col min="7686" max="7935" width="8.88671875" style="580" hidden="1"/>
    <col min="7936" max="7936" width="9" style="580" hidden="1"/>
    <col min="7937" max="7937" width="29" style="580" hidden="1"/>
    <col min="7938" max="7938" width="18.77734375" style="580" hidden="1"/>
    <col min="7939" max="7939" width="26.5546875" style="580" hidden="1"/>
    <col min="7940" max="7940" width="8.88671875" style="580" hidden="1"/>
    <col min="7941" max="7941" width="9.6640625" style="580" hidden="1"/>
    <col min="7942" max="8191" width="8.88671875" style="580" hidden="1"/>
    <col min="8192" max="8192" width="9" style="580" hidden="1"/>
    <col min="8193" max="8193" width="29" style="580" hidden="1"/>
    <col min="8194" max="8194" width="18.77734375" style="580" hidden="1"/>
    <col min="8195" max="8195" width="26.5546875" style="580" hidden="1"/>
    <col min="8196" max="8196" width="8.88671875" style="580" hidden="1"/>
    <col min="8197" max="8197" width="9.6640625" style="580" hidden="1"/>
    <col min="8198" max="8447" width="8.88671875" style="580" hidden="1"/>
    <col min="8448" max="8448" width="9" style="580" hidden="1"/>
    <col min="8449" max="8449" width="29" style="580" hidden="1"/>
    <col min="8450" max="8450" width="18.77734375" style="580" hidden="1"/>
    <col min="8451" max="8451" width="26.5546875" style="580" hidden="1"/>
    <col min="8452" max="8452" width="8.88671875" style="580" hidden="1"/>
    <col min="8453" max="8453" width="9.6640625" style="580" hidden="1"/>
    <col min="8454" max="8703" width="8.88671875" style="580" hidden="1"/>
    <col min="8704" max="8704" width="9" style="580" hidden="1"/>
    <col min="8705" max="8705" width="29" style="580" hidden="1"/>
    <col min="8706" max="8706" width="18.77734375" style="580" hidden="1"/>
    <col min="8707" max="8707" width="26.5546875" style="580" hidden="1"/>
    <col min="8708" max="8708" width="8.88671875" style="580" hidden="1"/>
    <col min="8709" max="8709" width="9.6640625" style="580" hidden="1"/>
    <col min="8710" max="8959" width="8.88671875" style="580" hidden="1"/>
    <col min="8960" max="8960" width="9" style="580" hidden="1"/>
    <col min="8961" max="8961" width="29" style="580" hidden="1"/>
    <col min="8962" max="8962" width="18.77734375" style="580" hidden="1"/>
    <col min="8963" max="8963" width="26.5546875" style="580" hidden="1"/>
    <col min="8964" max="8964" width="8.88671875" style="580" hidden="1"/>
    <col min="8965" max="8965" width="9.6640625" style="580" hidden="1"/>
    <col min="8966" max="9215" width="8.88671875" style="580" hidden="1"/>
    <col min="9216" max="9216" width="9" style="580" hidden="1"/>
    <col min="9217" max="9217" width="29" style="580" hidden="1"/>
    <col min="9218" max="9218" width="18.77734375" style="580" hidden="1"/>
    <col min="9219" max="9219" width="26.5546875" style="580" hidden="1"/>
    <col min="9220" max="9220" width="8.88671875" style="580" hidden="1"/>
    <col min="9221" max="9221" width="9.6640625" style="580" hidden="1"/>
    <col min="9222" max="9471" width="8.88671875" style="580" hidden="1"/>
    <col min="9472" max="9472" width="9" style="580" hidden="1"/>
    <col min="9473" max="9473" width="29" style="580" hidden="1"/>
    <col min="9474" max="9474" width="18.77734375" style="580" hidden="1"/>
    <col min="9475" max="9475" width="26.5546875" style="580" hidden="1"/>
    <col min="9476" max="9476" width="8.88671875" style="580" hidden="1"/>
    <col min="9477" max="9477" width="9.6640625" style="580" hidden="1"/>
    <col min="9478" max="9727" width="8.88671875" style="580" hidden="1"/>
    <col min="9728" max="9728" width="9" style="580" hidden="1"/>
    <col min="9729" max="9729" width="29" style="580" hidden="1"/>
    <col min="9730" max="9730" width="18.77734375" style="580" hidden="1"/>
    <col min="9731" max="9731" width="26.5546875" style="580" hidden="1"/>
    <col min="9732" max="9732" width="8.88671875" style="580" hidden="1"/>
    <col min="9733" max="9733" width="9.6640625" style="580" hidden="1"/>
    <col min="9734" max="9983" width="8.88671875" style="580" hidden="1"/>
    <col min="9984" max="9984" width="9" style="580" hidden="1"/>
    <col min="9985" max="9985" width="29" style="580" hidden="1"/>
    <col min="9986" max="9986" width="18.77734375" style="580" hidden="1"/>
    <col min="9987" max="9987" width="26.5546875" style="580" hidden="1"/>
    <col min="9988" max="9988" width="8.88671875" style="580" hidden="1"/>
    <col min="9989" max="9989" width="9.6640625" style="580" hidden="1"/>
    <col min="9990" max="10239" width="8.88671875" style="580" hidden="1"/>
    <col min="10240" max="10240" width="9" style="580" hidden="1"/>
    <col min="10241" max="10241" width="29" style="580" hidden="1"/>
    <col min="10242" max="10242" width="18.77734375" style="580" hidden="1"/>
    <col min="10243" max="10243" width="26.5546875" style="580" hidden="1"/>
    <col min="10244" max="10244" width="8.88671875" style="580" hidden="1"/>
    <col min="10245" max="10245" width="9.6640625" style="580" hidden="1"/>
    <col min="10246" max="10495" width="8.88671875" style="580" hidden="1"/>
    <col min="10496" max="10496" width="9" style="580" hidden="1"/>
    <col min="10497" max="10497" width="29" style="580" hidden="1"/>
    <col min="10498" max="10498" width="18.77734375" style="580" hidden="1"/>
    <col min="10499" max="10499" width="26.5546875" style="580" hidden="1"/>
    <col min="10500" max="10500" width="8.88671875" style="580" hidden="1"/>
    <col min="10501" max="10501" width="9.6640625" style="580" hidden="1"/>
    <col min="10502" max="10751" width="8.88671875" style="580" hidden="1"/>
    <col min="10752" max="10752" width="9" style="580" hidden="1"/>
    <col min="10753" max="10753" width="29" style="580" hidden="1"/>
    <col min="10754" max="10754" width="18.77734375" style="580" hidden="1"/>
    <col min="10755" max="10755" width="26.5546875" style="580" hidden="1"/>
    <col min="10756" max="10756" width="8.88671875" style="580" hidden="1"/>
    <col min="10757" max="10757" width="9.6640625" style="580" hidden="1"/>
    <col min="10758" max="11007" width="8.88671875" style="580" hidden="1"/>
    <col min="11008" max="11008" width="9" style="580" hidden="1"/>
    <col min="11009" max="11009" width="29" style="580" hidden="1"/>
    <col min="11010" max="11010" width="18.77734375" style="580" hidden="1"/>
    <col min="11011" max="11011" width="26.5546875" style="580" hidden="1"/>
    <col min="11012" max="11012" width="8.88671875" style="580" hidden="1"/>
    <col min="11013" max="11013" width="9.6640625" style="580" hidden="1"/>
    <col min="11014" max="11263" width="8.88671875" style="580" hidden="1"/>
    <col min="11264" max="11264" width="9" style="580" hidden="1"/>
    <col min="11265" max="11265" width="29" style="580" hidden="1"/>
    <col min="11266" max="11266" width="18.77734375" style="580" hidden="1"/>
    <col min="11267" max="11267" width="26.5546875" style="580" hidden="1"/>
    <col min="11268" max="11268" width="8.88671875" style="580" hidden="1"/>
    <col min="11269" max="11269" width="9.6640625" style="580" hidden="1"/>
    <col min="11270" max="11519" width="8.88671875" style="580" hidden="1"/>
    <col min="11520" max="11520" width="9" style="580" hidden="1"/>
    <col min="11521" max="11521" width="29" style="580" hidden="1"/>
    <col min="11522" max="11522" width="18.77734375" style="580" hidden="1"/>
    <col min="11523" max="11523" width="26.5546875" style="580" hidden="1"/>
    <col min="11524" max="11524" width="8.88671875" style="580" hidden="1"/>
    <col min="11525" max="11525" width="9.6640625" style="580" hidden="1"/>
    <col min="11526" max="11775" width="8.88671875" style="580" hidden="1"/>
    <col min="11776" max="11776" width="9" style="580" hidden="1"/>
    <col min="11777" max="11777" width="29" style="580" hidden="1"/>
    <col min="11778" max="11778" width="18.77734375" style="580" hidden="1"/>
    <col min="11779" max="11779" width="26.5546875" style="580" hidden="1"/>
    <col min="11780" max="11780" width="8.88671875" style="580" hidden="1"/>
    <col min="11781" max="11781" width="9.6640625" style="580" hidden="1"/>
    <col min="11782" max="12031" width="8.88671875" style="580" hidden="1"/>
    <col min="12032" max="12032" width="9" style="580" hidden="1"/>
    <col min="12033" max="12033" width="29" style="580" hidden="1"/>
    <col min="12034" max="12034" width="18.77734375" style="580" hidden="1"/>
    <col min="12035" max="12035" width="26.5546875" style="580" hidden="1"/>
    <col min="12036" max="12036" width="8.88671875" style="580" hidden="1"/>
    <col min="12037" max="12037" width="9.6640625" style="580" hidden="1"/>
    <col min="12038" max="12287" width="8.88671875" style="580" hidden="1"/>
    <col min="12288" max="12288" width="9" style="580" hidden="1"/>
    <col min="12289" max="12289" width="29" style="580" hidden="1"/>
    <col min="12290" max="12290" width="18.77734375" style="580" hidden="1"/>
    <col min="12291" max="12291" width="26.5546875" style="580" hidden="1"/>
    <col min="12292" max="12292" width="8.88671875" style="580" hidden="1"/>
    <col min="12293" max="12293" width="9.6640625" style="580" hidden="1"/>
    <col min="12294" max="12543" width="8.88671875" style="580" hidden="1"/>
    <col min="12544" max="12544" width="9" style="580" hidden="1"/>
    <col min="12545" max="12545" width="29" style="580" hidden="1"/>
    <col min="12546" max="12546" width="18.77734375" style="580" hidden="1"/>
    <col min="12547" max="12547" width="26.5546875" style="580" hidden="1"/>
    <col min="12548" max="12548" width="8.88671875" style="580" hidden="1"/>
    <col min="12549" max="12549" width="9.6640625" style="580" hidden="1"/>
    <col min="12550" max="12799" width="8.88671875" style="580" hidden="1"/>
    <col min="12800" max="12800" width="9" style="580" hidden="1"/>
    <col min="12801" max="12801" width="29" style="580" hidden="1"/>
    <col min="12802" max="12802" width="18.77734375" style="580" hidden="1"/>
    <col min="12803" max="12803" width="26.5546875" style="580" hidden="1"/>
    <col min="12804" max="12804" width="8.88671875" style="580" hidden="1"/>
    <col min="12805" max="12805" width="9.6640625" style="580" hidden="1"/>
    <col min="12806" max="13055" width="8.88671875" style="580" hidden="1"/>
    <col min="13056" max="13056" width="9" style="580" hidden="1"/>
    <col min="13057" max="13057" width="29" style="580" hidden="1"/>
    <col min="13058" max="13058" width="18.77734375" style="580" hidden="1"/>
    <col min="13059" max="13059" width="26.5546875" style="580" hidden="1"/>
    <col min="13060" max="13060" width="8.88671875" style="580" hidden="1"/>
    <col min="13061" max="13061" width="9.6640625" style="580" hidden="1"/>
    <col min="13062" max="13311" width="8.88671875" style="580" hidden="1"/>
    <col min="13312" max="13312" width="9" style="580" hidden="1"/>
    <col min="13313" max="13313" width="29" style="580" hidden="1"/>
    <col min="13314" max="13314" width="18.77734375" style="580" hidden="1"/>
    <col min="13315" max="13315" width="26.5546875" style="580" hidden="1"/>
    <col min="13316" max="13316" width="8.88671875" style="580" hidden="1"/>
    <col min="13317" max="13317" width="9.6640625" style="580" hidden="1"/>
    <col min="13318" max="13567" width="8.88671875" style="580" hidden="1"/>
    <col min="13568" max="13568" width="9" style="580" hidden="1"/>
    <col min="13569" max="13569" width="29" style="580" hidden="1"/>
    <col min="13570" max="13570" width="18.77734375" style="580" hidden="1"/>
    <col min="13571" max="13571" width="26.5546875" style="580" hidden="1"/>
    <col min="13572" max="13572" width="8.88671875" style="580" hidden="1"/>
    <col min="13573" max="13573" width="9.6640625" style="580" hidden="1"/>
    <col min="13574" max="13823" width="8.88671875" style="580" hidden="1"/>
    <col min="13824" max="13824" width="9" style="580" hidden="1"/>
    <col min="13825" max="13825" width="29" style="580" hidden="1"/>
    <col min="13826" max="13826" width="18.77734375" style="580" hidden="1"/>
    <col min="13827" max="13827" width="26.5546875" style="580" hidden="1"/>
    <col min="13828" max="13828" width="8.88671875" style="580" hidden="1"/>
    <col min="13829" max="13829" width="9.6640625" style="580" hidden="1"/>
    <col min="13830" max="14079" width="8.88671875" style="580" hidden="1"/>
    <col min="14080" max="14080" width="9" style="580" hidden="1"/>
    <col min="14081" max="14081" width="29" style="580" hidden="1"/>
    <col min="14082" max="14082" width="18.77734375" style="580" hidden="1"/>
    <col min="14083" max="14083" width="26.5546875" style="580" hidden="1"/>
    <col min="14084" max="14084" width="8.88671875" style="580" hidden="1"/>
    <col min="14085" max="14085" width="9.6640625" style="580" hidden="1"/>
    <col min="14086" max="14335" width="8.88671875" style="580" hidden="1"/>
    <col min="14336" max="14336" width="9" style="580" hidden="1"/>
    <col min="14337" max="14337" width="29" style="580" hidden="1"/>
    <col min="14338" max="14338" width="18.77734375" style="580" hidden="1"/>
    <col min="14339" max="14339" width="26.5546875" style="580" hidden="1"/>
    <col min="14340" max="14340" width="8.88671875" style="580" hidden="1"/>
    <col min="14341" max="14341" width="9.6640625" style="580" hidden="1"/>
    <col min="14342" max="14591" width="8.88671875" style="580" hidden="1"/>
    <col min="14592" max="14592" width="9" style="580" hidden="1"/>
    <col min="14593" max="14593" width="29" style="580" hidden="1"/>
    <col min="14594" max="14594" width="18.77734375" style="580" hidden="1"/>
    <col min="14595" max="14595" width="26.5546875" style="580" hidden="1"/>
    <col min="14596" max="14596" width="8.88671875" style="580" hidden="1"/>
    <col min="14597" max="14597" width="9.6640625" style="580" hidden="1"/>
    <col min="14598" max="14847" width="8.88671875" style="580" hidden="1"/>
    <col min="14848" max="14848" width="9" style="580" hidden="1"/>
    <col min="14849" max="14849" width="29" style="580" hidden="1"/>
    <col min="14850" max="14850" width="18.77734375" style="580" hidden="1"/>
    <col min="14851" max="14851" width="26.5546875" style="580" hidden="1"/>
    <col min="14852" max="14852" width="8.88671875" style="580" hidden="1"/>
    <col min="14853" max="14853" width="9.6640625" style="580" hidden="1"/>
    <col min="14854" max="15103" width="8.88671875" style="580" hidden="1"/>
    <col min="15104" max="15104" width="9" style="580" hidden="1"/>
    <col min="15105" max="15105" width="29" style="580" hidden="1"/>
    <col min="15106" max="15106" width="18.77734375" style="580" hidden="1"/>
    <col min="15107" max="15107" width="26.5546875" style="580" hidden="1"/>
    <col min="15108" max="15108" width="8.88671875" style="580" hidden="1"/>
    <col min="15109" max="15109" width="9.6640625" style="580" hidden="1"/>
    <col min="15110" max="15359" width="8.88671875" style="580" hidden="1"/>
    <col min="15360" max="15360" width="9" style="580" hidden="1"/>
    <col min="15361" max="15361" width="29" style="580" hidden="1"/>
    <col min="15362" max="15362" width="18.77734375" style="580" hidden="1"/>
    <col min="15363" max="15363" width="26.5546875" style="580" hidden="1"/>
    <col min="15364" max="15364" width="8.88671875" style="580" hidden="1"/>
    <col min="15365" max="15365" width="9.6640625" style="580" hidden="1"/>
    <col min="15366" max="15615" width="8.88671875" style="580" hidden="1"/>
    <col min="15616" max="15616" width="9" style="580" hidden="1"/>
    <col min="15617" max="15617" width="29" style="580" hidden="1"/>
    <col min="15618" max="15618" width="18.77734375" style="580" hidden="1"/>
    <col min="15619" max="15619" width="26.5546875" style="580" hidden="1"/>
    <col min="15620" max="15620" width="8.88671875" style="580" hidden="1"/>
    <col min="15621" max="15621" width="9.6640625" style="580" hidden="1"/>
    <col min="15622" max="15871" width="8.88671875" style="580" hidden="1"/>
    <col min="15872" max="15872" width="9" style="580" hidden="1"/>
    <col min="15873" max="15873" width="29" style="580" hidden="1"/>
    <col min="15874" max="15874" width="18.77734375" style="580" hidden="1"/>
    <col min="15875" max="15875" width="26.5546875" style="580" hidden="1"/>
    <col min="15876" max="15876" width="8.88671875" style="580" hidden="1"/>
    <col min="15877" max="15877" width="9.6640625" style="580" hidden="1"/>
    <col min="15878" max="16127" width="8.88671875" style="580" hidden="1"/>
    <col min="16128" max="16128" width="9" style="580" hidden="1"/>
    <col min="16129" max="16129" width="29" style="580" hidden="1"/>
    <col min="16130" max="16130" width="18.77734375" style="580" hidden="1"/>
    <col min="16131" max="16131" width="26.5546875" style="580" hidden="1"/>
    <col min="16132" max="16132" width="8.88671875" style="580" hidden="1"/>
    <col min="16133" max="16133" width="9.6640625" style="580" hidden="1"/>
    <col min="16134" max="16134" width="8.88671875" style="580" hidden="1"/>
    <col min="16135" max="16136" width="9.6640625" style="580" hidden="1"/>
    <col min="16137" max="16384" width="8.88671875" style="580" hidden="1"/>
  </cols>
  <sheetData>
    <row r="1" spans="1:66" s="533" customFormat="1" ht="18" customHeight="1">
      <c r="A1" s="1439" t="s">
        <v>4244</v>
      </c>
      <c r="B1" s="1439"/>
      <c r="C1" s="1439"/>
      <c r="D1" s="1439"/>
      <c r="E1" s="1439"/>
      <c r="F1" s="1439"/>
      <c r="G1" s="1439"/>
      <c r="H1" s="1439"/>
      <c r="I1" s="1439"/>
      <c r="J1" s="126"/>
      <c r="K1" s="126"/>
      <c r="L1" s="126"/>
      <c r="M1" s="127"/>
      <c r="N1" s="424"/>
      <c r="O1" s="424"/>
      <c r="P1" s="558"/>
      <c r="Q1" s="595" t="s">
        <v>173</v>
      </c>
      <c r="R1" s="541"/>
    </row>
    <row r="2" spans="1:66" s="533" customFormat="1" ht="18" customHeight="1">
      <c r="A2" s="1439"/>
      <c r="B2" s="1439"/>
      <c r="C2" s="1439"/>
      <c r="D2" s="1439"/>
      <c r="E2" s="1439"/>
      <c r="F2" s="1439"/>
      <c r="G2" s="1439"/>
      <c r="H2" s="1439"/>
      <c r="I2" s="1439"/>
      <c r="J2" s="126"/>
      <c r="K2" s="126"/>
      <c r="L2" s="126"/>
      <c r="M2" s="127"/>
      <c r="N2" s="424"/>
      <c r="O2" s="424"/>
      <c r="P2" s="558"/>
      <c r="Q2" s="424"/>
      <c r="R2" s="541"/>
      <c r="S2" s="541"/>
      <c r="T2" s="541"/>
      <c r="U2" s="541"/>
    </row>
    <row r="3" spans="1:66" s="533" customFormat="1" ht="18" customHeight="1">
      <c r="A3" s="548" t="str">
        <f>Nhattrinh!E1</f>
        <v xml:space="preserve">     Công trình: Gia cố nâng cấp kênh Bà Xoài từ K0+300÷K0+600 - Hệ thống thủy lợi Nha Trinh, huyện Ninh Hải, tỉnh Ninh Thuận</v>
      </c>
      <c r="B3" s="586"/>
      <c r="C3" s="563"/>
      <c r="D3" s="564"/>
      <c r="E3" s="561"/>
      <c r="F3" s="549"/>
      <c r="G3" s="549"/>
      <c r="H3" s="549"/>
      <c r="I3" s="549"/>
      <c r="J3" s="549"/>
      <c r="K3" s="549"/>
      <c r="L3" s="549"/>
      <c r="M3" s="548"/>
      <c r="N3" s="550"/>
      <c r="O3" s="550"/>
      <c r="P3" s="559"/>
      <c r="Q3" s="550"/>
      <c r="R3" s="541"/>
      <c r="S3" s="541"/>
      <c r="T3" s="541"/>
      <c r="U3" s="541"/>
    </row>
    <row r="4" spans="1:66" s="533" customFormat="1" ht="18" customHeight="1">
      <c r="A4" s="551" t="str">
        <f>Nhattrinh!E2</f>
        <v xml:space="preserve">     Địa điểm XD: Huyện Ninh Hải - Tỉnh Ninh Thuận</v>
      </c>
      <c r="B4" s="587"/>
      <c r="C4" s="565"/>
      <c r="D4" s="566"/>
      <c r="E4" s="562"/>
      <c r="F4" s="554"/>
      <c r="G4" s="554"/>
      <c r="H4" s="554"/>
      <c r="I4" s="554"/>
      <c r="J4" s="554"/>
      <c r="K4" s="554"/>
      <c r="L4" s="554"/>
      <c r="M4" s="551"/>
      <c r="N4" s="556"/>
      <c r="O4" s="556"/>
      <c r="P4" s="560"/>
      <c r="Q4" s="556"/>
      <c r="R4" s="567"/>
      <c r="S4" s="541"/>
      <c r="T4" s="541"/>
      <c r="U4" s="541"/>
    </row>
    <row r="5" spans="1:66" s="574" customFormat="1" ht="30">
      <c r="A5" s="568" t="s">
        <v>64</v>
      </c>
      <c r="B5" s="568" t="s">
        <v>4273</v>
      </c>
      <c r="C5" s="568" t="s">
        <v>29</v>
      </c>
      <c r="D5" s="568" t="s">
        <v>23</v>
      </c>
      <c r="E5" s="568" t="s">
        <v>30</v>
      </c>
      <c r="F5" s="568" t="s">
        <v>1078</v>
      </c>
      <c r="G5" s="569" t="s">
        <v>1077</v>
      </c>
      <c r="H5" s="570" t="s">
        <v>32</v>
      </c>
      <c r="I5" s="571" t="s">
        <v>4282</v>
      </c>
      <c r="J5" s="570" t="s">
        <v>65</v>
      </c>
      <c r="K5" s="570" t="s">
        <v>4261</v>
      </c>
      <c r="L5" s="568" t="s">
        <v>31</v>
      </c>
      <c r="M5" s="568" t="s">
        <v>26</v>
      </c>
      <c r="N5" s="568" t="s">
        <v>1076</v>
      </c>
      <c r="O5" s="568" t="s">
        <v>177</v>
      </c>
      <c r="P5" s="572" t="s">
        <v>408</v>
      </c>
      <c r="Q5" s="568" t="s">
        <v>168</v>
      </c>
      <c r="R5" s="568"/>
      <c r="S5" s="568" t="s">
        <v>408</v>
      </c>
      <c r="T5" s="568" t="s">
        <v>168</v>
      </c>
      <c r="U5" s="573"/>
    </row>
    <row r="6" spans="1:66" s="577" customFormat="1" ht="45">
      <c r="A6" s="774">
        <v>1</v>
      </c>
      <c r="B6" s="774">
        <v>10</v>
      </c>
      <c r="C6" s="775" t="s">
        <v>346</v>
      </c>
      <c r="D6" s="776" t="s">
        <v>5954</v>
      </c>
      <c r="E6" s="776"/>
      <c r="F6" s="775" t="s">
        <v>5885</v>
      </c>
      <c r="G6" s="777">
        <v>43958</v>
      </c>
      <c r="H6" s="777">
        <v>43958</v>
      </c>
      <c r="I6" s="775" t="s">
        <v>5784</v>
      </c>
      <c r="J6" s="777">
        <v>43959</v>
      </c>
      <c r="K6" s="775" t="s">
        <v>5769</v>
      </c>
      <c r="L6" s="775" t="s">
        <v>5931</v>
      </c>
      <c r="M6" s="775" t="s">
        <v>5768</v>
      </c>
      <c r="N6" s="774">
        <v>1</v>
      </c>
      <c r="O6" s="774">
        <v>1</v>
      </c>
      <c r="P6" s="778">
        <f>RANK(J6,$J$4:$J$1500,1)+COUNTIF($J$4:J6,J6)-1</f>
        <v>1</v>
      </c>
      <c r="Q6" s="588">
        <v>1</v>
      </c>
      <c r="R6" s="575"/>
      <c r="S6" s="575"/>
      <c r="T6" s="575"/>
      <c r="U6" s="575"/>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s="576"/>
    </row>
    <row r="7" spans="1:66">
      <c r="A7" s="761"/>
      <c r="B7" s="761"/>
      <c r="C7" s="761"/>
      <c r="D7" s="762"/>
      <c r="E7" s="763"/>
      <c r="F7" s="764"/>
      <c r="G7" s="764"/>
      <c r="H7" s="764"/>
      <c r="I7" s="764"/>
      <c r="J7" s="764"/>
      <c r="K7" s="764"/>
      <c r="L7" s="764"/>
      <c r="M7" s="765"/>
      <c r="N7" s="761"/>
      <c r="O7" s="588"/>
      <c r="P7" s="760"/>
      <c r="Q7" s="588"/>
      <c r="R7" s="578"/>
      <c r="S7" s="578"/>
      <c r="T7" s="578"/>
      <c r="U7" s="578"/>
    </row>
    <row r="8" spans="1:66">
      <c r="A8" s="761"/>
      <c r="B8" s="766"/>
      <c r="C8" s="767"/>
      <c r="D8" s="768"/>
      <c r="E8" s="769"/>
      <c r="F8" s="770"/>
      <c r="G8" s="771"/>
      <c r="H8" s="771"/>
      <c r="I8" s="771"/>
      <c r="J8" s="771"/>
      <c r="K8" s="771"/>
      <c r="L8" s="771"/>
      <c r="M8" s="772"/>
      <c r="N8" s="766"/>
      <c r="O8" s="589"/>
      <c r="P8" s="773"/>
      <c r="Q8" s="589"/>
      <c r="R8" s="578"/>
      <c r="S8" s="578"/>
      <c r="T8" s="578"/>
      <c r="U8" s="578"/>
    </row>
    <row r="9" spans="1:66">
      <c r="A9" s="761"/>
      <c r="B9" s="761"/>
      <c r="C9" s="761"/>
      <c r="D9" s="762"/>
      <c r="E9" s="763"/>
      <c r="F9" s="764"/>
      <c r="G9" s="764"/>
      <c r="H9" s="764"/>
      <c r="I9" s="764"/>
      <c r="J9" s="764"/>
      <c r="K9" s="764"/>
      <c r="L9" s="764"/>
      <c r="M9" s="765"/>
      <c r="N9" s="588"/>
      <c r="O9" s="588"/>
      <c r="P9" s="773"/>
      <c r="Q9" s="588"/>
      <c r="R9" s="578"/>
    </row>
    <row r="10" spans="1:66">
      <c r="A10" s="761"/>
      <c r="B10" s="761"/>
      <c r="C10" s="761"/>
      <c r="D10" s="762"/>
      <c r="E10" s="763"/>
      <c r="F10" s="764"/>
      <c r="G10" s="764"/>
      <c r="H10" s="764"/>
      <c r="I10" s="764"/>
      <c r="J10" s="764"/>
      <c r="K10" s="764"/>
      <c r="L10" s="764"/>
      <c r="M10" s="765"/>
      <c r="N10" s="761"/>
      <c r="O10" s="588"/>
      <c r="P10" s="760"/>
      <c r="Q10" s="588"/>
      <c r="R10" s="578"/>
    </row>
    <row r="11" spans="1:66">
      <c r="A11" s="761"/>
      <c r="B11" s="761"/>
      <c r="C11" s="761"/>
      <c r="D11" s="762"/>
      <c r="E11" s="763"/>
      <c r="F11" s="764"/>
      <c r="G11" s="764"/>
      <c r="H11" s="764"/>
      <c r="I11" s="764"/>
      <c r="J11" s="764"/>
      <c r="K11" s="764"/>
      <c r="L11" s="764"/>
      <c r="M11" s="765"/>
      <c r="N11" s="761"/>
      <c r="O11" s="588"/>
      <c r="P11" s="760"/>
      <c r="Q11" s="588"/>
      <c r="R11" s="578"/>
    </row>
    <row r="12" spans="1:66">
      <c r="A12" s="761"/>
      <c r="B12" s="761"/>
      <c r="C12" s="761"/>
      <c r="D12" s="762"/>
      <c r="E12" s="763"/>
      <c r="F12" s="764"/>
      <c r="G12" s="764"/>
      <c r="H12" s="764"/>
      <c r="I12" s="764"/>
      <c r="J12" s="764"/>
      <c r="K12" s="764"/>
      <c r="L12" s="764"/>
      <c r="M12" s="765"/>
      <c r="N12" s="761"/>
      <c r="O12" s="588"/>
      <c r="P12" s="760"/>
      <c r="Q12" s="588"/>
    </row>
    <row r="13" spans="1:66">
      <c r="A13" s="761"/>
      <c r="B13" s="761"/>
      <c r="C13" s="761"/>
      <c r="D13" s="762"/>
      <c r="E13" s="763"/>
      <c r="F13" s="764"/>
      <c r="G13" s="764"/>
      <c r="H13" s="764"/>
      <c r="I13" s="764"/>
      <c r="J13" s="764"/>
      <c r="K13" s="764"/>
      <c r="L13" s="764"/>
      <c r="M13" s="765"/>
      <c r="N13" s="761"/>
      <c r="O13" s="588"/>
      <c r="P13" s="760"/>
      <c r="Q13" s="588"/>
    </row>
    <row r="14" spans="1:66">
      <c r="A14" s="761"/>
      <c r="B14" s="761"/>
      <c r="C14" s="761"/>
      <c r="D14" s="762"/>
      <c r="E14" s="763"/>
      <c r="F14" s="764"/>
      <c r="G14" s="764"/>
      <c r="H14" s="764"/>
      <c r="I14" s="764"/>
      <c r="J14" s="764"/>
      <c r="K14" s="764"/>
      <c r="L14" s="764"/>
      <c r="M14" s="765"/>
      <c r="N14" s="761"/>
      <c r="O14" s="588"/>
      <c r="P14" s="760"/>
      <c r="Q14" s="588"/>
    </row>
    <row r="15" spans="1:66">
      <c r="A15" s="761"/>
      <c r="B15" s="761"/>
      <c r="C15" s="761"/>
      <c r="D15" s="762"/>
      <c r="E15" s="763"/>
      <c r="F15" s="764"/>
      <c r="G15" s="764"/>
      <c r="H15" s="764"/>
      <c r="I15" s="764"/>
      <c r="J15" s="764"/>
      <c r="K15" s="764"/>
      <c r="L15" s="764"/>
      <c r="M15" s="765"/>
      <c r="N15" s="761"/>
      <c r="O15" s="588"/>
      <c r="P15" s="760"/>
      <c r="Q15" s="588"/>
    </row>
    <row r="16" spans="1:66">
      <c r="A16" s="761"/>
      <c r="B16" s="761"/>
      <c r="C16" s="761"/>
      <c r="D16" s="762"/>
      <c r="E16" s="763"/>
      <c r="F16" s="764"/>
      <c r="G16" s="764"/>
      <c r="H16" s="764"/>
      <c r="I16" s="764"/>
      <c r="J16" s="764"/>
      <c r="K16" s="764"/>
      <c r="L16" s="764"/>
      <c r="M16" s="765"/>
      <c r="N16" s="761"/>
      <c r="O16" s="588"/>
      <c r="P16" s="760"/>
      <c r="Q16" s="588"/>
    </row>
    <row r="17" spans="1:17">
      <c r="A17" s="761"/>
      <c r="B17" s="761"/>
      <c r="C17" s="761"/>
      <c r="D17" s="762"/>
      <c r="E17" s="763"/>
      <c r="F17" s="764"/>
      <c r="G17" s="764"/>
      <c r="H17" s="764"/>
      <c r="I17" s="764"/>
      <c r="J17" s="764"/>
      <c r="K17" s="764"/>
      <c r="L17" s="764"/>
      <c r="M17" s="765"/>
      <c r="N17" s="761"/>
      <c r="O17" s="588"/>
      <c r="P17" s="760"/>
      <c r="Q17" s="588"/>
    </row>
    <row r="18" spans="1:17">
      <c r="A18" s="761"/>
      <c r="B18" s="761"/>
      <c r="C18" s="761"/>
      <c r="D18" s="762"/>
      <c r="E18" s="763"/>
      <c r="F18" s="764"/>
      <c r="G18" s="764"/>
      <c r="H18" s="764"/>
      <c r="I18" s="764"/>
      <c r="J18" s="764"/>
      <c r="K18" s="764"/>
      <c r="L18" s="764"/>
      <c r="M18" s="765"/>
      <c r="N18" s="761"/>
      <c r="O18" s="588"/>
      <c r="P18" s="760"/>
      <c r="Q18" s="588"/>
    </row>
    <row r="19" spans="1:17">
      <c r="A19" s="761"/>
      <c r="B19" s="761"/>
      <c r="C19" s="761"/>
      <c r="D19" s="762"/>
      <c r="E19" s="763"/>
      <c r="F19" s="764"/>
      <c r="G19" s="764"/>
      <c r="H19" s="764"/>
      <c r="I19" s="764"/>
      <c r="J19" s="764"/>
      <c r="K19" s="764"/>
      <c r="L19" s="764"/>
      <c r="M19" s="765"/>
      <c r="N19" s="761"/>
      <c r="O19" s="588"/>
      <c r="P19" s="760"/>
      <c r="Q19" s="588"/>
    </row>
  </sheetData>
  <mergeCells count="1">
    <mergeCell ref="A1:I2"/>
  </mergeCells>
  <dataValidations count="6">
    <dataValidation allowBlank="1" showInputMessage="1" showErrorMessage="1" prompt="Title of the project. Enter a new title in this cell. Highlight a period in H2. Chart legend is in J2 to AI2" sqref="A1 IV1 SR1 ACN1 AMJ1 AWF1 BGB1 BPX1 BZT1 CJP1 CTL1 DDH1 DND1 DWZ1 EGV1 EQR1 FAN1 FKJ1 FUF1 GEB1 GNX1 GXT1 HHP1 HRL1 IBH1 ILD1 IUZ1 JEV1 JOR1 JYN1 KIJ1 KSF1 LCB1 LLX1 LVT1 MFP1 MPL1 MZH1 NJD1 NSZ1 OCV1 OMR1 OWN1 PGJ1 PQF1 QAB1 QJX1 QTT1 RDP1 RNL1 RXH1 SHD1 SQZ1 TAV1 TKR1 TUN1 UEJ1 UOF1 UYB1 VHX1 VRT1 WBP1 WLL1 WVH1" xr:uid="{00000000-0002-0000-1800-000000000000}"/>
    <dataValidation allowBlank="1" showInputMessage="1" showErrorMessage="1" prompt="Enter activity in column B, starting with cell B5_x000a_" sqref="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xr:uid="{00000000-0002-0000-1800-000001000000}"/>
    <dataValidation allowBlank="1" showInputMessage="1" showErrorMessage="1" prompt="Enter plan duration period in column D, starting with cell D5" sqref="IT5 SP5 ACL5 AMH5 AWD5 BFZ5 BPV5 BZR5 CJN5 CTJ5 DDF5 DNB5 DWX5 EGT5 EQP5 FAL5 FKH5 FUD5 GDZ5 GNV5 GXR5 HHN5 HRJ5 IBF5 ILB5 IUX5 JET5 JOP5 JYL5 KIH5 KSD5 LBZ5 LLV5 LVR5 MFN5 MPJ5 MZF5 NJB5 NSX5 OCT5 OMP5 OWL5 PGH5 PQD5 PZZ5 QJV5 QTR5 RDN5 RNJ5 RXF5 SHB5 SQX5 TAT5 TKP5 TUL5 UEH5 UOD5 UXZ5 VHV5 VRR5 WBN5 WLJ5 WVF5" xr:uid="{00000000-0002-0000-1800-000002000000}"/>
    <dataValidation allowBlank="1" showInputMessage="1" showErrorMessage="1" prompt="Enter actual start period in column E, starting with cell E5" sqref="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xr:uid="{00000000-0002-0000-1800-000003000000}"/>
    <dataValidation allowBlank="1" showInputMessage="1" showErrorMessage="1" prompt="Enter actual duration period in column F, starting with cell F5" sqref="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xr:uid="{00000000-0002-0000-1800-000004000000}"/>
    <dataValidation allowBlank="1" showInputMessage="1" showErrorMessage="1" prompt="Enter the percentage of project completed in column G, starting with cell G5" sqref="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xr:uid="{00000000-0002-0000-1800-00000500000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tabColor rgb="FFFFFF00"/>
  </sheetPr>
  <dimension ref="A1:H65"/>
  <sheetViews>
    <sheetView workbookViewId="0">
      <pane xSplit="8" ySplit="5" topLeftCell="I9" activePane="bottomRight" state="frozen"/>
      <selection pane="topRight" activeCell="I1" sqref="I1"/>
      <selection pane="bottomLeft" activeCell="A6" sqref="A6"/>
      <selection pane="bottomRight" activeCell="C10" sqref="C10"/>
    </sheetView>
  </sheetViews>
  <sheetFormatPr defaultRowHeight="16.5"/>
  <cols>
    <col min="1" max="1" width="5.6640625" style="123" customWidth="1"/>
    <col min="2" max="2" width="8.33203125" style="123" customWidth="1"/>
    <col min="3" max="3" width="9.77734375" style="123" bestFit="1" customWidth="1"/>
    <col min="4" max="4" width="33.6640625" style="121" customWidth="1"/>
    <col min="5" max="5" width="25.88671875" style="121" customWidth="1"/>
    <col min="6" max="6" width="11.5546875" style="123" customWidth="1"/>
    <col min="7" max="7" width="11.109375" style="1015" customWidth="1"/>
    <col min="8" max="8" width="22" style="123" bestFit="1" customWidth="1"/>
    <col min="9" max="16384" width="8.88671875" style="123"/>
  </cols>
  <sheetData>
    <row r="1" spans="1:8" ht="16.5" customHeight="1">
      <c r="A1" s="1440" t="s">
        <v>175</v>
      </c>
      <c r="B1" s="1440"/>
      <c r="C1" s="1440"/>
      <c r="D1" s="1440"/>
      <c r="E1" s="1440"/>
      <c r="F1" s="1440"/>
      <c r="G1" s="1440"/>
      <c r="H1" s="1440"/>
    </row>
    <row r="2" spans="1:8" ht="16.5" customHeight="1">
      <c r="A2" s="1440"/>
      <c r="B2" s="1440"/>
      <c r="C2" s="1440"/>
      <c r="D2" s="1440"/>
      <c r="E2" s="1440"/>
      <c r="F2" s="1440"/>
      <c r="G2" s="1440"/>
      <c r="H2" s="1440"/>
    </row>
    <row r="3" spans="1:8" ht="25.5">
      <c r="A3" s="1039" t="str">
        <f>Nhattrinh!E1</f>
        <v xml:space="preserve">     Công trình: Gia cố nâng cấp kênh Bà Xoài từ K0+300÷K0+600 - Hệ thống thủy lợi Nha Trinh, huyện Ninh Hải, tỉnh Ninh Thuận</v>
      </c>
      <c r="B3" s="711"/>
      <c r="C3" s="711"/>
      <c r="D3" s="711"/>
      <c r="E3" s="712"/>
      <c r="F3" s="712"/>
      <c r="G3" s="1036"/>
      <c r="H3" s="712"/>
    </row>
    <row r="4" spans="1:8" ht="25.5">
      <c r="A4" s="1040" t="str">
        <f>Nhattrinh!E2</f>
        <v xml:space="preserve">     Địa điểm XD: Huyện Ninh Hải - Tỉnh Ninh Thuận</v>
      </c>
      <c r="B4" s="714"/>
      <c r="C4" s="714"/>
      <c r="D4" s="714"/>
      <c r="E4" s="715"/>
      <c r="F4" s="715"/>
      <c r="G4" s="1037"/>
      <c r="H4" s="715"/>
    </row>
    <row r="5" spans="1:8" ht="49.5">
      <c r="A5" s="757" t="s">
        <v>168</v>
      </c>
      <c r="B5" s="757" t="s">
        <v>3949</v>
      </c>
      <c r="C5" s="757" t="s">
        <v>29</v>
      </c>
      <c r="D5" s="757" t="s">
        <v>23</v>
      </c>
      <c r="E5" s="757" t="s">
        <v>30</v>
      </c>
      <c r="F5" s="757" t="s">
        <v>3947</v>
      </c>
      <c r="G5" s="757" t="s">
        <v>5631</v>
      </c>
      <c r="H5" s="757" t="s">
        <v>4261</v>
      </c>
    </row>
    <row r="6" spans="1:8">
      <c r="A6" s="955">
        <v>1</v>
      </c>
      <c r="B6" s="955"/>
      <c r="C6" s="955" t="s">
        <v>367</v>
      </c>
      <c r="D6" s="956" t="s">
        <v>5620</v>
      </c>
      <c r="E6" s="956"/>
      <c r="F6" s="1193">
        <v>43954</v>
      </c>
      <c r="G6" s="954"/>
      <c r="H6" s="955" t="s">
        <v>5929</v>
      </c>
    </row>
    <row r="7" spans="1:8">
      <c r="A7" s="958">
        <v>2</v>
      </c>
      <c r="B7" s="958">
        <v>17</v>
      </c>
      <c r="C7" s="958" t="s">
        <v>402</v>
      </c>
      <c r="D7" s="959" t="s">
        <v>5955</v>
      </c>
      <c r="E7" s="959" t="s">
        <v>5932</v>
      </c>
      <c r="F7" s="1194">
        <v>43961</v>
      </c>
      <c r="G7" s="957" t="s">
        <v>6273</v>
      </c>
      <c r="H7" s="958" t="s">
        <v>5956</v>
      </c>
    </row>
    <row r="8" spans="1:8" ht="33">
      <c r="A8" s="958">
        <v>3</v>
      </c>
      <c r="B8" s="958">
        <v>31</v>
      </c>
      <c r="C8" s="958" t="s">
        <v>401</v>
      </c>
      <c r="D8" s="959" t="s">
        <v>5957</v>
      </c>
      <c r="E8" s="959" t="s">
        <v>5932</v>
      </c>
      <c r="F8" s="1194">
        <v>43971</v>
      </c>
      <c r="G8" s="957" t="s">
        <v>6273</v>
      </c>
      <c r="H8" s="958" t="s">
        <v>5880</v>
      </c>
    </row>
    <row r="9" spans="1:8" ht="49.5">
      <c r="A9" s="958">
        <v>4</v>
      </c>
      <c r="B9" s="958">
        <v>40</v>
      </c>
      <c r="C9" s="958" t="s">
        <v>382</v>
      </c>
      <c r="D9" s="959" t="s">
        <v>5958</v>
      </c>
      <c r="E9" s="959" t="s">
        <v>5932</v>
      </c>
      <c r="F9" s="1194">
        <v>43980</v>
      </c>
      <c r="G9" s="957" t="s">
        <v>6273</v>
      </c>
      <c r="H9" s="958" t="s">
        <v>5939</v>
      </c>
    </row>
    <row r="10" spans="1:8" ht="49.5">
      <c r="A10" s="958">
        <v>5</v>
      </c>
      <c r="B10" s="958">
        <v>40</v>
      </c>
      <c r="C10" s="958" t="s">
        <v>382</v>
      </c>
      <c r="D10" s="959" t="s">
        <v>5959</v>
      </c>
      <c r="E10" s="959" t="s">
        <v>5932</v>
      </c>
      <c r="F10" s="1194">
        <v>43981</v>
      </c>
      <c r="G10" s="957" t="s">
        <v>6273</v>
      </c>
      <c r="H10" s="958" t="s">
        <v>5940</v>
      </c>
    </row>
    <row r="11" spans="1:8" ht="49.5">
      <c r="A11" s="958">
        <v>6</v>
      </c>
      <c r="B11" s="958">
        <v>40</v>
      </c>
      <c r="C11" s="958" t="s">
        <v>382</v>
      </c>
      <c r="D11" s="959" t="s">
        <v>5960</v>
      </c>
      <c r="E11" s="959" t="s">
        <v>5932</v>
      </c>
      <c r="F11" s="1194">
        <v>43982</v>
      </c>
      <c r="G11" s="957" t="s">
        <v>6273</v>
      </c>
      <c r="H11" s="958" t="s">
        <v>5941</v>
      </c>
    </row>
    <row r="12" spans="1:8" ht="49.5">
      <c r="A12" s="958">
        <v>7</v>
      </c>
      <c r="B12" s="958">
        <v>40</v>
      </c>
      <c r="C12" s="958" t="s">
        <v>382</v>
      </c>
      <c r="D12" s="959" t="s">
        <v>5961</v>
      </c>
      <c r="E12" s="959" t="s">
        <v>5932</v>
      </c>
      <c r="F12" s="1194">
        <v>43983</v>
      </c>
      <c r="G12" s="957" t="s">
        <v>6273</v>
      </c>
      <c r="H12" s="958" t="s">
        <v>5942</v>
      </c>
    </row>
    <row r="13" spans="1:8">
      <c r="A13" s="958">
        <v>8</v>
      </c>
      <c r="B13" s="958">
        <v>47</v>
      </c>
      <c r="C13" s="958" t="s">
        <v>402</v>
      </c>
      <c r="D13" s="959" t="s">
        <v>5955</v>
      </c>
      <c r="E13" s="959" t="s">
        <v>5944</v>
      </c>
      <c r="F13" s="1194">
        <v>43963</v>
      </c>
      <c r="G13" s="957" t="s">
        <v>6273</v>
      </c>
      <c r="H13" s="958" t="s">
        <v>5962</v>
      </c>
    </row>
    <row r="14" spans="1:8" ht="33">
      <c r="A14" s="958">
        <v>9</v>
      </c>
      <c r="B14" s="958">
        <v>61</v>
      </c>
      <c r="C14" s="958" t="s">
        <v>401</v>
      </c>
      <c r="D14" s="959" t="s">
        <v>5957</v>
      </c>
      <c r="E14" s="959" t="s">
        <v>5944</v>
      </c>
      <c r="F14" s="1194">
        <v>43973</v>
      </c>
      <c r="G14" s="957" t="s">
        <v>6273</v>
      </c>
      <c r="H14" s="958" t="s">
        <v>5963</v>
      </c>
    </row>
    <row r="15" spans="1:8" ht="49.5">
      <c r="A15" s="958">
        <v>10</v>
      </c>
      <c r="B15" s="958">
        <v>70</v>
      </c>
      <c r="C15" s="958" t="s">
        <v>382</v>
      </c>
      <c r="D15" s="959" t="s">
        <v>5958</v>
      </c>
      <c r="E15" s="959" t="s">
        <v>5944</v>
      </c>
      <c r="F15" s="1194">
        <v>43982</v>
      </c>
      <c r="G15" s="957" t="s">
        <v>6273</v>
      </c>
      <c r="H15" s="958" t="s">
        <v>5947</v>
      </c>
    </row>
    <row r="16" spans="1:8" ht="49.5">
      <c r="A16" s="958">
        <v>11</v>
      </c>
      <c r="B16" s="958">
        <v>70</v>
      </c>
      <c r="C16" s="958" t="s">
        <v>382</v>
      </c>
      <c r="D16" s="959" t="s">
        <v>5959</v>
      </c>
      <c r="E16" s="959" t="s">
        <v>5944</v>
      </c>
      <c r="F16" s="1194">
        <v>43983</v>
      </c>
      <c r="G16" s="957" t="s">
        <v>6273</v>
      </c>
      <c r="H16" s="958" t="s">
        <v>5940</v>
      </c>
    </row>
    <row r="17" spans="1:8" ht="49.5">
      <c r="A17" s="958">
        <v>12</v>
      </c>
      <c r="B17" s="958">
        <v>70</v>
      </c>
      <c r="C17" s="958" t="s">
        <v>382</v>
      </c>
      <c r="D17" s="959" t="s">
        <v>5960</v>
      </c>
      <c r="E17" s="959" t="s">
        <v>5944</v>
      </c>
      <c r="F17" s="1194">
        <v>43984</v>
      </c>
      <c r="G17" s="957" t="s">
        <v>6273</v>
      </c>
      <c r="H17" s="958" t="s">
        <v>5941</v>
      </c>
    </row>
    <row r="18" spans="1:8" ht="49.5">
      <c r="A18" s="958">
        <v>13</v>
      </c>
      <c r="B18" s="958">
        <v>70</v>
      </c>
      <c r="C18" s="958" t="s">
        <v>382</v>
      </c>
      <c r="D18" s="959" t="s">
        <v>5961</v>
      </c>
      <c r="E18" s="959" t="s">
        <v>5944</v>
      </c>
      <c r="F18" s="1194">
        <v>43985</v>
      </c>
      <c r="G18" s="957" t="s">
        <v>6273</v>
      </c>
      <c r="H18" s="958" t="s">
        <v>5942</v>
      </c>
    </row>
    <row r="19" spans="1:8">
      <c r="A19" s="958">
        <v>14</v>
      </c>
      <c r="B19" s="958">
        <v>77</v>
      </c>
      <c r="C19" s="958" t="s">
        <v>402</v>
      </c>
      <c r="D19" s="959" t="s">
        <v>5955</v>
      </c>
      <c r="E19" s="959" t="s">
        <v>5949</v>
      </c>
      <c r="F19" s="1194">
        <v>43965</v>
      </c>
      <c r="G19" s="957" t="s">
        <v>6273</v>
      </c>
      <c r="H19" s="958" t="s">
        <v>5964</v>
      </c>
    </row>
    <row r="20" spans="1:8" ht="33">
      <c r="A20" s="958">
        <v>15</v>
      </c>
      <c r="B20" s="958">
        <v>91</v>
      </c>
      <c r="C20" s="958" t="s">
        <v>401</v>
      </c>
      <c r="D20" s="959" t="s">
        <v>5957</v>
      </c>
      <c r="E20" s="959" t="s">
        <v>5949</v>
      </c>
      <c r="F20" s="1194">
        <v>43975</v>
      </c>
      <c r="G20" s="957" t="s">
        <v>6273</v>
      </c>
      <c r="H20" s="958" t="s">
        <v>5965</v>
      </c>
    </row>
    <row r="21" spans="1:8" ht="49.5">
      <c r="A21" s="958">
        <v>16</v>
      </c>
      <c r="B21" s="958">
        <v>100</v>
      </c>
      <c r="C21" s="958" t="s">
        <v>382</v>
      </c>
      <c r="D21" s="959" t="s">
        <v>5958</v>
      </c>
      <c r="E21" s="959" t="s">
        <v>5949</v>
      </c>
      <c r="F21" s="1194">
        <v>43984</v>
      </c>
      <c r="G21" s="957" t="s">
        <v>6273</v>
      </c>
      <c r="H21" s="958" t="s">
        <v>5947</v>
      </c>
    </row>
    <row r="22" spans="1:8" ht="49.5">
      <c r="A22" s="958">
        <v>17</v>
      </c>
      <c r="B22" s="958">
        <v>100</v>
      </c>
      <c r="C22" s="958" t="s">
        <v>382</v>
      </c>
      <c r="D22" s="959" t="s">
        <v>5959</v>
      </c>
      <c r="E22" s="959" t="s">
        <v>5949</v>
      </c>
      <c r="F22" s="1194">
        <v>43985</v>
      </c>
      <c r="G22" s="957" t="s">
        <v>6273</v>
      </c>
      <c r="H22" s="958" t="s">
        <v>5940</v>
      </c>
    </row>
    <row r="23" spans="1:8" ht="49.5">
      <c r="A23" s="958">
        <v>18</v>
      </c>
      <c r="B23" s="958">
        <v>100</v>
      </c>
      <c r="C23" s="958" t="s">
        <v>382</v>
      </c>
      <c r="D23" s="959" t="s">
        <v>5960</v>
      </c>
      <c r="E23" s="959" t="s">
        <v>5949</v>
      </c>
      <c r="F23" s="1194">
        <v>43986</v>
      </c>
      <c r="G23" s="957" t="s">
        <v>6273</v>
      </c>
      <c r="H23" s="958" t="s">
        <v>5941</v>
      </c>
    </row>
    <row r="24" spans="1:8" ht="49.5">
      <c r="A24" s="961">
        <v>19</v>
      </c>
      <c r="B24" s="961">
        <v>100</v>
      </c>
      <c r="C24" s="961" t="s">
        <v>382</v>
      </c>
      <c r="D24" s="962" t="s">
        <v>5961</v>
      </c>
      <c r="E24" s="962" t="s">
        <v>5949</v>
      </c>
      <c r="F24" s="1195">
        <v>43987</v>
      </c>
      <c r="G24" s="960" t="s">
        <v>6273</v>
      </c>
      <c r="H24" s="961" t="s">
        <v>5942</v>
      </c>
    </row>
    <row r="25" spans="1:8">
      <c r="A25" s="974"/>
      <c r="B25" s="974"/>
      <c r="C25" s="974"/>
      <c r="D25" s="1105"/>
      <c r="E25" s="1105"/>
      <c r="F25" s="1106"/>
      <c r="G25" s="973"/>
      <c r="H25" s="958" t="s">
        <v>5785</v>
      </c>
    </row>
    <row r="26" spans="1:8">
      <c r="A26" s="974"/>
      <c r="B26" s="974"/>
      <c r="C26" s="974"/>
      <c r="D26" s="1105"/>
      <c r="E26" s="1105"/>
      <c r="F26" s="1106"/>
      <c r="G26" s="973"/>
      <c r="H26" s="958" t="s">
        <v>5786</v>
      </c>
    </row>
    <row r="27" spans="1:8">
      <c r="A27" s="974"/>
      <c r="B27" s="974"/>
      <c r="C27" s="974"/>
      <c r="D27" s="1105"/>
      <c r="E27" s="1105"/>
      <c r="F27" s="1106"/>
      <c r="G27" s="973"/>
      <c r="H27" s="961" t="s">
        <v>5787</v>
      </c>
    </row>
    <row r="28" spans="1:8">
      <c r="A28" s="974"/>
      <c r="B28" s="974"/>
      <c r="C28" s="974"/>
      <c r="D28" s="1105"/>
      <c r="E28" s="1105"/>
      <c r="F28" s="1106"/>
      <c r="G28" s="973"/>
      <c r="H28" s="958" t="s">
        <v>5633</v>
      </c>
    </row>
    <row r="29" spans="1:8">
      <c r="A29" s="974"/>
      <c r="B29" s="974"/>
      <c r="C29" s="974"/>
      <c r="D29" s="1105"/>
      <c r="E29" s="1105"/>
      <c r="F29" s="1106"/>
      <c r="G29" s="973"/>
      <c r="H29" s="958" t="s">
        <v>5621</v>
      </c>
    </row>
    <row r="30" spans="1:8">
      <c r="A30" s="974"/>
      <c r="B30" s="974"/>
      <c r="C30" s="974"/>
      <c r="D30" s="1105"/>
      <c r="E30" s="1105"/>
      <c r="F30" s="1106"/>
      <c r="G30" s="973"/>
      <c r="H30" s="958"/>
    </row>
    <row r="31" spans="1:8">
      <c r="A31" s="974"/>
      <c r="B31" s="974"/>
      <c r="C31" s="974"/>
      <c r="D31" s="1105"/>
      <c r="E31" s="1105"/>
      <c r="F31" s="1106"/>
      <c r="G31" s="973"/>
      <c r="H31" s="958" t="s">
        <v>5656</v>
      </c>
    </row>
    <row r="32" spans="1:8">
      <c r="A32" s="974"/>
      <c r="B32" s="974"/>
      <c r="C32" s="974"/>
      <c r="D32" s="1105"/>
      <c r="E32" s="1105"/>
      <c r="F32" s="1106"/>
      <c r="G32" s="973"/>
      <c r="H32" s="958" t="s">
        <v>5657</v>
      </c>
    </row>
    <row r="33" spans="1:8">
      <c r="A33" s="974"/>
      <c r="B33" s="974"/>
      <c r="C33" s="974"/>
      <c r="D33" s="1105"/>
      <c r="E33" s="1105"/>
      <c r="F33" s="1106"/>
      <c r="G33" s="973"/>
      <c r="H33" s="958" t="s">
        <v>5658</v>
      </c>
    </row>
    <row r="34" spans="1:8">
      <c r="A34" s="974"/>
      <c r="B34" s="974"/>
      <c r="C34" s="974"/>
      <c r="D34" s="1105"/>
      <c r="E34" s="1105"/>
      <c r="F34" s="1106"/>
      <c r="G34" s="973"/>
      <c r="H34" s="958" t="s">
        <v>5659</v>
      </c>
    </row>
    <row r="35" spans="1:8">
      <c r="A35" s="974"/>
      <c r="B35" s="974"/>
      <c r="C35" s="974"/>
      <c r="D35" s="1105"/>
      <c r="E35" s="1105"/>
      <c r="F35" s="1106"/>
      <c r="G35" s="973"/>
      <c r="H35" s="958" t="s">
        <v>5660</v>
      </c>
    </row>
    <row r="36" spans="1:8">
      <c r="A36" s="974"/>
      <c r="B36" s="974"/>
      <c r="C36" s="974"/>
      <c r="D36" s="1105"/>
      <c r="E36" s="1105"/>
      <c r="F36" s="1106"/>
      <c r="G36" s="973"/>
      <c r="H36" s="958" t="s">
        <v>5661</v>
      </c>
    </row>
    <row r="37" spans="1:8">
      <c r="A37" s="974"/>
      <c r="B37" s="974"/>
      <c r="C37" s="974"/>
      <c r="D37" s="1105"/>
      <c r="E37" s="1105"/>
      <c r="F37" s="1106"/>
      <c r="G37" s="973"/>
      <c r="H37" s="958" t="s">
        <v>5662</v>
      </c>
    </row>
    <row r="38" spans="1:8">
      <c r="A38" s="974"/>
      <c r="B38" s="974"/>
      <c r="C38" s="974"/>
      <c r="D38" s="1105"/>
      <c r="E38" s="1105"/>
      <c r="F38" s="1106"/>
      <c r="G38" s="973"/>
      <c r="H38" s="958" t="s">
        <v>5663</v>
      </c>
    </row>
    <row r="39" spans="1:8">
      <c r="A39" s="974"/>
      <c r="B39" s="974"/>
      <c r="C39" s="974"/>
      <c r="D39" s="1105"/>
      <c r="E39" s="1105"/>
      <c r="F39" s="1106"/>
      <c r="G39" s="973"/>
      <c r="H39" s="958" t="s">
        <v>5664</v>
      </c>
    </row>
    <row r="40" spans="1:8">
      <c r="A40" s="974"/>
      <c r="B40" s="974"/>
      <c r="C40" s="974"/>
      <c r="D40" s="1105"/>
      <c r="E40" s="1105"/>
      <c r="F40" s="1106"/>
      <c r="G40" s="973"/>
      <c r="H40" s="958" t="s">
        <v>5665</v>
      </c>
    </row>
    <row r="41" spans="1:8">
      <c r="A41" s="974"/>
      <c r="B41" s="974"/>
      <c r="C41" s="974"/>
      <c r="D41" s="1105"/>
      <c r="E41" s="1105"/>
      <c r="F41" s="1106"/>
      <c r="G41" s="973"/>
      <c r="H41" s="958" t="s">
        <v>5666</v>
      </c>
    </row>
    <row r="42" spans="1:8">
      <c r="A42" s="974"/>
      <c r="B42" s="974"/>
      <c r="C42" s="974"/>
      <c r="D42" s="1105"/>
      <c r="E42" s="1105"/>
      <c r="F42" s="1106"/>
      <c r="G42" s="973"/>
      <c r="H42" s="958" t="s">
        <v>5667</v>
      </c>
    </row>
    <row r="43" spans="1:8">
      <c r="A43" s="974"/>
      <c r="B43" s="974"/>
      <c r="C43" s="974"/>
      <c r="D43" s="1105"/>
      <c r="E43" s="1105"/>
      <c r="F43" s="1106"/>
      <c r="G43" s="973"/>
      <c r="H43" s="958" t="s">
        <v>5668</v>
      </c>
    </row>
    <row r="44" spans="1:8">
      <c r="A44" s="974"/>
      <c r="B44" s="974"/>
      <c r="C44" s="974"/>
      <c r="D44" s="1105"/>
      <c r="E44" s="1105"/>
      <c r="F44" s="1106"/>
      <c r="G44" s="973"/>
      <c r="H44" s="958" t="s">
        <v>5669</v>
      </c>
    </row>
    <row r="45" spans="1:8">
      <c r="A45" s="974"/>
      <c r="B45" s="974"/>
      <c r="C45" s="974"/>
      <c r="D45" s="1105"/>
      <c r="E45" s="1105"/>
      <c r="F45" s="1106"/>
      <c r="G45" s="973"/>
      <c r="H45" s="958"/>
    </row>
    <row r="46" spans="1:8">
      <c r="A46" s="974"/>
      <c r="B46" s="974"/>
      <c r="C46" s="974"/>
      <c r="D46" s="1105"/>
      <c r="E46" s="1105"/>
      <c r="F46" s="1106"/>
      <c r="G46" s="973"/>
      <c r="H46" s="958" t="s">
        <v>5670</v>
      </c>
    </row>
    <row r="47" spans="1:8">
      <c r="A47" s="974"/>
      <c r="B47" s="974"/>
      <c r="C47" s="974"/>
      <c r="D47" s="1105"/>
      <c r="E47" s="1105"/>
      <c r="F47" s="1106"/>
      <c r="G47" s="973"/>
      <c r="H47" s="958" t="s">
        <v>5671</v>
      </c>
    </row>
    <row r="48" spans="1:8">
      <c r="A48" s="974"/>
      <c r="B48" s="974"/>
      <c r="C48" s="974"/>
      <c r="D48" s="1105"/>
      <c r="E48" s="1105"/>
      <c r="F48" s="1106"/>
      <c r="G48" s="973"/>
      <c r="H48" s="958" t="s">
        <v>5672</v>
      </c>
    </row>
    <row r="49" spans="1:8">
      <c r="A49" s="974"/>
      <c r="B49" s="974"/>
      <c r="C49" s="974"/>
      <c r="D49" s="1105"/>
      <c r="E49" s="1105"/>
      <c r="F49" s="1106"/>
      <c r="G49" s="973"/>
      <c r="H49" s="958" t="s">
        <v>5673</v>
      </c>
    </row>
    <row r="50" spans="1:8">
      <c r="A50" s="974"/>
      <c r="B50" s="974"/>
      <c r="C50" s="974"/>
      <c r="D50" s="1105"/>
      <c r="E50" s="1105"/>
      <c r="F50" s="1106"/>
      <c r="G50" s="973"/>
      <c r="H50" s="958" t="s">
        <v>5674</v>
      </c>
    </row>
    <row r="51" spans="1:8">
      <c r="A51" s="974"/>
      <c r="B51" s="974"/>
      <c r="C51" s="974"/>
      <c r="D51" s="1105"/>
      <c r="E51" s="1105"/>
      <c r="F51" s="1106"/>
      <c r="G51" s="973"/>
      <c r="H51" s="958" t="s">
        <v>5675</v>
      </c>
    </row>
    <row r="52" spans="1:8">
      <c r="A52" s="974"/>
      <c r="B52" s="974"/>
      <c r="C52" s="974"/>
      <c r="D52" s="1105"/>
      <c r="E52" s="1105"/>
      <c r="F52" s="1106"/>
      <c r="G52" s="973"/>
      <c r="H52" s="958" t="s">
        <v>5676</v>
      </c>
    </row>
    <row r="53" spans="1:8">
      <c r="A53" s="974"/>
      <c r="B53" s="974"/>
      <c r="C53" s="974"/>
      <c r="D53" s="1105"/>
      <c r="E53" s="1105"/>
      <c r="F53" s="1106"/>
      <c r="G53" s="973"/>
      <c r="H53" s="958" t="s">
        <v>5677</v>
      </c>
    </row>
    <row r="54" spans="1:8">
      <c r="A54" s="974"/>
      <c r="B54" s="974"/>
      <c r="C54" s="974"/>
      <c r="D54" s="1105"/>
      <c r="E54" s="1105"/>
      <c r="F54" s="1106"/>
      <c r="G54" s="973"/>
      <c r="H54" s="958" t="s">
        <v>5678</v>
      </c>
    </row>
    <row r="55" spans="1:8">
      <c r="A55" s="974"/>
      <c r="B55" s="974"/>
      <c r="C55" s="974"/>
      <c r="D55" s="1105"/>
      <c r="E55" s="1105"/>
      <c r="F55" s="1106"/>
      <c r="G55" s="973"/>
      <c r="H55" s="958"/>
    </row>
    <row r="56" spans="1:8">
      <c r="A56" s="974"/>
      <c r="B56" s="974"/>
      <c r="C56" s="974"/>
      <c r="D56" s="1105"/>
      <c r="E56" s="1105"/>
      <c r="F56" s="1106"/>
      <c r="G56" s="973"/>
      <c r="H56" s="958"/>
    </row>
    <row r="57" spans="1:8">
      <c r="A57" s="974"/>
      <c r="B57" s="974"/>
      <c r="C57" s="974"/>
      <c r="D57" s="1105"/>
      <c r="E57" s="1105"/>
      <c r="F57" s="1106"/>
      <c r="G57" s="973"/>
      <c r="H57" s="958"/>
    </row>
    <row r="58" spans="1:8">
      <c r="A58" s="974"/>
      <c r="B58" s="974"/>
      <c r="C58" s="974"/>
      <c r="D58" s="1105"/>
      <c r="E58" s="1105"/>
      <c r="F58" s="1106"/>
      <c r="G58" s="973"/>
      <c r="H58" s="958"/>
    </row>
    <row r="59" spans="1:8">
      <c r="A59" s="974"/>
      <c r="B59" s="974"/>
      <c r="C59" s="974"/>
      <c r="D59" s="1105"/>
      <c r="E59" s="1105"/>
      <c r="F59" s="1106"/>
      <c r="G59" s="973"/>
      <c r="H59" s="958"/>
    </row>
    <row r="60" spans="1:8">
      <c r="A60" s="974"/>
      <c r="B60" s="974"/>
      <c r="C60" s="974"/>
      <c r="D60" s="1105"/>
      <c r="E60" s="1105"/>
      <c r="F60" s="1106"/>
      <c r="G60" s="973"/>
      <c r="H60" s="958"/>
    </row>
    <row r="61" spans="1:8">
      <c r="A61" s="974"/>
      <c r="B61" s="974"/>
      <c r="C61" s="974"/>
      <c r="D61" s="1105"/>
      <c r="E61" s="1105"/>
      <c r="F61" s="1106"/>
      <c r="G61" s="973"/>
      <c r="H61" s="958"/>
    </row>
    <row r="62" spans="1:8">
      <c r="A62" s="974"/>
      <c r="B62" s="974"/>
      <c r="C62" s="974"/>
      <c r="D62" s="1105"/>
      <c r="E62" s="1105"/>
      <c r="F62" s="1106"/>
      <c r="G62" s="973"/>
      <c r="H62" s="958" t="s">
        <v>5679</v>
      </c>
    </row>
    <row r="63" spans="1:8">
      <c r="A63" s="974"/>
      <c r="B63" s="974"/>
      <c r="C63" s="974"/>
      <c r="D63" s="1105"/>
      <c r="E63" s="1105"/>
      <c r="F63" s="1106"/>
      <c r="G63" s="973"/>
      <c r="H63" s="958" t="s">
        <v>5680</v>
      </c>
    </row>
    <row r="64" spans="1:8">
      <c r="A64" s="974"/>
      <c r="B64" s="974"/>
      <c r="C64" s="974"/>
      <c r="D64" s="1105"/>
      <c r="E64" s="1105"/>
      <c r="F64" s="1106"/>
      <c r="G64" s="973"/>
      <c r="H64" s="958"/>
    </row>
    <row r="65" spans="1:8">
      <c r="A65" s="974"/>
      <c r="B65" s="974"/>
      <c r="C65" s="974"/>
      <c r="D65" s="1105"/>
      <c r="E65" s="1105"/>
      <c r="F65" s="1106"/>
      <c r="G65" s="973"/>
      <c r="H65" s="961" t="s">
        <v>5681</v>
      </c>
    </row>
  </sheetData>
  <mergeCells count="1">
    <mergeCell ref="A1:H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tabColor rgb="FFFFFF00"/>
  </sheetPr>
  <dimension ref="A1:H8"/>
  <sheetViews>
    <sheetView workbookViewId="0">
      <pane xSplit="8" ySplit="5" topLeftCell="I6" activePane="bottomRight" state="frozen"/>
      <selection pane="topRight" activeCell="I1" sqref="I1"/>
      <selection pane="bottomLeft" activeCell="A6" sqref="A6"/>
      <selection pane="bottomRight" activeCell="H6" sqref="H6"/>
    </sheetView>
  </sheetViews>
  <sheetFormatPr defaultRowHeight="16.5"/>
  <cols>
    <col min="1" max="1" width="4.77734375" style="121" customWidth="1"/>
    <col min="2" max="2" width="8.44140625" style="121" bestFit="1" customWidth="1"/>
    <col min="3" max="3" width="10.6640625" style="121" customWidth="1"/>
    <col min="4" max="4" width="27.44140625" style="121" customWidth="1"/>
    <col min="5" max="5" width="24.44140625" style="121" customWidth="1"/>
    <col min="6" max="7" width="8.88671875" style="121"/>
    <col min="8" max="8" width="51.6640625" style="121" customWidth="1"/>
    <col min="9" max="16384" width="8.88671875" style="121"/>
  </cols>
  <sheetData>
    <row r="1" spans="1:8">
      <c r="A1" s="1440" t="s">
        <v>175</v>
      </c>
      <c r="B1" s="1440"/>
      <c r="C1" s="1440"/>
      <c r="D1" s="1440"/>
      <c r="E1" s="1440"/>
      <c r="F1" s="1440"/>
      <c r="G1" s="1440"/>
      <c r="H1" s="1440"/>
    </row>
    <row r="2" spans="1:8">
      <c r="A2" s="1440"/>
      <c r="B2" s="1440"/>
      <c r="C2" s="1440"/>
      <c r="D2" s="1440"/>
      <c r="E2" s="1440"/>
      <c r="F2" s="1440"/>
      <c r="G2" s="1440"/>
      <c r="H2" s="1440"/>
    </row>
    <row r="3" spans="1:8">
      <c r="A3" s="1441" t="str">
        <f>Nhattrinh!E1</f>
        <v xml:space="preserve">     Công trình: Gia cố nâng cấp kênh Bà Xoài từ K0+300÷K0+600 - Hệ thống thủy lợi Nha Trinh, huyện Ninh Hải, tỉnh Ninh Thuận</v>
      </c>
      <c r="B3" s="1441"/>
      <c r="C3" s="1441"/>
      <c r="D3" s="1441"/>
      <c r="E3" s="1441"/>
      <c r="F3" s="1441"/>
      <c r="G3" s="1441"/>
      <c r="H3" s="1441"/>
    </row>
    <row r="4" spans="1:8">
      <c r="A4" s="1442" t="str">
        <f>Nhattrinh!E2</f>
        <v xml:space="preserve">     Địa điểm XD: Huyện Ninh Hải - Tỉnh Ninh Thuận</v>
      </c>
      <c r="B4" s="1442"/>
      <c r="C4" s="1442"/>
      <c r="D4" s="1442"/>
      <c r="E4" s="1442"/>
      <c r="F4" s="1442"/>
      <c r="G4" s="1442"/>
      <c r="H4" s="1442"/>
    </row>
    <row r="5" spans="1:8" ht="49.5">
      <c r="A5" s="757" t="s">
        <v>168</v>
      </c>
      <c r="B5" s="757" t="s">
        <v>3949</v>
      </c>
      <c r="C5" s="757" t="s">
        <v>29</v>
      </c>
      <c r="D5" s="757" t="s">
        <v>23</v>
      </c>
      <c r="E5" s="757" t="s">
        <v>30</v>
      </c>
      <c r="F5" s="757" t="s">
        <v>3947</v>
      </c>
      <c r="G5" s="757" t="s">
        <v>4441</v>
      </c>
      <c r="H5" s="757" t="s">
        <v>4261</v>
      </c>
    </row>
    <row r="6" spans="1:8" ht="66">
      <c r="A6" s="1199">
        <v>1</v>
      </c>
      <c r="B6" s="1199"/>
      <c r="C6" s="1199" t="s">
        <v>367</v>
      </c>
      <c r="D6" s="1199" t="s">
        <v>5644</v>
      </c>
      <c r="E6" s="1199"/>
      <c r="F6" s="1200">
        <v>43954</v>
      </c>
      <c r="G6" s="1199"/>
      <c r="H6" s="1199" t="s">
        <v>5929</v>
      </c>
    </row>
    <row r="7" spans="1:8">
      <c r="A7" s="1105"/>
      <c r="B7" s="1105"/>
      <c r="C7" s="1105"/>
      <c r="D7" s="1105"/>
      <c r="E7" s="1105"/>
      <c r="F7" s="1198"/>
      <c r="G7" s="1105"/>
      <c r="H7" s="1105"/>
    </row>
    <row r="8" spans="1:8">
      <c r="A8" s="1105"/>
      <c r="B8" s="1105"/>
      <c r="C8" s="1105"/>
      <c r="D8" s="1105"/>
      <c r="E8" s="1105"/>
      <c r="F8" s="1198"/>
      <c r="G8" s="1105"/>
      <c r="H8" s="1105"/>
    </row>
  </sheetData>
  <mergeCells count="3">
    <mergeCell ref="A1:H2"/>
    <mergeCell ref="A3:H3"/>
    <mergeCell ref="A4:H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tabColor rgb="FFFFFF00"/>
  </sheetPr>
  <dimension ref="A1:Q49"/>
  <sheetViews>
    <sheetView workbookViewId="0">
      <pane xSplit="8" ySplit="5" topLeftCell="I6" activePane="bottomRight" state="frozen"/>
      <selection pane="topRight" activeCell="I1" sqref="I1"/>
      <selection pane="bottomLeft" activeCell="A6" sqref="A6"/>
      <selection pane="bottomRight" activeCell="D10" sqref="D10"/>
    </sheetView>
  </sheetViews>
  <sheetFormatPr defaultRowHeight="15.75"/>
  <cols>
    <col min="1" max="1" width="4.33203125" style="1053" customWidth="1"/>
    <col min="2" max="2" width="4.77734375" style="1053" bestFit="1" customWidth="1"/>
    <col min="3" max="3" width="8.77734375" style="1053" bestFit="1" customWidth="1"/>
    <col min="4" max="4" width="21" style="1063" customWidth="1"/>
    <col min="5" max="5" width="20.88671875" style="1063" customWidth="1"/>
    <col min="6" max="6" width="8.88671875" style="1053"/>
    <col min="7" max="7" width="7.44140625" style="1068" customWidth="1"/>
    <col min="8" max="8" width="27.77734375" style="1053" bestFit="1" customWidth="1"/>
    <col min="9" max="9" width="7.109375" style="1068" bestFit="1" customWidth="1"/>
    <col min="10" max="10" width="7.6640625" style="1068" bestFit="1" customWidth="1"/>
    <col min="11" max="11" width="6" style="1068" bestFit="1" customWidth="1"/>
    <col min="12" max="13" width="3.21875" style="1068" bestFit="1" customWidth="1"/>
    <col min="14" max="14" width="4.21875" style="1068" bestFit="1" customWidth="1"/>
    <col min="15" max="15" width="5.5546875" style="1053" bestFit="1" customWidth="1"/>
    <col min="16" max="16" width="11.6640625" style="1053" bestFit="1" customWidth="1"/>
    <col min="17" max="17" width="14.44140625" style="1053" bestFit="1" customWidth="1"/>
    <col min="18" max="16384" width="8.88671875" style="1053"/>
  </cols>
  <sheetData>
    <row r="1" spans="1:17" ht="16.5" customHeight="1">
      <c r="A1" s="1443" t="s">
        <v>175</v>
      </c>
      <c r="B1" s="1443"/>
      <c r="C1" s="1443"/>
      <c r="D1" s="1443"/>
      <c r="E1" s="1443"/>
      <c r="F1" s="1443"/>
      <c r="G1" s="1443"/>
      <c r="H1" s="1443"/>
      <c r="I1" s="1443"/>
      <c r="J1" s="1443"/>
      <c r="K1" s="1443"/>
      <c r="L1" s="1443"/>
      <c r="M1" s="1443"/>
      <c r="N1" s="1443"/>
      <c r="O1" s="1443"/>
      <c r="P1" s="1443"/>
      <c r="Q1" s="1443"/>
    </row>
    <row r="2" spans="1:17" ht="16.5" customHeight="1">
      <c r="A2" s="1443"/>
      <c r="B2" s="1443"/>
      <c r="C2" s="1443"/>
      <c r="D2" s="1443"/>
      <c r="E2" s="1443"/>
      <c r="F2" s="1443"/>
      <c r="G2" s="1443"/>
      <c r="H2" s="1443"/>
      <c r="I2" s="1443"/>
      <c r="J2" s="1443"/>
      <c r="K2" s="1443"/>
      <c r="L2" s="1443"/>
      <c r="M2" s="1443"/>
      <c r="N2" s="1443"/>
      <c r="O2" s="1443"/>
      <c r="P2" s="1443"/>
      <c r="Q2" s="1443"/>
    </row>
    <row r="3" spans="1:17">
      <c r="A3" s="1444" t="str">
        <f>Nhattrinh!E1</f>
        <v xml:space="preserve">     Công trình: Gia cố nâng cấp kênh Bà Xoài từ K0+300÷K0+600 - Hệ thống thủy lợi Nha Trinh, huyện Ninh Hải, tỉnh Ninh Thuận</v>
      </c>
      <c r="B3" s="1444"/>
      <c r="C3" s="1444"/>
      <c r="D3" s="1444"/>
      <c r="E3" s="1444"/>
      <c r="F3" s="1444"/>
      <c r="G3" s="1444"/>
      <c r="H3" s="1444"/>
      <c r="I3" s="1444"/>
      <c r="J3" s="1444"/>
      <c r="K3" s="1444"/>
      <c r="L3" s="1444"/>
      <c r="M3" s="1444"/>
      <c r="N3" s="1444"/>
      <c r="O3" s="1444"/>
      <c r="P3" s="1444"/>
      <c r="Q3" s="1444"/>
    </row>
    <row r="4" spans="1:17" ht="25.5" customHeight="1">
      <c r="A4" s="1444" t="str">
        <f>Nhattrinh!E2</f>
        <v xml:space="preserve">     Địa điểm XD: Huyện Ninh Hải - Tỉnh Ninh Thuận</v>
      </c>
      <c r="B4" s="1444"/>
      <c r="C4" s="1444"/>
      <c r="D4" s="1444"/>
      <c r="E4" s="1444"/>
      <c r="F4" s="1444"/>
      <c r="G4" s="1444"/>
      <c r="H4" s="1444"/>
      <c r="I4" s="1444"/>
      <c r="J4" s="1444"/>
      <c r="K4" s="1444"/>
      <c r="L4" s="1444"/>
      <c r="M4" s="1444"/>
      <c r="N4" s="1444"/>
      <c r="O4" s="1444"/>
      <c r="P4" s="1444"/>
      <c r="Q4" s="1444"/>
    </row>
    <row r="5" spans="1:17" ht="47.25">
      <c r="A5" s="1064" t="s">
        <v>168</v>
      </c>
      <c r="B5" s="1038" t="s">
        <v>3949</v>
      </c>
      <c r="C5" s="1038" t="s">
        <v>29</v>
      </c>
      <c r="D5" s="1038" t="s">
        <v>23</v>
      </c>
      <c r="E5" s="1038" t="s">
        <v>30</v>
      </c>
      <c r="F5" s="1038" t="s">
        <v>3947</v>
      </c>
      <c r="G5" s="1038" t="s">
        <v>5632</v>
      </c>
      <c r="H5" s="1038" t="s">
        <v>4261</v>
      </c>
      <c r="I5" s="1038" t="s">
        <v>5626</v>
      </c>
      <c r="J5" s="1038" t="s">
        <v>5627</v>
      </c>
      <c r="K5" s="1038" t="s">
        <v>5652</v>
      </c>
      <c r="L5" s="1038" t="s">
        <v>5628</v>
      </c>
      <c r="M5" s="1038" t="s">
        <v>5629</v>
      </c>
      <c r="N5" s="1038" t="s">
        <v>5630</v>
      </c>
      <c r="O5" s="1038" t="s">
        <v>5623</v>
      </c>
      <c r="P5" s="1038" t="s">
        <v>5653</v>
      </c>
      <c r="Q5" s="1038" t="s">
        <v>5654</v>
      </c>
    </row>
    <row r="6" spans="1:17" ht="31.5">
      <c r="A6" s="1054">
        <v>1</v>
      </c>
      <c r="B6" s="1054">
        <v>17</v>
      </c>
      <c r="C6" s="1054" t="s">
        <v>402</v>
      </c>
      <c r="D6" s="1055" t="s">
        <v>5952</v>
      </c>
      <c r="E6" s="1055" t="s">
        <v>5932</v>
      </c>
      <c r="F6" s="1056">
        <v>43961</v>
      </c>
      <c r="G6" s="1065" t="s">
        <v>6273</v>
      </c>
      <c r="H6" s="1054" t="s">
        <v>5956</v>
      </c>
      <c r="I6" s="1068" t="s">
        <v>5771</v>
      </c>
      <c r="L6" s="1068" t="s">
        <v>5651</v>
      </c>
      <c r="M6" s="1068" t="s">
        <v>5651</v>
      </c>
      <c r="O6" s="1053">
        <f t="shared" ref="O6:O11" si="0">COUNTA(L6:N6)</f>
        <v>2</v>
      </c>
      <c r="P6" s="1053" t="s">
        <v>5990</v>
      </c>
      <c r="Q6" s="1053" t="s">
        <v>5991</v>
      </c>
    </row>
    <row r="7" spans="1:17" ht="31.5">
      <c r="A7" s="1057">
        <v>2</v>
      </c>
      <c r="B7" s="1057">
        <v>31</v>
      </c>
      <c r="C7" s="1057" t="s">
        <v>401</v>
      </c>
      <c r="D7" s="1058" t="s">
        <v>5953</v>
      </c>
      <c r="E7" s="1058" t="s">
        <v>5932</v>
      </c>
      <c r="F7" s="1059">
        <v>43971</v>
      </c>
      <c r="G7" s="1066" t="s">
        <v>6273</v>
      </c>
      <c r="H7" s="1057" t="s">
        <v>5880</v>
      </c>
      <c r="I7" s="1068" t="s">
        <v>5489</v>
      </c>
      <c r="J7" s="1068" t="s">
        <v>4346</v>
      </c>
      <c r="K7" s="1068" t="s">
        <v>3968</v>
      </c>
      <c r="L7" s="1068" t="s">
        <v>5651</v>
      </c>
      <c r="M7" s="1068" t="s">
        <v>5651</v>
      </c>
      <c r="O7" s="1053">
        <f t="shared" si="0"/>
        <v>2</v>
      </c>
      <c r="P7" s="1053" t="s">
        <v>5655</v>
      </c>
      <c r="Q7" s="1053" t="s">
        <v>5881</v>
      </c>
    </row>
    <row r="8" spans="1:17" ht="31.5">
      <c r="A8" s="1057">
        <v>3</v>
      </c>
      <c r="B8" s="1057">
        <v>47</v>
      </c>
      <c r="C8" s="1057" t="s">
        <v>402</v>
      </c>
      <c r="D8" s="1058" t="s">
        <v>5952</v>
      </c>
      <c r="E8" s="1058" t="s">
        <v>5944</v>
      </c>
      <c r="F8" s="1059">
        <v>43963</v>
      </c>
      <c r="G8" s="1066" t="s">
        <v>6273</v>
      </c>
      <c r="H8" s="1057" t="s">
        <v>5962</v>
      </c>
      <c r="I8" s="1068" t="s">
        <v>5771</v>
      </c>
      <c r="L8" s="1068" t="s">
        <v>5651</v>
      </c>
      <c r="M8" s="1068" t="s">
        <v>5651</v>
      </c>
      <c r="O8" s="1053">
        <f t="shared" si="0"/>
        <v>2</v>
      </c>
      <c r="P8" s="1053" t="s">
        <v>5990</v>
      </c>
      <c r="Q8" s="1053" t="s">
        <v>5992</v>
      </c>
    </row>
    <row r="9" spans="1:17" ht="31.5">
      <c r="A9" s="1057">
        <v>4</v>
      </c>
      <c r="B9" s="1057">
        <v>61</v>
      </c>
      <c r="C9" s="1057" t="s">
        <v>401</v>
      </c>
      <c r="D9" s="1058" t="s">
        <v>5953</v>
      </c>
      <c r="E9" s="1058" t="s">
        <v>5944</v>
      </c>
      <c r="F9" s="1059">
        <v>43973</v>
      </c>
      <c r="G9" s="1066" t="s">
        <v>6273</v>
      </c>
      <c r="H9" s="1057" t="s">
        <v>5963</v>
      </c>
      <c r="I9" s="1068" t="s">
        <v>5489</v>
      </c>
      <c r="J9" s="1068" t="s">
        <v>4346</v>
      </c>
      <c r="K9" s="1068" t="s">
        <v>3968</v>
      </c>
      <c r="L9" s="1068" t="s">
        <v>5651</v>
      </c>
      <c r="M9" s="1068" t="s">
        <v>5651</v>
      </c>
      <c r="O9" s="1053">
        <f t="shared" si="0"/>
        <v>2</v>
      </c>
      <c r="P9" s="1053" t="s">
        <v>5655</v>
      </c>
      <c r="Q9" s="1053" t="s">
        <v>5993</v>
      </c>
    </row>
    <row r="10" spans="1:17" ht="31.5">
      <c r="A10" s="1057">
        <v>5</v>
      </c>
      <c r="B10" s="1057">
        <v>77</v>
      </c>
      <c r="C10" s="1057" t="s">
        <v>402</v>
      </c>
      <c r="D10" s="1058" t="s">
        <v>5952</v>
      </c>
      <c r="E10" s="1058" t="s">
        <v>5949</v>
      </c>
      <c r="F10" s="1059">
        <v>43965</v>
      </c>
      <c r="G10" s="1066" t="s">
        <v>6273</v>
      </c>
      <c r="H10" s="1057" t="s">
        <v>5964</v>
      </c>
      <c r="I10" s="1068" t="s">
        <v>5771</v>
      </c>
      <c r="L10" s="1068" t="s">
        <v>5651</v>
      </c>
      <c r="M10" s="1068" t="s">
        <v>5651</v>
      </c>
      <c r="O10" s="1053">
        <f t="shared" si="0"/>
        <v>2</v>
      </c>
      <c r="P10" s="1053" t="s">
        <v>5990</v>
      </c>
      <c r="Q10" s="1053" t="s">
        <v>5994</v>
      </c>
    </row>
    <row r="11" spans="1:17" ht="31.5">
      <c r="A11" s="1060">
        <v>6</v>
      </c>
      <c r="B11" s="1060">
        <v>91</v>
      </c>
      <c r="C11" s="1060" t="s">
        <v>401</v>
      </c>
      <c r="D11" s="1061" t="s">
        <v>5953</v>
      </c>
      <c r="E11" s="1061" t="s">
        <v>5949</v>
      </c>
      <c r="F11" s="1062">
        <v>43975</v>
      </c>
      <c r="G11" s="1067" t="s">
        <v>6273</v>
      </c>
      <c r="H11" s="1060" t="s">
        <v>5965</v>
      </c>
      <c r="I11" s="1068" t="s">
        <v>5489</v>
      </c>
      <c r="J11" s="1068" t="s">
        <v>4346</v>
      </c>
      <c r="K11" s="1068" t="s">
        <v>3968</v>
      </c>
      <c r="L11" s="1068" t="s">
        <v>5651</v>
      </c>
      <c r="M11" s="1068" t="s">
        <v>5651</v>
      </c>
      <c r="O11" s="1053">
        <f t="shared" si="0"/>
        <v>2</v>
      </c>
      <c r="P11" s="1053" t="s">
        <v>5655</v>
      </c>
      <c r="Q11" s="1053" t="s">
        <v>5995</v>
      </c>
    </row>
    <row r="12" spans="1:17">
      <c r="A12" s="1201"/>
      <c r="B12" s="1201"/>
      <c r="C12" s="1201"/>
      <c r="D12" s="1202"/>
      <c r="E12" s="1202"/>
      <c r="F12" s="1203"/>
      <c r="G12" s="1204"/>
      <c r="H12" s="1201"/>
    </row>
    <row r="13" spans="1:17">
      <c r="A13" s="1201"/>
      <c r="B13" s="1201"/>
      <c r="C13" s="1201"/>
      <c r="D13" s="1202"/>
      <c r="E13" s="1202"/>
      <c r="F13" s="1203"/>
      <c r="G13" s="1204"/>
      <c r="H13" s="1201"/>
    </row>
    <row r="14" spans="1:17">
      <c r="A14" s="1201"/>
      <c r="B14" s="1201"/>
      <c r="C14" s="1201"/>
      <c r="D14" s="1202"/>
      <c r="E14" s="1202"/>
      <c r="F14" s="1203"/>
      <c r="G14" s="1204"/>
      <c r="H14" s="1201"/>
    </row>
    <row r="15" spans="1:17">
      <c r="A15" s="1201"/>
      <c r="B15" s="1201"/>
      <c r="C15" s="1201"/>
      <c r="D15" s="1202"/>
      <c r="E15" s="1202"/>
      <c r="F15" s="1203"/>
      <c r="G15" s="1204"/>
      <c r="H15" s="1201"/>
    </row>
    <row r="16" spans="1:17">
      <c r="A16" s="1201"/>
      <c r="B16" s="1201"/>
      <c r="C16" s="1201"/>
      <c r="D16" s="1202"/>
      <c r="E16" s="1202"/>
      <c r="F16" s="1203"/>
      <c r="G16" s="1204"/>
      <c r="H16" s="1201"/>
    </row>
    <row r="17" spans="1:8">
      <c r="A17" s="1201"/>
      <c r="B17" s="1201"/>
      <c r="C17" s="1201"/>
      <c r="D17" s="1202"/>
      <c r="E17" s="1202"/>
      <c r="F17" s="1203"/>
      <c r="G17" s="1204"/>
      <c r="H17" s="1201"/>
    </row>
    <row r="18" spans="1:8">
      <c r="A18" s="1201"/>
      <c r="B18" s="1201"/>
      <c r="C18" s="1201"/>
      <c r="D18" s="1202"/>
      <c r="E18" s="1202"/>
      <c r="F18" s="1203"/>
      <c r="G18" s="1204"/>
      <c r="H18" s="1201"/>
    </row>
    <row r="19" spans="1:8">
      <c r="A19" s="1201"/>
      <c r="B19" s="1201"/>
      <c r="C19" s="1201"/>
      <c r="D19" s="1202"/>
      <c r="E19" s="1202"/>
      <c r="F19" s="1203"/>
      <c r="G19" s="1204"/>
      <c r="H19" s="1201"/>
    </row>
    <row r="20" spans="1:8">
      <c r="A20" s="1201"/>
      <c r="B20" s="1201"/>
      <c r="C20" s="1201"/>
      <c r="D20" s="1202"/>
      <c r="E20" s="1202"/>
      <c r="F20" s="1203"/>
      <c r="G20" s="1204"/>
      <c r="H20" s="1201"/>
    </row>
    <row r="21" spans="1:8">
      <c r="A21" s="1201"/>
      <c r="B21" s="1201"/>
      <c r="C21" s="1201"/>
      <c r="D21" s="1202"/>
      <c r="E21" s="1202"/>
      <c r="F21" s="1203"/>
      <c r="G21" s="1204"/>
      <c r="H21" s="1201"/>
    </row>
    <row r="22" spans="1:8">
      <c r="A22" s="1201"/>
      <c r="B22" s="1201"/>
      <c r="C22" s="1201"/>
      <c r="D22" s="1202"/>
      <c r="E22" s="1202"/>
      <c r="F22" s="1203"/>
      <c r="G22" s="1204"/>
      <c r="H22" s="1201"/>
    </row>
    <row r="23" spans="1:8">
      <c r="A23" s="1201"/>
      <c r="B23" s="1201"/>
      <c r="C23" s="1201"/>
      <c r="D23" s="1202"/>
      <c r="E23" s="1202"/>
      <c r="F23" s="1203"/>
      <c r="G23" s="1204"/>
      <c r="H23" s="1201"/>
    </row>
    <row r="24" spans="1:8">
      <c r="A24" s="1201"/>
      <c r="B24" s="1201"/>
      <c r="C24" s="1201"/>
      <c r="D24" s="1202"/>
      <c r="E24" s="1202"/>
      <c r="F24" s="1203"/>
      <c r="G24" s="1204"/>
      <c r="H24" s="1201"/>
    </row>
    <row r="25" spans="1:8">
      <c r="A25" s="1201"/>
      <c r="B25" s="1201"/>
      <c r="C25" s="1201"/>
      <c r="D25" s="1202"/>
      <c r="E25" s="1202"/>
      <c r="F25" s="1203"/>
      <c r="G25" s="1204"/>
      <c r="H25" s="1201"/>
    </row>
    <row r="26" spans="1:8">
      <c r="A26" s="1201"/>
      <c r="B26" s="1201"/>
      <c r="C26" s="1201"/>
      <c r="D26" s="1202"/>
      <c r="E26" s="1202"/>
      <c r="F26" s="1203"/>
      <c r="G26" s="1204"/>
      <c r="H26" s="1201"/>
    </row>
    <row r="27" spans="1:8">
      <c r="A27" s="1201"/>
      <c r="B27" s="1201"/>
      <c r="C27" s="1201"/>
      <c r="D27" s="1202"/>
      <c r="E27" s="1202"/>
      <c r="F27" s="1203"/>
      <c r="G27" s="1204"/>
      <c r="H27" s="1201"/>
    </row>
    <row r="28" spans="1:8">
      <c r="A28" s="1201"/>
      <c r="B28" s="1201"/>
      <c r="C28" s="1201"/>
      <c r="D28" s="1202"/>
      <c r="E28" s="1202"/>
      <c r="F28" s="1203"/>
      <c r="G28" s="1204"/>
      <c r="H28" s="1201"/>
    </row>
    <row r="29" spans="1:8">
      <c r="A29" s="1201"/>
      <c r="B29" s="1201"/>
      <c r="C29" s="1201"/>
      <c r="D29" s="1202"/>
      <c r="E29" s="1202"/>
      <c r="F29" s="1203"/>
      <c r="G29" s="1204"/>
      <c r="H29" s="1201"/>
    </row>
    <row r="30" spans="1:8">
      <c r="A30" s="1201"/>
      <c r="B30" s="1201"/>
      <c r="C30" s="1201"/>
      <c r="D30" s="1202"/>
      <c r="E30" s="1202"/>
      <c r="F30" s="1203"/>
      <c r="G30" s="1204"/>
      <c r="H30" s="1201"/>
    </row>
    <row r="31" spans="1:8">
      <c r="A31" s="1201"/>
      <c r="B31" s="1201"/>
      <c r="C31" s="1201"/>
      <c r="D31" s="1202"/>
      <c r="E31" s="1202"/>
      <c r="F31" s="1203"/>
      <c r="G31" s="1204"/>
      <c r="H31" s="1201"/>
    </row>
    <row r="32" spans="1:8">
      <c r="A32" s="1201"/>
      <c r="B32" s="1201"/>
      <c r="C32" s="1201"/>
      <c r="D32" s="1202"/>
      <c r="E32" s="1202"/>
      <c r="F32" s="1203"/>
      <c r="G32" s="1204"/>
      <c r="H32" s="1201"/>
    </row>
    <row r="33" spans="1:8">
      <c r="A33" s="1201"/>
      <c r="B33" s="1201"/>
      <c r="C33" s="1201"/>
      <c r="D33" s="1202"/>
      <c r="E33" s="1202"/>
      <c r="F33" s="1203"/>
      <c r="G33" s="1204"/>
      <c r="H33" s="1201"/>
    </row>
    <row r="34" spans="1:8">
      <c r="A34" s="1201"/>
      <c r="B34" s="1201"/>
      <c r="C34" s="1201"/>
      <c r="D34" s="1202"/>
      <c r="E34" s="1202"/>
      <c r="F34" s="1203"/>
      <c r="G34" s="1204"/>
      <c r="H34" s="1201"/>
    </row>
    <row r="35" spans="1:8">
      <c r="A35" s="1201"/>
      <c r="B35" s="1201"/>
      <c r="C35" s="1201"/>
      <c r="D35" s="1202"/>
      <c r="E35" s="1202"/>
      <c r="F35" s="1203"/>
      <c r="G35" s="1204"/>
      <c r="H35" s="1201"/>
    </row>
    <row r="36" spans="1:8">
      <c r="A36" s="1201"/>
      <c r="B36" s="1201"/>
      <c r="C36" s="1201"/>
      <c r="D36" s="1202"/>
      <c r="E36" s="1202"/>
      <c r="F36" s="1203"/>
      <c r="G36" s="1204"/>
      <c r="H36" s="1201"/>
    </row>
    <row r="37" spans="1:8">
      <c r="A37" s="1201"/>
      <c r="B37" s="1201"/>
      <c r="C37" s="1201"/>
      <c r="D37" s="1202"/>
      <c r="E37" s="1202"/>
      <c r="F37" s="1203"/>
      <c r="G37" s="1204"/>
      <c r="H37" s="1201"/>
    </row>
    <row r="38" spans="1:8">
      <c r="A38" s="1201"/>
      <c r="B38" s="1201"/>
      <c r="C38" s="1201"/>
      <c r="D38" s="1202"/>
      <c r="E38" s="1202"/>
      <c r="F38" s="1203"/>
      <c r="G38" s="1204"/>
      <c r="H38" s="1201"/>
    </row>
    <row r="39" spans="1:8">
      <c r="A39" s="1201"/>
      <c r="B39" s="1201"/>
      <c r="C39" s="1201"/>
      <c r="D39" s="1202"/>
      <c r="E39" s="1202"/>
      <c r="F39" s="1203"/>
      <c r="G39" s="1204"/>
      <c r="H39" s="1201"/>
    </row>
    <row r="40" spans="1:8">
      <c r="A40" s="1201"/>
      <c r="B40" s="1201"/>
      <c r="C40" s="1201"/>
      <c r="D40" s="1202"/>
      <c r="E40" s="1202"/>
      <c r="F40" s="1203"/>
      <c r="G40" s="1204"/>
      <c r="H40" s="1201"/>
    </row>
    <row r="41" spans="1:8">
      <c r="A41" s="1201"/>
      <c r="B41" s="1201"/>
      <c r="C41" s="1201"/>
      <c r="D41" s="1202"/>
      <c r="E41" s="1202"/>
      <c r="F41" s="1203"/>
      <c r="G41" s="1204"/>
      <c r="H41" s="1201"/>
    </row>
    <row r="42" spans="1:8">
      <c r="A42" s="1201"/>
      <c r="B42" s="1201"/>
      <c r="C42" s="1201"/>
      <c r="D42" s="1202"/>
      <c r="E42" s="1202"/>
      <c r="F42" s="1203"/>
      <c r="G42" s="1204"/>
      <c r="H42" s="1201"/>
    </row>
    <row r="43" spans="1:8">
      <c r="A43" s="1201"/>
      <c r="B43" s="1201"/>
      <c r="C43" s="1201"/>
      <c r="D43" s="1202"/>
      <c r="E43" s="1202"/>
      <c r="F43" s="1203"/>
      <c r="G43" s="1204"/>
      <c r="H43" s="1201"/>
    </row>
    <row r="44" spans="1:8">
      <c r="A44" s="1201"/>
      <c r="B44" s="1201"/>
      <c r="C44" s="1201"/>
      <c r="D44" s="1202"/>
      <c r="E44" s="1202"/>
      <c r="F44" s="1203"/>
      <c r="G44" s="1204"/>
      <c r="H44" s="1201"/>
    </row>
    <row r="45" spans="1:8">
      <c r="A45" s="1201"/>
      <c r="B45" s="1201"/>
      <c r="C45" s="1201"/>
      <c r="D45" s="1202"/>
      <c r="E45" s="1202"/>
      <c r="F45" s="1203"/>
      <c r="G45" s="1204"/>
      <c r="H45" s="1201"/>
    </row>
    <row r="46" spans="1:8">
      <c r="A46" s="1201"/>
      <c r="B46" s="1201"/>
      <c r="C46" s="1201"/>
      <c r="D46" s="1202"/>
      <c r="E46" s="1202"/>
      <c r="F46" s="1203"/>
      <c r="G46" s="1204"/>
      <c r="H46" s="1201"/>
    </row>
    <row r="47" spans="1:8">
      <c r="A47" s="1201"/>
      <c r="B47" s="1201"/>
      <c r="C47" s="1201"/>
      <c r="D47" s="1202"/>
      <c r="E47" s="1202"/>
      <c r="F47" s="1203"/>
      <c r="G47" s="1204"/>
      <c r="H47" s="1201"/>
    </row>
    <row r="48" spans="1:8">
      <c r="A48" s="1201"/>
      <c r="B48" s="1201"/>
      <c r="C48" s="1201"/>
      <c r="D48" s="1202"/>
      <c r="E48" s="1202"/>
      <c r="F48" s="1203"/>
      <c r="G48" s="1204"/>
      <c r="H48" s="1201"/>
    </row>
    <row r="49" spans="1:8">
      <c r="A49" s="1201"/>
      <c r="B49" s="1201"/>
      <c r="C49" s="1201"/>
      <c r="D49" s="1202"/>
      <c r="E49" s="1202"/>
      <c r="F49" s="1203"/>
      <c r="G49" s="1204"/>
      <c r="H49" s="1201"/>
    </row>
  </sheetData>
  <mergeCells count="3">
    <mergeCell ref="A1:Q2"/>
    <mergeCell ref="A3:Q3"/>
    <mergeCell ref="A4:Q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rgb="FFFFFF00"/>
  </sheetPr>
  <dimension ref="A1:H49"/>
  <sheetViews>
    <sheetView workbookViewId="0">
      <pane xSplit="8" ySplit="5" topLeftCell="I6" activePane="bottomRight" state="frozen"/>
      <selection pane="topRight" activeCell="I1" sqref="I1"/>
      <selection pane="bottomLeft" activeCell="A6" sqref="A6"/>
      <selection pane="bottomRight" activeCell="H12" sqref="H12"/>
    </sheetView>
  </sheetViews>
  <sheetFormatPr defaultRowHeight="16.5"/>
  <cols>
    <col min="1" max="1" width="3.88671875" customWidth="1"/>
    <col min="2" max="2" width="5.6640625" customWidth="1"/>
    <col min="3" max="3" width="9.77734375" bestFit="1" customWidth="1"/>
    <col min="4" max="4" width="29.77734375" customWidth="1"/>
    <col min="5" max="5" width="26.109375" customWidth="1"/>
    <col min="6" max="6" width="10.33203125" customWidth="1"/>
    <col min="8" max="8" width="51.109375" customWidth="1"/>
  </cols>
  <sheetData>
    <row r="1" spans="1:8" ht="16.5" customHeight="1">
      <c r="A1" s="1440" t="s">
        <v>175</v>
      </c>
      <c r="B1" s="1440"/>
      <c r="C1" s="1440"/>
      <c r="D1" s="1440"/>
      <c r="E1" s="1440"/>
      <c r="F1" s="1440"/>
      <c r="G1" s="1440"/>
      <c r="H1" s="1440"/>
    </row>
    <row r="2" spans="1:8" ht="16.5" customHeight="1">
      <c r="A2" s="1440"/>
      <c r="B2" s="1440"/>
      <c r="C2" s="1440"/>
      <c r="D2" s="1440"/>
      <c r="E2" s="1440"/>
      <c r="F2" s="1440"/>
      <c r="G2" s="1440"/>
      <c r="H2" s="1440"/>
    </row>
    <row r="3" spans="1:8" ht="25.5">
      <c r="A3" s="548" t="str">
        <f>Nhattrinh!E1</f>
        <v xml:space="preserve">     Công trình: Gia cố nâng cấp kênh Bà Xoài từ K0+300÷K0+600 - Hệ thống thủy lợi Nha Trinh, huyện Ninh Hải, tỉnh Ninh Thuận</v>
      </c>
      <c r="B3" s="711"/>
      <c r="C3" s="711"/>
      <c r="D3" s="711"/>
      <c r="E3" s="710"/>
      <c r="F3" s="712"/>
      <c r="G3" s="712"/>
      <c r="H3" s="712"/>
    </row>
    <row r="4" spans="1:8" ht="25.5">
      <c r="A4" s="551" t="str">
        <f>Nhattrinh!E2</f>
        <v xml:space="preserve">     Địa điểm XD: Huyện Ninh Hải - Tỉnh Ninh Thuận</v>
      </c>
      <c r="B4" s="714"/>
      <c r="C4" s="714"/>
      <c r="D4" s="714"/>
      <c r="E4" s="713"/>
      <c r="F4" s="715"/>
      <c r="G4" s="715"/>
      <c r="H4" s="715"/>
    </row>
    <row r="5" spans="1:8" ht="49.5">
      <c r="A5" s="757" t="s">
        <v>168</v>
      </c>
      <c r="B5" s="757" t="s">
        <v>3949</v>
      </c>
      <c r="C5" s="757" t="s">
        <v>29</v>
      </c>
      <c r="D5" s="757" t="s">
        <v>23</v>
      </c>
      <c r="E5" s="757" t="s">
        <v>30</v>
      </c>
      <c r="F5" s="757" t="s">
        <v>3947</v>
      </c>
      <c r="G5" s="757" t="s">
        <v>4441</v>
      </c>
      <c r="H5" s="757" t="s">
        <v>4261</v>
      </c>
    </row>
    <row r="6" spans="1:8">
      <c r="A6" s="1049">
        <v>1</v>
      </c>
      <c r="B6" s="1049">
        <v>40</v>
      </c>
      <c r="C6" s="1049" t="s">
        <v>382</v>
      </c>
      <c r="D6" s="1049" t="s">
        <v>5986</v>
      </c>
      <c r="E6" s="1049" t="s">
        <v>5932</v>
      </c>
      <c r="F6" s="1050">
        <v>43980</v>
      </c>
      <c r="G6" s="1049" t="s">
        <v>6273</v>
      </c>
      <c r="H6" s="1049" t="s">
        <v>5939</v>
      </c>
    </row>
    <row r="7" spans="1:8">
      <c r="A7" s="965">
        <v>2</v>
      </c>
      <c r="B7" s="965">
        <v>40</v>
      </c>
      <c r="C7" s="965" t="s">
        <v>382</v>
      </c>
      <c r="D7" s="965" t="s">
        <v>5987</v>
      </c>
      <c r="E7" s="965" t="s">
        <v>5932</v>
      </c>
      <c r="F7" s="987">
        <v>43981</v>
      </c>
      <c r="G7" s="965" t="s">
        <v>6273</v>
      </c>
      <c r="H7" s="965" t="s">
        <v>5940</v>
      </c>
    </row>
    <row r="8" spans="1:8">
      <c r="A8" s="965">
        <v>3</v>
      </c>
      <c r="B8" s="965">
        <v>40</v>
      </c>
      <c r="C8" s="965" t="s">
        <v>382</v>
      </c>
      <c r="D8" s="965" t="s">
        <v>5988</v>
      </c>
      <c r="E8" s="965" t="s">
        <v>5932</v>
      </c>
      <c r="F8" s="987">
        <v>43982</v>
      </c>
      <c r="G8" s="965" t="s">
        <v>6273</v>
      </c>
      <c r="H8" s="965" t="s">
        <v>5941</v>
      </c>
    </row>
    <row r="9" spans="1:8">
      <c r="A9" s="965">
        <v>4</v>
      </c>
      <c r="B9" s="965">
        <v>40</v>
      </c>
      <c r="C9" s="965" t="s">
        <v>382</v>
      </c>
      <c r="D9" s="965" t="s">
        <v>5989</v>
      </c>
      <c r="E9" s="965" t="s">
        <v>5932</v>
      </c>
      <c r="F9" s="987">
        <v>43983</v>
      </c>
      <c r="G9" s="965" t="s">
        <v>6273</v>
      </c>
      <c r="H9" s="965" t="s">
        <v>5942</v>
      </c>
    </row>
    <row r="10" spans="1:8">
      <c r="A10" s="965">
        <v>5</v>
      </c>
      <c r="B10" s="965">
        <v>70</v>
      </c>
      <c r="C10" s="965" t="s">
        <v>382</v>
      </c>
      <c r="D10" s="965" t="s">
        <v>5986</v>
      </c>
      <c r="E10" s="965" t="s">
        <v>5944</v>
      </c>
      <c r="F10" s="987">
        <v>43982</v>
      </c>
      <c r="G10" s="965" t="s">
        <v>6273</v>
      </c>
      <c r="H10" s="965" t="s">
        <v>5947</v>
      </c>
    </row>
    <row r="11" spans="1:8">
      <c r="A11" s="965">
        <v>6</v>
      </c>
      <c r="B11" s="965">
        <v>70</v>
      </c>
      <c r="C11" s="965" t="s">
        <v>382</v>
      </c>
      <c r="D11" s="965" t="s">
        <v>5987</v>
      </c>
      <c r="E11" s="965" t="s">
        <v>5944</v>
      </c>
      <c r="F11" s="987">
        <v>43983</v>
      </c>
      <c r="G11" s="965" t="s">
        <v>6273</v>
      </c>
      <c r="H11" s="965" t="s">
        <v>5940</v>
      </c>
    </row>
    <row r="12" spans="1:8">
      <c r="A12" s="965">
        <v>7</v>
      </c>
      <c r="B12" s="965">
        <v>70</v>
      </c>
      <c r="C12" s="965" t="s">
        <v>382</v>
      </c>
      <c r="D12" s="965" t="s">
        <v>5988</v>
      </c>
      <c r="E12" s="965" t="s">
        <v>5944</v>
      </c>
      <c r="F12" s="987">
        <v>43984</v>
      </c>
      <c r="G12" s="965" t="s">
        <v>6273</v>
      </c>
      <c r="H12" s="965" t="s">
        <v>5941</v>
      </c>
    </row>
    <row r="13" spans="1:8">
      <c r="A13" s="965">
        <v>8</v>
      </c>
      <c r="B13" s="965">
        <v>70</v>
      </c>
      <c r="C13" s="965" t="s">
        <v>382</v>
      </c>
      <c r="D13" s="965" t="s">
        <v>5989</v>
      </c>
      <c r="E13" s="965" t="s">
        <v>5944</v>
      </c>
      <c r="F13" s="987">
        <v>43985</v>
      </c>
      <c r="G13" s="965" t="s">
        <v>6273</v>
      </c>
      <c r="H13" s="965" t="s">
        <v>5942</v>
      </c>
    </row>
    <row r="14" spans="1:8">
      <c r="A14" s="965">
        <v>9</v>
      </c>
      <c r="B14" s="965">
        <v>100</v>
      </c>
      <c r="C14" s="965" t="s">
        <v>382</v>
      </c>
      <c r="D14" s="965" t="s">
        <v>5986</v>
      </c>
      <c r="E14" s="965" t="s">
        <v>5949</v>
      </c>
      <c r="F14" s="987">
        <v>43984</v>
      </c>
      <c r="G14" s="965" t="s">
        <v>6273</v>
      </c>
      <c r="H14" s="965" t="s">
        <v>5947</v>
      </c>
    </row>
    <row r="15" spans="1:8">
      <c r="A15" s="965">
        <v>10</v>
      </c>
      <c r="B15" s="965">
        <v>100</v>
      </c>
      <c r="C15" s="965" t="s">
        <v>382</v>
      </c>
      <c r="D15" s="965" t="s">
        <v>5987</v>
      </c>
      <c r="E15" s="965" t="s">
        <v>5949</v>
      </c>
      <c r="F15" s="987">
        <v>43985</v>
      </c>
      <c r="G15" s="965" t="s">
        <v>6273</v>
      </c>
      <c r="H15" s="965" t="s">
        <v>5940</v>
      </c>
    </row>
    <row r="16" spans="1:8">
      <c r="A16" s="965">
        <v>11</v>
      </c>
      <c r="B16" s="965">
        <v>100</v>
      </c>
      <c r="C16" s="965" t="s">
        <v>382</v>
      </c>
      <c r="D16" s="965" t="s">
        <v>5988</v>
      </c>
      <c r="E16" s="965" t="s">
        <v>5949</v>
      </c>
      <c r="F16" s="987">
        <v>43986</v>
      </c>
      <c r="G16" s="965" t="s">
        <v>6273</v>
      </c>
      <c r="H16" s="965" t="s">
        <v>5941</v>
      </c>
    </row>
    <row r="17" spans="1:8">
      <c r="A17" s="966">
        <v>12</v>
      </c>
      <c r="B17" s="966">
        <v>100</v>
      </c>
      <c r="C17" s="966" t="s">
        <v>382</v>
      </c>
      <c r="D17" s="966" t="s">
        <v>5989</v>
      </c>
      <c r="E17" s="966" t="s">
        <v>5949</v>
      </c>
      <c r="F17" s="988">
        <v>43987</v>
      </c>
      <c r="G17" s="966" t="s">
        <v>6273</v>
      </c>
      <c r="H17" s="966" t="s">
        <v>5942</v>
      </c>
    </row>
    <row r="18" spans="1:8">
      <c r="A18" s="1051"/>
      <c r="B18" s="1051"/>
      <c r="C18" s="1051"/>
      <c r="D18" s="1051"/>
      <c r="E18" s="1051"/>
      <c r="F18" s="1052"/>
      <c r="G18" s="1051"/>
      <c r="H18" s="1051"/>
    </row>
    <row r="19" spans="1:8">
      <c r="A19" s="1051"/>
      <c r="B19" s="1051"/>
      <c r="C19" s="1051"/>
      <c r="D19" s="1051"/>
      <c r="E19" s="1051"/>
      <c r="F19" s="1052"/>
      <c r="G19" s="1051"/>
      <c r="H19" s="1051"/>
    </row>
    <row r="20" spans="1:8">
      <c r="A20" s="1051"/>
      <c r="B20" s="1051"/>
      <c r="C20" s="1051"/>
      <c r="D20" s="1051"/>
      <c r="E20" s="1051"/>
      <c r="F20" s="1052"/>
      <c r="G20" s="1051"/>
      <c r="H20" s="1051"/>
    </row>
    <row r="21" spans="1:8">
      <c r="A21" s="1051"/>
      <c r="B21" s="1051"/>
      <c r="C21" s="1051"/>
      <c r="D21" s="1051"/>
      <c r="E21" s="1051"/>
      <c r="F21" s="1052"/>
      <c r="G21" s="1051"/>
      <c r="H21" s="1051"/>
    </row>
    <row r="22" spans="1:8">
      <c r="A22" s="1051"/>
      <c r="B22" s="1051"/>
      <c r="C22" s="1051"/>
      <c r="D22" s="1051"/>
      <c r="E22" s="1051"/>
      <c r="F22" s="1052"/>
      <c r="G22" s="1051"/>
      <c r="H22" s="1051"/>
    </row>
    <row r="23" spans="1:8">
      <c r="A23" s="1051"/>
      <c r="B23" s="1051"/>
      <c r="C23" s="1051"/>
      <c r="D23" s="1051"/>
      <c r="E23" s="1051"/>
      <c r="F23" s="1052"/>
      <c r="G23" s="1051"/>
      <c r="H23" s="1051"/>
    </row>
    <row r="24" spans="1:8">
      <c r="A24" s="1051"/>
      <c r="B24" s="1051"/>
      <c r="C24" s="1051"/>
      <c r="D24" s="1051"/>
      <c r="E24" s="1051"/>
      <c r="F24" s="1052"/>
      <c r="G24" s="1051"/>
      <c r="H24" s="1051"/>
    </row>
    <row r="25" spans="1:8">
      <c r="A25" s="1051"/>
      <c r="B25" s="1051"/>
      <c r="C25" s="1051"/>
      <c r="D25" s="1051"/>
      <c r="E25" s="1051"/>
      <c r="F25" s="1052"/>
      <c r="G25" s="1051"/>
      <c r="H25" s="1051"/>
    </row>
    <row r="26" spans="1:8">
      <c r="A26" s="1051"/>
      <c r="B26" s="1051"/>
      <c r="C26" s="1051"/>
      <c r="D26" s="1051"/>
      <c r="E26" s="1051"/>
      <c r="F26" s="1052"/>
      <c r="G26" s="1051"/>
      <c r="H26" s="1051"/>
    </row>
    <row r="27" spans="1:8">
      <c r="A27" s="1051"/>
      <c r="B27" s="1051"/>
      <c r="C27" s="1051"/>
      <c r="D27" s="1051"/>
      <c r="E27" s="1051"/>
      <c r="F27" s="1052"/>
      <c r="G27" s="1051"/>
      <c r="H27" s="1051"/>
    </row>
    <row r="28" spans="1:8">
      <c r="A28" s="1051"/>
      <c r="B28" s="1051"/>
      <c r="C28" s="1051"/>
      <c r="D28" s="1051"/>
      <c r="E28" s="1051"/>
      <c r="F28" s="1052"/>
      <c r="G28" s="1051"/>
      <c r="H28" s="1051"/>
    </row>
    <row r="29" spans="1:8">
      <c r="A29" s="1051"/>
      <c r="B29" s="1051"/>
      <c r="C29" s="1051"/>
      <c r="D29" s="1051"/>
      <c r="E29" s="1051"/>
      <c r="F29" s="1052"/>
      <c r="G29" s="1051"/>
      <c r="H29" s="1051"/>
    </row>
    <row r="30" spans="1:8">
      <c r="A30" s="1051"/>
      <c r="B30" s="1051"/>
      <c r="C30" s="1051"/>
      <c r="D30" s="1051"/>
      <c r="E30" s="1051"/>
      <c r="F30" s="1052"/>
      <c r="G30" s="1051"/>
      <c r="H30" s="1051"/>
    </row>
    <row r="31" spans="1:8">
      <c r="A31" s="1051"/>
      <c r="B31" s="1051"/>
      <c r="C31" s="1051"/>
      <c r="D31" s="1051"/>
      <c r="E31" s="1051"/>
      <c r="F31" s="1052"/>
      <c r="G31" s="1051"/>
      <c r="H31" s="1051"/>
    </row>
    <row r="32" spans="1:8">
      <c r="A32" s="1051"/>
      <c r="B32" s="1051"/>
      <c r="C32" s="1051"/>
      <c r="D32" s="1051"/>
      <c r="E32" s="1051"/>
      <c r="F32" s="1052"/>
      <c r="G32" s="1051"/>
      <c r="H32" s="1051"/>
    </row>
    <row r="33" spans="1:8">
      <c r="A33" s="1051"/>
      <c r="B33" s="1051"/>
      <c r="C33" s="1051"/>
      <c r="D33" s="1051"/>
      <c r="E33" s="1051"/>
      <c r="F33" s="1052"/>
      <c r="G33" s="1051"/>
      <c r="H33" s="1051"/>
    </row>
    <row r="34" spans="1:8">
      <c r="A34" s="1051"/>
      <c r="B34" s="1051"/>
      <c r="C34" s="1051"/>
      <c r="D34" s="1051"/>
      <c r="E34" s="1051"/>
      <c r="F34" s="1052"/>
      <c r="G34" s="1051"/>
      <c r="H34" s="1051"/>
    </row>
    <row r="35" spans="1:8">
      <c r="A35" s="1051"/>
      <c r="B35" s="1051"/>
      <c r="C35" s="1051"/>
      <c r="D35" s="1051"/>
      <c r="E35" s="1051"/>
      <c r="F35" s="1052"/>
      <c r="G35" s="1051"/>
      <c r="H35" s="1051"/>
    </row>
    <row r="36" spans="1:8">
      <c r="A36" s="1051"/>
      <c r="B36" s="1051"/>
      <c r="C36" s="1051"/>
      <c r="D36" s="1051"/>
      <c r="E36" s="1051"/>
      <c r="F36" s="1052"/>
      <c r="G36" s="1051"/>
      <c r="H36" s="1051"/>
    </row>
    <row r="37" spans="1:8">
      <c r="A37" s="1051"/>
      <c r="B37" s="1051"/>
      <c r="C37" s="1051"/>
      <c r="D37" s="1051"/>
      <c r="E37" s="1051"/>
      <c r="F37" s="1052"/>
      <c r="G37" s="1051"/>
      <c r="H37" s="1051"/>
    </row>
    <row r="38" spans="1:8">
      <c r="A38" s="1051"/>
      <c r="B38" s="1051"/>
      <c r="C38" s="1051"/>
      <c r="D38" s="1051"/>
      <c r="E38" s="1051"/>
      <c r="F38" s="1052"/>
      <c r="G38" s="1051"/>
      <c r="H38" s="1051"/>
    </row>
    <row r="39" spans="1:8">
      <c r="A39" s="1051"/>
      <c r="B39" s="1051"/>
      <c r="C39" s="1051"/>
      <c r="D39" s="1051"/>
      <c r="E39" s="1051"/>
      <c r="F39" s="1052"/>
      <c r="G39" s="1051"/>
      <c r="H39" s="1051"/>
    </row>
    <row r="40" spans="1:8">
      <c r="A40" s="1051"/>
      <c r="B40" s="1051"/>
      <c r="C40" s="1051"/>
      <c r="D40" s="1051"/>
      <c r="E40" s="1051"/>
      <c r="F40" s="1052"/>
      <c r="G40" s="1051"/>
      <c r="H40" s="1051"/>
    </row>
    <row r="41" spans="1:8">
      <c r="A41" s="1051"/>
      <c r="B41" s="1051"/>
      <c r="C41" s="1051"/>
      <c r="D41" s="1051"/>
      <c r="E41" s="1051"/>
      <c r="F41" s="1052"/>
      <c r="G41" s="1051"/>
      <c r="H41" s="1051"/>
    </row>
    <row r="42" spans="1:8">
      <c r="A42" s="1051"/>
      <c r="B42" s="1051"/>
      <c r="C42" s="1051"/>
      <c r="D42" s="1051"/>
      <c r="E42" s="1051"/>
      <c r="F42" s="1052"/>
      <c r="G42" s="1051"/>
      <c r="H42" s="1051"/>
    </row>
    <row r="43" spans="1:8">
      <c r="A43" s="1051"/>
      <c r="B43" s="1051"/>
      <c r="C43" s="1051"/>
      <c r="D43" s="1051"/>
      <c r="E43" s="1051"/>
      <c r="F43" s="1052"/>
      <c r="G43" s="1051"/>
      <c r="H43" s="1051"/>
    </row>
    <row r="44" spans="1:8">
      <c r="A44" s="1051"/>
      <c r="B44" s="1051"/>
      <c r="C44" s="1051"/>
      <c r="D44" s="1051"/>
      <c r="E44" s="1051"/>
      <c r="F44" s="1052"/>
      <c r="G44" s="1051"/>
      <c r="H44" s="1051"/>
    </row>
    <row r="45" spans="1:8">
      <c r="A45" s="1051"/>
      <c r="B45" s="1051"/>
      <c r="C45" s="1051"/>
      <c r="D45" s="1051"/>
      <c r="E45" s="1051"/>
      <c r="F45" s="1052"/>
      <c r="G45" s="1051"/>
      <c r="H45" s="1051"/>
    </row>
    <row r="46" spans="1:8">
      <c r="A46" s="1051"/>
      <c r="B46" s="1051"/>
      <c r="C46" s="1051"/>
      <c r="D46" s="1051"/>
      <c r="E46" s="1051"/>
      <c r="F46" s="1052"/>
      <c r="G46" s="1051"/>
      <c r="H46" s="1051"/>
    </row>
    <row r="47" spans="1:8">
      <c r="A47" s="1051"/>
      <c r="B47" s="1051"/>
      <c r="C47" s="1051"/>
      <c r="D47" s="1051"/>
      <c r="E47" s="1051"/>
      <c r="F47" s="1052"/>
      <c r="G47" s="1051"/>
      <c r="H47" s="1051"/>
    </row>
    <row r="48" spans="1:8">
      <c r="A48" s="1051"/>
      <c r="B48" s="1051"/>
      <c r="C48" s="1051"/>
      <c r="D48" s="1051"/>
      <c r="E48" s="1051"/>
      <c r="F48" s="1052"/>
      <c r="G48" s="1051"/>
      <c r="H48" s="1051"/>
    </row>
    <row r="49" spans="1:8">
      <c r="A49" s="1051"/>
      <c r="B49" s="1051"/>
      <c r="C49" s="1051"/>
      <c r="D49" s="1051"/>
      <c r="E49" s="1051"/>
      <c r="F49" s="1052"/>
      <c r="G49" s="1051"/>
      <c r="H49" s="1051"/>
    </row>
  </sheetData>
  <mergeCells count="1">
    <mergeCell ref="A1:H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rgb="FFFF0000"/>
  </sheetPr>
  <dimension ref="A1:C14"/>
  <sheetViews>
    <sheetView workbookViewId="0">
      <selection activeCell="B14" sqref="B14"/>
    </sheetView>
  </sheetViews>
  <sheetFormatPr defaultRowHeight="16.5"/>
  <cols>
    <col min="2" max="2" width="77.33203125" customWidth="1"/>
    <col min="3" max="3" width="12" bestFit="1" customWidth="1"/>
  </cols>
  <sheetData>
    <row r="1" spans="1:3" ht="25.5">
      <c r="A1" s="1316" t="s">
        <v>4223</v>
      </c>
      <c r="B1" s="1316"/>
      <c r="C1" s="1316"/>
    </row>
    <row r="2" spans="1:3">
      <c r="A2" s="843" t="s">
        <v>22</v>
      </c>
      <c r="B2" s="843" t="s">
        <v>153</v>
      </c>
      <c r="C2" s="843" t="s">
        <v>207</v>
      </c>
    </row>
    <row r="3" spans="1:3">
      <c r="A3" s="844" t="s">
        <v>4224</v>
      </c>
      <c r="B3" s="845" t="s">
        <v>268</v>
      </c>
      <c r="C3" s="845"/>
    </row>
    <row r="4" spans="1:3">
      <c r="A4" s="844" t="s">
        <v>4225</v>
      </c>
      <c r="B4" s="845" t="s">
        <v>269</v>
      </c>
      <c r="C4" s="845"/>
    </row>
    <row r="5" spans="1:3">
      <c r="A5" s="844" t="s">
        <v>4226</v>
      </c>
      <c r="B5" s="845" t="s">
        <v>312</v>
      </c>
      <c r="C5" s="845"/>
    </row>
    <row r="6" spans="1:3">
      <c r="A6" s="844" t="s">
        <v>210</v>
      </c>
      <c r="B6" s="845" t="s">
        <v>5842</v>
      </c>
      <c r="C6" s="845" t="s">
        <v>4325</v>
      </c>
    </row>
    <row r="7" spans="1:3">
      <c r="A7" s="844" t="s">
        <v>4227</v>
      </c>
      <c r="B7" s="845" t="s">
        <v>5841</v>
      </c>
      <c r="C7" s="845" t="s">
        <v>4326</v>
      </c>
    </row>
    <row r="8" spans="1:3">
      <c r="A8" s="844" t="s">
        <v>4228</v>
      </c>
      <c r="B8" s="845" t="s">
        <v>5840</v>
      </c>
      <c r="C8" s="845" t="s">
        <v>4327</v>
      </c>
    </row>
    <row r="9" spans="1:3">
      <c r="A9" s="844" t="s">
        <v>211</v>
      </c>
      <c r="B9" s="845" t="s">
        <v>5838</v>
      </c>
      <c r="C9" s="845" t="s">
        <v>4328</v>
      </c>
    </row>
    <row r="10" spans="1:3">
      <c r="A10" s="844" t="s">
        <v>266</v>
      </c>
      <c r="B10" s="845" t="s">
        <v>5839</v>
      </c>
      <c r="C10" s="845" t="s">
        <v>4329</v>
      </c>
    </row>
    <row r="11" spans="1:3">
      <c r="A11" s="844" t="s">
        <v>267</v>
      </c>
      <c r="B11" s="845" t="s">
        <v>4229</v>
      </c>
      <c r="C11" s="845"/>
    </row>
    <row r="12" spans="1:3">
      <c r="A12" s="844" t="s">
        <v>311</v>
      </c>
      <c r="B12" s="845" t="s">
        <v>4230</v>
      </c>
      <c r="C12" s="845" t="s">
        <v>4330</v>
      </c>
    </row>
    <row r="13" spans="1:3">
      <c r="A13" s="844" t="s">
        <v>3841</v>
      </c>
      <c r="B13" s="845" t="s">
        <v>5843</v>
      </c>
      <c r="C13" s="845" t="s">
        <v>4331</v>
      </c>
    </row>
    <row r="14" spans="1:3">
      <c r="A14" s="844" t="s">
        <v>3846</v>
      </c>
      <c r="B14" s="845" t="s">
        <v>4231</v>
      </c>
      <c r="C14" s="845" t="s">
        <v>4332</v>
      </c>
    </row>
  </sheetData>
  <mergeCells count="1">
    <mergeCell ref="A1:C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tabColor rgb="FFFF0000"/>
  </sheetPr>
  <dimension ref="A1:H8"/>
  <sheetViews>
    <sheetView workbookViewId="0">
      <pane xSplit="8" ySplit="5" topLeftCell="I6" activePane="bottomRight" state="frozen"/>
      <selection pane="topRight" activeCell="I1" sqref="I1"/>
      <selection pane="bottomLeft" activeCell="A6" sqref="A6"/>
      <selection pane="bottomRight" activeCell="H7" sqref="H7"/>
    </sheetView>
  </sheetViews>
  <sheetFormatPr defaultRowHeight="16.5"/>
  <cols>
    <col min="1" max="1" width="5.33203125" customWidth="1"/>
    <col min="2" max="2" width="8.109375" customWidth="1"/>
    <col min="3" max="3" width="8.77734375" bestFit="1" customWidth="1"/>
    <col min="4" max="4" width="32.77734375" customWidth="1"/>
    <col min="5" max="5" width="30.5546875" customWidth="1"/>
    <col min="6" max="6" width="9.77734375" bestFit="1" customWidth="1"/>
    <col min="8" max="8" width="18.88671875" bestFit="1" customWidth="1"/>
  </cols>
  <sheetData>
    <row r="1" spans="1:8">
      <c r="A1" s="1445" t="s">
        <v>4280</v>
      </c>
      <c r="B1" s="1445"/>
      <c r="C1" s="1445"/>
      <c r="D1" s="1445"/>
      <c r="E1" s="1445"/>
      <c r="F1" s="1445"/>
      <c r="G1" s="1445"/>
      <c r="H1" s="1445"/>
    </row>
    <row r="2" spans="1:8">
      <c r="A2" s="1445"/>
      <c r="B2" s="1445"/>
      <c r="C2" s="1445"/>
      <c r="D2" s="1445"/>
      <c r="E2" s="1445"/>
      <c r="F2" s="1445"/>
      <c r="G2" s="1445"/>
      <c r="H2" s="1445"/>
    </row>
    <row r="3" spans="1:8"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row>
    <row r="4" spans="1:8" ht="22.5">
      <c r="A4" s="594" t="str">
        <f>"     Địa điểm XD: "&amp;DDXD</f>
        <v xml:space="preserve">     Địa điểm XD: Huyện Ninh Hải - Tỉnh Ninh Thuận</v>
      </c>
      <c r="B4" s="592"/>
      <c r="C4" s="592"/>
      <c r="D4" s="592"/>
      <c r="E4" s="561"/>
      <c r="F4" s="549"/>
      <c r="G4" s="549"/>
      <c r="H4" s="593"/>
    </row>
    <row r="5" spans="1:8" ht="28.5">
      <c r="A5" s="284" t="s">
        <v>168</v>
      </c>
      <c r="B5" s="284" t="s">
        <v>3949</v>
      </c>
      <c r="C5" s="284" t="s">
        <v>29</v>
      </c>
      <c r="D5" s="285" t="s">
        <v>23</v>
      </c>
      <c r="E5" s="284" t="s">
        <v>30</v>
      </c>
      <c r="F5" s="286" t="s">
        <v>3947</v>
      </c>
      <c r="G5" s="284" t="s">
        <v>3946</v>
      </c>
      <c r="H5" s="284" t="s">
        <v>4261</v>
      </c>
    </row>
    <row r="6" spans="1:8" ht="33">
      <c r="A6" s="1181">
        <v>1</v>
      </c>
      <c r="B6" s="1181">
        <v>13</v>
      </c>
      <c r="C6" s="1181" t="s">
        <v>210</v>
      </c>
      <c r="D6" s="1182" t="s">
        <v>5933</v>
      </c>
      <c r="E6" s="1183" t="s">
        <v>5932</v>
      </c>
      <c r="F6" s="1184">
        <v>43960</v>
      </c>
      <c r="G6" s="1181"/>
      <c r="H6" s="1185" t="s">
        <v>6216</v>
      </c>
    </row>
    <row r="7" spans="1:8" ht="33">
      <c r="A7" s="1186">
        <v>2</v>
      </c>
      <c r="B7" s="1186">
        <v>43</v>
      </c>
      <c r="C7" s="1186" t="s">
        <v>210</v>
      </c>
      <c r="D7" s="1187" t="s">
        <v>5933</v>
      </c>
      <c r="E7" s="1188" t="s">
        <v>5944</v>
      </c>
      <c r="F7" s="1189">
        <v>43962</v>
      </c>
      <c r="G7" s="1186"/>
      <c r="H7" s="1186" t="s">
        <v>5945</v>
      </c>
    </row>
    <row r="8" spans="1:8">
      <c r="A8" s="966">
        <v>3</v>
      </c>
      <c r="B8" s="966">
        <v>73</v>
      </c>
      <c r="C8" s="966" t="s">
        <v>210</v>
      </c>
      <c r="D8" s="966" t="s">
        <v>5933</v>
      </c>
      <c r="E8" s="966" t="s">
        <v>5949</v>
      </c>
      <c r="F8" s="966">
        <v>43964</v>
      </c>
      <c r="G8" s="966"/>
      <c r="H8" s="966" t="s">
        <v>6215</v>
      </c>
    </row>
  </sheetData>
  <mergeCells count="1">
    <mergeCell ref="A1:H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0000"/>
  </sheetPr>
  <dimension ref="A1:H9"/>
  <sheetViews>
    <sheetView workbookViewId="0">
      <pane xSplit="8" ySplit="5" topLeftCell="I6" activePane="bottomRight" state="frozen"/>
      <selection pane="topRight" activeCell="I1" sqref="I1"/>
      <selection pane="bottomLeft" activeCell="A6" sqref="A6"/>
      <selection pane="bottomRight" sqref="A1:H2"/>
    </sheetView>
  </sheetViews>
  <sheetFormatPr defaultRowHeight="16.5"/>
  <cols>
    <col min="1" max="1" width="6.21875" customWidth="1"/>
    <col min="2" max="2" width="8" bestFit="1" customWidth="1"/>
    <col min="4" max="5" width="33.21875" customWidth="1"/>
    <col min="6" max="6" width="9.77734375" bestFit="1" customWidth="1"/>
    <col min="8" max="8" width="20.44140625" customWidth="1"/>
  </cols>
  <sheetData>
    <row r="1" spans="1:8">
      <c r="A1" s="1445" t="s">
        <v>4281</v>
      </c>
      <c r="B1" s="1445"/>
      <c r="C1" s="1445"/>
      <c r="D1" s="1445"/>
      <c r="E1" s="1445"/>
      <c r="F1" s="1445"/>
      <c r="G1" s="1445"/>
      <c r="H1" s="1445"/>
    </row>
    <row r="2" spans="1:8">
      <c r="A2" s="1445"/>
      <c r="B2" s="1445"/>
      <c r="C2" s="1445"/>
      <c r="D2" s="1445"/>
      <c r="E2" s="1445"/>
      <c r="F2" s="1445"/>
      <c r="G2" s="1445"/>
      <c r="H2" s="1445"/>
    </row>
    <row r="3" spans="1:8"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row>
    <row r="4" spans="1:8" ht="22.5">
      <c r="A4" s="594" t="str">
        <f>"     Địa điểm XD: "&amp;DDXD</f>
        <v xml:space="preserve">     Địa điểm XD: Huyện Ninh Hải - Tỉnh Ninh Thuận</v>
      </c>
      <c r="B4" s="592"/>
      <c r="C4" s="592"/>
      <c r="D4" s="592"/>
      <c r="E4" s="561"/>
      <c r="F4" s="549"/>
      <c r="G4" s="549"/>
      <c r="H4" s="593"/>
    </row>
    <row r="5" spans="1:8" ht="28.5">
      <c r="A5" s="284" t="s">
        <v>168</v>
      </c>
      <c r="B5" s="284" t="s">
        <v>3949</v>
      </c>
      <c r="C5" s="284" t="s">
        <v>29</v>
      </c>
      <c r="D5" s="285" t="s">
        <v>23</v>
      </c>
      <c r="E5" s="284" t="s">
        <v>30</v>
      </c>
      <c r="F5" s="286" t="s">
        <v>3947</v>
      </c>
      <c r="G5" s="284" t="s">
        <v>3946</v>
      </c>
      <c r="H5" s="284" t="s">
        <v>4261</v>
      </c>
    </row>
    <row r="6" spans="1:8">
      <c r="A6" s="1107"/>
      <c r="B6" s="1107"/>
      <c r="C6" s="1107"/>
      <c r="D6" s="1108"/>
      <c r="E6" s="1109"/>
      <c r="F6" s="1110"/>
      <c r="G6" s="1107"/>
      <c r="H6" s="1111"/>
    </row>
    <row r="7" spans="1:8">
      <c r="A7" s="1111"/>
      <c r="B7" s="1111"/>
      <c r="C7" s="1111"/>
      <c r="D7" s="1112"/>
      <c r="E7" s="1113"/>
      <c r="F7" s="1114"/>
      <c r="G7" s="1111"/>
      <c r="H7" s="1111"/>
    </row>
    <row r="8" spans="1:8">
      <c r="A8" s="1111"/>
      <c r="B8" s="1111"/>
      <c r="C8" s="1111"/>
      <c r="D8" s="1112"/>
      <c r="E8" s="1113"/>
      <c r="F8" s="1114"/>
      <c r="G8" s="1111"/>
      <c r="H8" s="1111"/>
    </row>
    <row r="9" spans="1:8">
      <c r="A9" s="1111"/>
      <c r="B9" s="1111"/>
      <c r="C9" s="1111"/>
      <c r="D9" s="1112"/>
      <c r="E9" s="1113"/>
      <c r="F9" s="1114"/>
      <c r="G9" s="1111"/>
      <c r="H9" s="1111"/>
    </row>
  </sheetData>
  <mergeCells count="1">
    <mergeCell ref="A1:H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0000"/>
  </sheetPr>
  <dimension ref="A1:I8"/>
  <sheetViews>
    <sheetView workbookViewId="0">
      <pane xSplit="8" ySplit="5" topLeftCell="I6" activePane="bottomRight" state="frozen"/>
      <selection pane="topRight" activeCell="I1" sqref="I1"/>
      <selection pane="bottomLeft" activeCell="A6" sqref="A6"/>
      <selection pane="bottomRight" activeCell="H13" sqref="H13"/>
    </sheetView>
  </sheetViews>
  <sheetFormatPr defaultRowHeight="16.5"/>
  <cols>
    <col min="1" max="1" width="5.88671875" customWidth="1"/>
    <col min="4" max="5" width="28.88671875" customWidth="1"/>
    <col min="6" max="6" width="11.6640625" customWidth="1"/>
    <col min="7" max="7" width="11.109375" customWidth="1"/>
    <col min="8" max="8" width="22.88671875" customWidth="1"/>
  </cols>
  <sheetData>
    <row r="1" spans="1:9">
      <c r="A1" s="1445" t="s">
        <v>4277</v>
      </c>
      <c r="B1" s="1445"/>
      <c r="C1" s="1445"/>
      <c r="D1" s="1445"/>
      <c r="E1" s="1445"/>
      <c r="F1" s="1445"/>
      <c r="G1" s="1445"/>
      <c r="H1" s="1445"/>
      <c r="I1" s="120"/>
    </row>
    <row r="2" spans="1:9">
      <c r="A2" s="1445"/>
      <c r="B2" s="1445"/>
      <c r="C2" s="1445"/>
      <c r="D2" s="1445"/>
      <c r="E2" s="1445"/>
      <c r="F2" s="1445"/>
      <c r="G2" s="1445"/>
      <c r="H2" s="1445"/>
      <c r="I2" s="120"/>
    </row>
    <row r="3" spans="1:9"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c r="I3" s="120"/>
    </row>
    <row r="4" spans="1:9" ht="22.5">
      <c r="A4" s="594" t="str">
        <f>"     Địa điểm XD: "&amp;DDXD</f>
        <v xml:space="preserve">     Địa điểm XD: Huyện Ninh Hải - Tỉnh Ninh Thuận</v>
      </c>
      <c r="B4" s="592"/>
      <c r="C4" s="592"/>
      <c r="D4" s="592"/>
      <c r="E4" s="561"/>
      <c r="F4" s="549"/>
      <c r="G4" s="549"/>
      <c r="H4" s="593"/>
      <c r="I4" s="120"/>
    </row>
    <row r="5" spans="1:9" ht="28.5">
      <c r="A5" s="284" t="s">
        <v>168</v>
      </c>
      <c r="B5" s="284" t="s">
        <v>3949</v>
      </c>
      <c r="C5" s="284" t="s">
        <v>29</v>
      </c>
      <c r="D5" s="285" t="s">
        <v>23</v>
      </c>
      <c r="E5" s="284" t="s">
        <v>30</v>
      </c>
      <c r="F5" s="286" t="s">
        <v>3947</v>
      </c>
      <c r="G5" s="284" t="s">
        <v>3946</v>
      </c>
      <c r="H5" s="284" t="s">
        <v>4261</v>
      </c>
      <c r="I5" s="120"/>
    </row>
    <row r="6" spans="1:9" ht="33">
      <c r="A6" s="1185">
        <v>1</v>
      </c>
      <c r="B6" s="1185">
        <v>31</v>
      </c>
      <c r="C6" s="1185" t="s">
        <v>4228</v>
      </c>
      <c r="D6" s="1190" t="s">
        <v>5780</v>
      </c>
      <c r="E6" s="1191" t="s">
        <v>5932</v>
      </c>
      <c r="F6" s="1298">
        <v>43978</v>
      </c>
      <c r="G6" s="1185"/>
      <c r="H6" s="1185" t="s">
        <v>5781</v>
      </c>
      <c r="I6" s="120"/>
    </row>
    <row r="7" spans="1:9">
      <c r="A7" s="965">
        <v>2</v>
      </c>
      <c r="B7" s="965">
        <v>61</v>
      </c>
      <c r="C7" s="965" t="s">
        <v>4228</v>
      </c>
      <c r="D7" s="965" t="s">
        <v>5780</v>
      </c>
      <c r="E7" s="965" t="s">
        <v>5944</v>
      </c>
      <c r="F7" s="1299">
        <v>43980</v>
      </c>
      <c r="G7" s="965"/>
      <c r="H7" s="965" t="s">
        <v>5948</v>
      </c>
    </row>
    <row r="8" spans="1:9">
      <c r="A8" s="966">
        <v>3</v>
      </c>
      <c r="B8" s="966">
        <v>91</v>
      </c>
      <c r="C8" s="966" t="s">
        <v>4228</v>
      </c>
      <c r="D8" s="966" t="s">
        <v>5780</v>
      </c>
      <c r="E8" s="966" t="s">
        <v>5949</v>
      </c>
      <c r="F8" s="1300">
        <v>43982</v>
      </c>
      <c r="G8" s="966"/>
      <c r="H8" s="966" t="s">
        <v>5950</v>
      </c>
    </row>
  </sheetData>
  <mergeCells count="1">
    <mergeCell ref="A1:H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5">
    <tabColor rgb="FFFF0000"/>
  </sheetPr>
  <dimension ref="A1:H40"/>
  <sheetViews>
    <sheetView workbookViewId="0">
      <pane xSplit="8" ySplit="5" topLeftCell="I6" activePane="bottomRight" state="frozen"/>
      <selection pane="topRight" activeCell="I1" sqref="I1"/>
      <selection pane="bottomLeft" activeCell="A6" sqref="A6"/>
      <selection pane="bottomRight" activeCell="F6" sqref="F6"/>
    </sheetView>
  </sheetViews>
  <sheetFormatPr defaultRowHeight="16.5"/>
  <cols>
    <col min="1" max="1" width="5.33203125" customWidth="1"/>
    <col min="4" max="5" width="28.109375" customWidth="1"/>
    <col min="6" max="6" width="13.109375" customWidth="1"/>
    <col min="7" max="7" width="12.6640625" customWidth="1"/>
    <col min="8" max="8" width="25.44140625" customWidth="1"/>
  </cols>
  <sheetData>
    <row r="1" spans="1:8">
      <c r="A1" s="1445" t="s">
        <v>4279</v>
      </c>
      <c r="B1" s="1445"/>
      <c r="C1" s="1445"/>
      <c r="D1" s="1445"/>
      <c r="E1" s="1445"/>
      <c r="F1" s="1445"/>
      <c r="G1" s="1445"/>
      <c r="H1" s="1445"/>
    </row>
    <row r="2" spans="1:8">
      <c r="A2" s="1445"/>
      <c r="B2" s="1445"/>
      <c r="C2" s="1445"/>
      <c r="D2" s="1445"/>
      <c r="E2" s="1445"/>
      <c r="F2" s="1445"/>
      <c r="G2" s="1445"/>
      <c r="H2" s="1445"/>
    </row>
    <row r="3" spans="1:8"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row>
    <row r="4" spans="1:8" ht="22.5">
      <c r="A4" s="594" t="str">
        <f>"     Địa điểm XD: "&amp;DDXD</f>
        <v xml:space="preserve">     Địa điểm XD: Huyện Ninh Hải - Tỉnh Ninh Thuận</v>
      </c>
      <c r="B4" s="592"/>
      <c r="C4" s="592"/>
      <c r="D4" s="592"/>
      <c r="E4" s="561"/>
      <c r="F4" s="549"/>
      <c r="G4" s="549"/>
      <c r="H4" s="593"/>
    </row>
    <row r="5" spans="1:8" ht="28.5">
      <c r="A5" s="284" t="s">
        <v>168</v>
      </c>
      <c r="B5" s="284" t="s">
        <v>3949</v>
      </c>
      <c r="C5" s="284" t="s">
        <v>29</v>
      </c>
      <c r="D5" s="284" t="s">
        <v>23</v>
      </c>
      <c r="E5" s="284" t="s">
        <v>30</v>
      </c>
      <c r="F5" s="286" t="s">
        <v>3947</v>
      </c>
      <c r="G5" s="284" t="s">
        <v>3946</v>
      </c>
      <c r="H5" s="284" t="s">
        <v>4261</v>
      </c>
    </row>
    <row r="6" spans="1:8">
      <c r="A6" s="964">
        <v>1</v>
      </c>
      <c r="B6" s="964">
        <v>23</v>
      </c>
      <c r="C6" s="964" t="s">
        <v>211</v>
      </c>
      <c r="D6" s="964" t="s">
        <v>5776</v>
      </c>
      <c r="E6" s="964" t="s">
        <v>5932</v>
      </c>
      <c r="F6" s="986">
        <v>43970</v>
      </c>
      <c r="G6" s="964"/>
      <c r="H6" s="964" t="s">
        <v>5777</v>
      </c>
    </row>
    <row r="7" spans="1:8">
      <c r="A7" s="965">
        <v>2</v>
      </c>
      <c r="B7" s="965">
        <v>53</v>
      </c>
      <c r="C7" s="965" t="s">
        <v>211</v>
      </c>
      <c r="D7" s="965" t="s">
        <v>5776</v>
      </c>
      <c r="E7" s="965" t="s">
        <v>5944</v>
      </c>
      <c r="F7" s="987">
        <v>43972</v>
      </c>
      <c r="G7" s="965"/>
      <c r="H7" s="965" t="s">
        <v>5946</v>
      </c>
    </row>
    <row r="8" spans="1:8">
      <c r="A8" s="966">
        <v>3</v>
      </c>
      <c r="B8" s="966">
        <v>83</v>
      </c>
      <c r="C8" s="966" t="s">
        <v>211</v>
      </c>
      <c r="D8" s="966" t="s">
        <v>5776</v>
      </c>
      <c r="E8" s="966" t="s">
        <v>5949</v>
      </c>
      <c r="F8" s="988">
        <v>43974</v>
      </c>
      <c r="G8" s="966"/>
      <c r="H8" s="966" t="s">
        <v>6214</v>
      </c>
    </row>
    <row r="9" spans="1:8">
      <c r="A9" s="1051"/>
      <c r="B9" s="1051"/>
      <c r="C9" s="1051"/>
      <c r="D9" s="1051"/>
      <c r="E9" s="1051"/>
      <c r="F9" s="1052"/>
      <c r="G9" s="1051"/>
      <c r="H9" s="1051"/>
    </row>
    <row r="10" spans="1:8">
      <c r="A10" s="1051"/>
      <c r="B10" s="1051"/>
      <c r="C10" s="1051"/>
      <c r="D10" s="1051"/>
      <c r="E10" s="1051"/>
      <c r="F10" s="1052"/>
      <c r="G10" s="1051"/>
      <c r="H10" s="1051"/>
    </row>
    <row r="11" spans="1:8">
      <c r="A11" s="1051"/>
      <c r="B11" s="1051"/>
      <c r="C11" s="1051"/>
      <c r="D11" s="1051"/>
      <c r="E11" s="1051"/>
      <c r="F11" s="1052"/>
      <c r="G11" s="1051"/>
      <c r="H11" s="1051"/>
    </row>
    <row r="12" spans="1:8">
      <c r="A12" s="1051"/>
      <c r="B12" s="1051"/>
      <c r="C12" s="1051"/>
      <c r="D12" s="1051"/>
      <c r="E12" s="1051"/>
      <c r="F12" s="1052"/>
      <c r="G12" s="1051"/>
      <c r="H12" s="1051"/>
    </row>
    <row r="13" spans="1:8">
      <c r="A13" s="1051"/>
      <c r="B13" s="1051"/>
      <c r="C13" s="1051"/>
      <c r="D13" s="1051"/>
      <c r="E13" s="1051"/>
      <c r="F13" s="1052"/>
      <c r="G13" s="1051"/>
      <c r="H13" s="1051"/>
    </row>
    <row r="14" spans="1:8">
      <c r="A14" s="1051"/>
      <c r="B14" s="1051"/>
      <c r="C14" s="1051"/>
      <c r="D14" s="1051"/>
      <c r="E14" s="1051"/>
      <c r="F14" s="1052"/>
      <c r="G14" s="1051"/>
      <c r="H14" s="1051"/>
    </row>
    <row r="15" spans="1:8">
      <c r="A15" s="1051"/>
      <c r="B15" s="1051"/>
      <c r="C15" s="1051"/>
      <c r="D15" s="1051"/>
      <c r="E15" s="1051"/>
      <c r="F15" s="1052"/>
      <c r="G15" s="1051"/>
      <c r="H15" s="1051"/>
    </row>
    <row r="16" spans="1:8">
      <c r="A16" s="1051"/>
      <c r="B16" s="1051"/>
      <c r="C16" s="1051"/>
      <c r="D16" s="1051"/>
      <c r="E16" s="1051"/>
      <c r="F16" s="1052"/>
      <c r="G16" s="1051"/>
      <c r="H16" s="1051"/>
    </row>
    <row r="17" spans="1:8">
      <c r="A17" s="1051"/>
      <c r="B17" s="1051"/>
      <c r="C17" s="1051"/>
      <c r="D17" s="1051"/>
      <c r="E17" s="1051"/>
      <c r="F17" s="1052"/>
      <c r="G17" s="1051"/>
      <c r="H17" s="1051"/>
    </row>
    <row r="18" spans="1:8">
      <c r="A18" s="1051"/>
      <c r="B18" s="1051"/>
      <c r="C18" s="1051"/>
      <c r="D18" s="1051"/>
      <c r="E18" s="1051"/>
      <c r="F18" s="1052"/>
      <c r="G18" s="1051"/>
      <c r="H18" s="1051"/>
    </row>
    <row r="19" spans="1:8">
      <c r="A19" s="1051"/>
      <c r="B19" s="1051"/>
      <c r="C19" s="1051"/>
      <c r="D19" s="1051"/>
      <c r="E19" s="1051"/>
      <c r="F19" s="1052"/>
      <c r="G19" s="1051"/>
      <c r="H19" s="1051"/>
    </row>
    <row r="20" spans="1:8">
      <c r="A20" s="1051"/>
      <c r="B20" s="1051"/>
      <c r="C20" s="1051"/>
      <c r="D20" s="1051"/>
      <c r="E20" s="1051"/>
      <c r="F20" s="1052"/>
      <c r="G20" s="1051"/>
      <c r="H20" s="1051"/>
    </row>
    <row r="21" spans="1:8">
      <c r="A21" s="1051"/>
      <c r="B21" s="1051"/>
      <c r="C21" s="1051"/>
      <c r="D21" s="1051"/>
      <c r="E21" s="1051"/>
      <c r="F21" s="1052"/>
      <c r="G21" s="1051"/>
      <c r="H21" s="1051"/>
    </row>
    <row r="22" spans="1:8">
      <c r="A22" s="1051"/>
      <c r="B22" s="1051"/>
      <c r="C22" s="1051"/>
      <c r="D22" s="1051"/>
      <c r="E22" s="1051"/>
      <c r="F22" s="1052"/>
      <c r="G22" s="1051"/>
      <c r="H22" s="1051"/>
    </row>
    <row r="23" spans="1:8">
      <c r="A23" s="1051"/>
      <c r="B23" s="1051"/>
      <c r="C23" s="1051"/>
      <c r="D23" s="1051"/>
      <c r="E23" s="1051"/>
      <c r="F23" s="1052"/>
      <c r="G23" s="1051"/>
      <c r="H23" s="1051"/>
    </row>
    <row r="24" spans="1:8">
      <c r="A24" s="1051"/>
      <c r="B24" s="1051"/>
      <c r="C24" s="1051"/>
      <c r="D24" s="1051"/>
      <c r="E24" s="1051"/>
      <c r="F24" s="1052"/>
      <c r="G24" s="1051"/>
      <c r="H24" s="1051"/>
    </row>
    <row r="25" spans="1:8">
      <c r="A25" s="1051"/>
      <c r="B25" s="1051"/>
      <c r="C25" s="1051"/>
      <c r="D25" s="1051"/>
      <c r="E25" s="1051"/>
      <c r="F25" s="1052"/>
      <c r="G25" s="1051"/>
      <c r="H25" s="1051"/>
    </row>
    <row r="26" spans="1:8">
      <c r="A26" s="1051"/>
      <c r="B26" s="1051"/>
      <c r="C26" s="1051"/>
      <c r="D26" s="1051"/>
      <c r="E26" s="1051"/>
      <c r="F26" s="1052"/>
      <c r="G26" s="1051"/>
      <c r="H26" s="1051"/>
    </row>
    <row r="27" spans="1:8">
      <c r="A27" s="1051"/>
      <c r="B27" s="1051"/>
      <c r="C27" s="1051"/>
      <c r="D27" s="1051"/>
      <c r="E27" s="1051"/>
      <c r="F27" s="1052"/>
      <c r="G27" s="1051"/>
      <c r="H27" s="1051"/>
    </row>
    <row r="28" spans="1:8">
      <c r="A28" s="1051"/>
      <c r="B28" s="1051"/>
      <c r="C28" s="1051"/>
      <c r="D28" s="1051"/>
      <c r="E28" s="1051"/>
      <c r="F28" s="1052"/>
      <c r="G28" s="1051"/>
      <c r="H28" s="1051"/>
    </row>
    <row r="29" spans="1:8">
      <c r="A29" s="1051"/>
      <c r="B29" s="1051"/>
      <c r="C29" s="1051"/>
      <c r="D29" s="1051"/>
      <c r="E29" s="1051"/>
      <c r="F29" s="1052"/>
      <c r="G29" s="1051"/>
      <c r="H29" s="1051"/>
    </row>
    <row r="30" spans="1:8">
      <c r="A30" s="1051"/>
      <c r="B30" s="1051"/>
      <c r="C30" s="1051"/>
      <c r="D30" s="1051"/>
      <c r="E30" s="1051"/>
      <c r="F30" s="1052"/>
      <c r="G30" s="1051"/>
      <c r="H30" s="1051"/>
    </row>
    <row r="31" spans="1:8">
      <c r="A31" s="1051"/>
      <c r="B31" s="1051"/>
      <c r="C31" s="1051"/>
      <c r="D31" s="1051"/>
      <c r="E31" s="1051"/>
      <c r="F31" s="1052"/>
      <c r="G31" s="1051"/>
      <c r="H31" s="1051"/>
    </row>
    <row r="32" spans="1:8">
      <c r="A32" s="1051"/>
      <c r="B32" s="1051"/>
      <c r="C32" s="1051"/>
      <c r="D32" s="1051"/>
      <c r="E32" s="1051"/>
      <c r="F32" s="1052"/>
      <c r="G32" s="1051"/>
      <c r="H32" s="1051"/>
    </row>
    <row r="33" spans="1:8">
      <c r="A33" s="1051"/>
      <c r="B33" s="1051"/>
      <c r="C33" s="1051"/>
      <c r="D33" s="1051"/>
      <c r="E33" s="1051"/>
      <c r="F33" s="1052"/>
      <c r="G33" s="1051"/>
      <c r="H33" s="1051"/>
    </row>
    <row r="34" spans="1:8">
      <c r="A34" s="1051"/>
      <c r="B34" s="1051"/>
      <c r="C34" s="1051"/>
      <c r="D34" s="1051"/>
      <c r="E34" s="1051"/>
      <c r="F34" s="1052"/>
      <c r="G34" s="1051"/>
      <c r="H34" s="1051"/>
    </row>
    <row r="35" spans="1:8">
      <c r="A35" s="1051"/>
      <c r="B35" s="1051"/>
      <c r="C35" s="1051"/>
      <c r="D35" s="1051"/>
      <c r="E35" s="1051"/>
      <c r="F35" s="1052"/>
      <c r="G35" s="1051"/>
      <c r="H35" s="1051"/>
    </row>
    <row r="36" spans="1:8">
      <c r="A36" s="1051"/>
      <c r="B36" s="1051"/>
      <c r="C36" s="1051"/>
      <c r="D36" s="1051"/>
      <c r="E36" s="1051"/>
      <c r="F36" s="1052"/>
      <c r="G36" s="1051"/>
      <c r="H36" s="1051"/>
    </row>
    <row r="37" spans="1:8">
      <c r="A37" s="1051"/>
      <c r="B37" s="1051"/>
      <c r="C37" s="1051"/>
      <c r="D37" s="1051"/>
      <c r="E37" s="1051"/>
      <c r="F37" s="1052"/>
      <c r="G37" s="1051"/>
      <c r="H37" s="1051"/>
    </row>
    <row r="38" spans="1:8">
      <c r="A38" s="1051"/>
      <c r="B38" s="1051"/>
      <c r="C38" s="1051"/>
      <c r="D38" s="1051"/>
      <c r="E38" s="1051"/>
      <c r="F38" s="1052"/>
      <c r="G38" s="1051"/>
      <c r="H38" s="1051"/>
    </row>
    <row r="39" spans="1:8">
      <c r="A39" s="1051"/>
      <c r="B39" s="1051"/>
      <c r="C39" s="1051"/>
      <c r="D39" s="1051"/>
      <c r="E39" s="1051"/>
      <c r="F39" s="1052"/>
      <c r="G39" s="1051"/>
      <c r="H39" s="1051"/>
    </row>
    <row r="40" spans="1:8">
      <c r="A40" s="1051"/>
      <c r="B40" s="1051"/>
      <c r="C40" s="1051"/>
      <c r="D40" s="1051"/>
      <c r="E40" s="1051"/>
      <c r="F40" s="1052"/>
      <c r="G40" s="1051"/>
      <c r="H40" s="1051"/>
    </row>
  </sheetData>
  <mergeCells count="1">
    <mergeCell ref="A1: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7">
    <tabColor rgb="FFFF0000"/>
  </sheetPr>
  <dimension ref="A1:I8"/>
  <sheetViews>
    <sheetView workbookViewId="0">
      <pane xSplit="8" ySplit="5" topLeftCell="I6" activePane="bottomRight" state="frozen"/>
      <selection pane="topRight" activeCell="I1" sqref="I1"/>
      <selection pane="bottomLeft" activeCell="A6" sqref="A6"/>
      <selection pane="bottomRight" activeCell="G7" sqref="G7"/>
    </sheetView>
  </sheetViews>
  <sheetFormatPr defaultRowHeight="16.5"/>
  <cols>
    <col min="1" max="1" width="5.44140625" customWidth="1"/>
    <col min="2" max="2" width="8" bestFit="1" customWidth="1"/>
    <col min="4" max="4" width="38.44140625" customWidth="1"/>
    <col min="5" max="5" width="27.6640625" customWidth="1"/>
    <col min="6" max="6" width="9.77734375" bestFit="1" customWidth="1"/>
    <col min="8" max="8" width="25.21875" customWidth="1"/>
  </cols>
  <sheetData>
    <row r="1" spans="1:9">
      <c r="A1" s="1446" t="s">
        <v>3950</v>
      </c>
      <c r="B1" s="1446"/>
      <c r="C1" s="1446"/>
      <c r="D1" s="1446"/>
      <c r="E1" s="1446"/>
      <c r="F1" s="1446"/>
      <c r="G1" s="1446"/>
      <c r="H1" s="1446"/>
      <c r="I1" s="120"/>
    </row>
    <row r="2" spans="1:9">
      <c r="A2" s="1446"/>
      <c r="B2" s="1446"/>
      <c r="C2" s="1446"/>
      <c r="D2" s="1446"/>
      <c r="E2" s="1446"/>
      <c r="F2" s="1446"/>
      <c r="G2" s="1446"/>
      <c r="H2" s="1446"/>
      <c r="I2" s="120"/>
    </row>
    <row r="3" spans="1:9" ht="22.5">
      <c r="A3" s="549" t="str">
        <f>"     "&amp;Tieude1&amp;": "&amp;NDtieude1</f>
        <v xml:space="preserve">     Công trình: Gia cố nâng cấp kênh Bà Xoài từ K0+300÷K0+600 - Hệ thống thủy lợi Nha Trinh, huyện Ninh Hải, tỉnh Ninh Thuận</v>
      </c>
      <c r="B3" s="592"/>
      <c r="C3" s="592"/>
      <c r="D3" s="592"/>
      <c r="E3" s="549"/>
      <c r="F3" s="549"/>
      <c r="G3" s="549"/>
      <c r="H3" s="549"/>
      <c r="I3" s="120"/>
    </row>
    <row r="4" spans="1:9" ht="22.5">
      <c r="A4" s="594" t="str">
        <f>"     Địa điểm XD: "&amp;DDXD</f>
        <v xml:space="preserve">     Địa điểm XD: Huyện Ninh Hải - Tỉnh Ninh Thuận</v>
      </c>
      <c r="B4" s="592"/>
      <c r="C4" s="592"/>
      <c r="D4" s="592"/>
      <c r="E4" s="549"/>
      <c r="F4" s="549"/>
      <c r="G4" s="549"/>
      <c r="H4" s="549"/>
      <c r="I4" s="120"/>
    </row>
    <row r="5" spans="1:9" ht="28.5">
      <c r="A5" s="284" t="s">
        <v>168</v>
      </c>
      <c r="B5" s="284" t="s">
        <v>3949</v>
      </c>
      <c r="C5" s="284" t="s">
        <v>29</v>
      </c>
      <c r="D5" s="285" t="s">
        <v>23</v>
      </c>
      <c r="E5" s="284" t="s">
        <v>30</v>
      </c>
      <c r="F5" s="286" t="s">
        <v>3947</v>
      </c>
      <c r="G5" s="284" t="s">
        <v>3946</v>
      </c>
      <c r="H5" s="286" t="s">
        <v>3948</v>
      </c>
      <c r="I5" s="120"/>
    </row>
    <row r="6" spans="1:9">
      <c r="A6" s="1181">
        <v>1</v>
      </c>
      <c r="B6" s="1181">
        <v>20</v>
      </c>
      <c r="C6" s="1181" t="s">
        <v>266</v>
      </c>
      <c r="D6" s="1182" t="s">
        <v>5773</v>
      </c>
      <c r="E6" s="1192" t="s">
        <v>5932</v>
      </c>
      <c r="F6" s="1184">
        <v>43969</v>
      </c>
      <c r="G6" s="1181"/>
      <c r="H6" s="1184" t="s">
        <v>5774</v>
      </c>
      <c r="I6" s="120"/>
    </row>
    <row r="7" spans="1:9">
      <c r="A7" s="1186">
        <v>2</v>
      </c>
      <c r="B7" s="1186">
        <v>50</v>
      </c>
      <c r="C7" s="1186" t="s">
        <v>266</v>
      </c>
      <c r="D7" s="1187" t="s">
        <v>5773</v>
      </c>
      <c r="E7" s="1186" t="s">
        <v>5944</v>
      </c>
      <c r="F7" s="1189">
        <v>43971</v>
      </c>
      <c r="G7" s="1186"/>
      <c r="H7" s="1186" t="s">
        <v>5774</v>
      </c>
      <c r="I7" s="120"/>
    </row>
    <row r="8" spans="1:9">
      <c r="A8" s="966">
        <v>3</v>
      </c>
      <c r="B8" s="966">
        <v>80</v>
      </c>
      <c r="C8" s="966" t="s">
        <v>266</v>
      </c>
      <c r="D8" s="966" t="s">
        <v>5773</v>
      </c>
      <c r="E8" s="966" t="s">
        <v>5949</v>
      </c>
      <c r="F8" s="966">
        <v>43973</v>
      </c>
      <c r="G8" s="966"/>
      <c r="H8" s="966" t="s">
        <v>5774</v>
      </c>
    </row>
  </sheetData>
  <mergeCells count="1">
    <mergeCell ref="A1:H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9">
    <tabColor rgb="FFFF0000"/>
  </sheetPr>
  <dimension ref="A1:I42"/>
  <sheetViews>
    <sheetView workbookViewId="0">
      <pane xSplit="8" ySplit="5" topLeftCell="I6" activePane="bottomRight" state="frozen"/>
      <selection pane="topRight" activeCell="I1" sqref="I1"/>
      <selection pane="bottomLeft" activeCell="A6" sqref="A6"/>
      <selection pane="bottomRight" activeCell="H38" sqref="H38"/>
    </sheetView>
  </sheetViews>
  <sheetFormatPr defaultRowHeight="16.5"/>
  <cols>
    <col min="4" max="4" width="33.77734375" customWidth="1"/>
    <col min="5" max="5" width="26.6640625" customWidth="1"/>
    <col min="6" max="6" width="10.109375" bestFit="1" customWidth="1"/>
    <col min="8" max="8" width="27.77734375" customWidth="1"/>
  </cols>
  <sheetData>
    <row r="1" spans="1:9">
      <c r="A1" s="1445" t="s">
        <v>4276</v>
      </c>
      <c r="B1" s="1445"/>
      <c r="C1" s="1445"/>
      <c r="D1" s="1445"/>
      <c r="E1" s="1445"/>
      <c r="F1" s="1445"/>
      <c r="G1" s="1445"/>
      <c r="H1" s="1445"/>
      <c r="I1" s="120"/>
    </row>
    <row r="2" spans="1:9">
      <c r="A2" s="1445"/>
      <c r="B2" s="1445"/>
      <c r="C2" s="1445"/>
      <c r="D2" s="1445"/>
      <c r="E2" s="1445"/>
      <c r="F2" s="1445"/>
      <c r="G2" s="1445"/>
      <c r="H2" s="1445"/>
      <c r="I2" s="120"/>
    </row>
    <row r="3" spans="1:9"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c r="I3" s="120"/>
    </row>
    <row r="4" spans="1:9" ht="22.5">
      <c r="A4" s="594" t="str">
        <f>"     Địa điểm XD: "&amp;DDXD</f>
        <v xml:space="preserve">     Địa điểm XD: Huyện Ninh Hải - Tỉnh Ninh Thuận</v>
      </c>
      <c r="B4" s="592"/>
      <c r="C4" s="592"/>
      <c r="D4" s="592"/>
      <c r="E4" s="561"/>
      <c r="F4" s="549"/>
      <c r="G4" s="549"/>
      <c r="H4" s="593"/>
      <c r="I4" s="120"/>
    </row>
    <row r="5" spans="1:9" ht="28.5">
      <c r="A5" s="284" t="s">
        <v>168</v>
      </c>
      <c r="B5" s="284" t="s">
        <v>3949</v>
      </c>
      <c r="C5" s="284" t="s">
        <v>29</v>
      </c>
      <c r="D5" s="285" t="s">
        <v>23</v>
      </c>
      <c r="E5" s="284" t="s">
        <v>30</v>
      </c>
      <c r="F5" s="286" t="s">
        <v>3947</v>
      </c>
      <c r="G5" s="284" t="s">
        <v>3946</v>
      </c>
      <c r="H5" s="284" t="s">
        <v>4261</v>
      </c>
      <c r="I5" s="120"/>
    </row>
    <row r="6" spans="1:9">
      <c r="A6" s="964">
        <v>1</v>
      </c>
      <c r="B6" s="964">
        <v>31</v>
      </c>
      <c r="C6" s="964" t="s">
        <v>311</v>
      </c>
      <c r="D6" s="964" t="s">
        <v>5778</v>
      </c>
      <c r="E6" s="964" t="s">
        <v>5932</v>
      </c>
      <c r="F6" s="986">
        <v>43971</v>
      </c>
      <c r="G6" s="964"/>
      <c r="H6" s="964"/>
    </row>
    <row r="7" spans="1:9">
      <c r="A7" s="965">
        <v>2</v>
      </c>
      <c r="B7" s="965">
        <v>61</v>
      </c>
      <c r="C7" s="965" t="s">
        <v>311</v>
      </c>
      <c r="D7" s="965" t="s">
        <v>5778</v>
      </c>
      <c r="E7" s="965" t="s">
        <v>5944</v>
      </c>
      <c r="F7" s="987">
        <v>43973</v>
      </c>
      <c r="G7" s="965"/>
      <c r="H7" s="965"/>
    </row>
    <row r="8" spans="1:9">
      <c r="A8" s="966">
        <v>3</v>
      </c>
      <c r="B8" s="966">
        <v>91</v>
      </c>
      <c r="C8" s="966" t="s">
        <v>311</v>
      </c>
      <c r="D8" s="966" t="s">
        <v>5778</v>
      </c>
      <c r="E8" s="966" t="s">
        <v>5949</v>
      </c>
      <c r="F8" s="988">
        <v>43975</v>
      </c>
      <c r="G8" s="966"/>
      <c r="H8" s="966"/>
    </row>
    <row r="9" spans="1:9">
      <c r="A9" s="1051"/>
      <c r="B9" s="1051"/>
      <c r="C9" s="1051"/>
      <c r="D9" s="1051"/>
      <c r="E9" s="1051"/>
      <c r="F9" s="1052"/>
      <c r="G9" s="1051"/>
      <c r="H9" s="1051"/>
    </row>
    <row r="10" spans="1:9">
      <c r="A10" s="1051"/>
      <c r="B10" s="1051"/>
      <c r="C10" s="1051"/>
      <c r="D10" s="1051"/>
      <c r="E10" s="1051"/>
      <c r="F10" s="1052"/>
      <c r="G10" s="1051"/>
      <c r="H10" s="1051"/>
    </row>
    <row r="11" spans="1:9">
      <c r="A11" s="1051"/>
      <c r="B11" s="1051"/>
      <c r="C11" s="1051"/>
      <c r="D11" s="1051"/>
      <c r="E11" s="1051"/>
      <c r="F11" s="1052"/>
      <c r="G11" s="1051"/>
      <c r="H11" s="1051"/>
    </row>
    <row r="12" spans="1:9">
      <c r="A12" s="1051"/>
      <c r="B12" s="1051"/>
      <c r="C12" s="1051"/>
      <c r="D12" s="1051"/>
      <c r="E12" s="1051"/>
      <c r="F12" s="1052"/>
      <c r="G12" s="1051"/>
      <c r="H12" s="1051"/>
    </row>
    <row r="13" spans="1:9">
      <c r="A13" s="1051"/>
      <c r="B13" s="1051"/>
      <c r="C13" s="1051"/>
      <c r="D13" s="1051"/>
      <c r="E13" s="1051"/>
      <c r="F13" s="1052"/>
      <c r="G13" s="1051"/>
      <c r="H13" s="1051"/>
    </row>
    <row r="14" spans="1:9">
      <c r="A14" s="1051"/>
      <c r="B14" s="1051"/>
      <c r="C14" s="1051"/>
      <c r="D14" s="1051"/>
      <c r="E14" s="1051"/>
      <c r="F14" s="1052"/>
      <c r="G14" s="1051"/>
      <c r="H14" s="1051"/>
    </row>
    <row r="15" spans="1:9">
      <c r="A15" s="1051"/>
      <c r="B15" s="1051"/>
      <c r="C15" s="1051"/>
      <c r="D15" s="1051"/>
      <c r="E15" s="1051"/>
      <c r="F15" s="1052"/>
      <c r="G15" s="1051"/>
      <c r="H15" s="1051"/>
    </row>
    <row r="16" spans="1:9">
      <c r="A16" s="1051"/>
      <c r="B16" s="1051"/>
      <c r="C16" s="1051"/>
      <c r="D16" s="1051"/>
      <c r="E16" s="1051"/>
      <c r="F16" s="1052"/>
      <c r="G16" s="1051"/>
      <c r="H16" s="1051"/>
    </row>
    <row r="17" spans="1:8">
      <c r="A17" s="1051"/>
      <c r="B17" s="1051"/>
      <c r="C17" s="1051"/>
      <c r="D17" s="1051"/>
      <c r="E17" s="1051"/>
      <c r="F17" s="1052"/>
      <c r="G17" s="1051"/>
      <c r="H17" s="1051"/>
    </row>
    <row r="18" spans="1:8">
      <c r="A18" s="1051"/>
      <c r="B18" s="1051"/>
      <c r="C18" s="1051"/>
      <c r="D18" s="1051"/>
      <c r="E18" s="1051"/>
      <c r="F18" s="1052"/>
      <c r="G18" s="1051"/>
      <c r="H18" s="1051"/>
    </row>
    <row r="19" spans="1:8">
      <c r="A19" s="1051"/>
      <c r="B19" s="1051"/>
      <c r="C19" s="1051"/>
      <c r="D19" s="1051"/>
      <c r="E19" s="1051"/>
      <c r="F19" s="1052"/>
      <c r="G19" s="1051"/>
      <c r="H19" s="1051"/>
    </row>
    <row r="20" spans="1:8">
      <c r="A20" s="1051"/>
      <c r="B20" s="1051"/>
      <c r="C20" s="1051"/>
      <c r="D20" s="1051"/>
      <c r="E20" s="1051"/>
      <c r="F20" s="1052"/>
      <c r="G20" s="1051"/>
      <c r="H20" s="1051"/>
    </row>
    <row r="21" spans="1:8">
      <c r="A21" s="1051"/>
      <c r="B21" s="1051"/>
      <c r="C21" s="1051"/>
      <c r="D21" s="1051"/>
      <c r="E21" s="1051"/>
      <c r="F21" s="1052"/>
      <c r="G21" s="1051"/>
      <c r="H21" s="1051"/>
    </row>
    <row r="22" spans="1:8">
      <c r="A22" s="1051"/>
      <c r="B22" s="1051"/>
      <c r="C22" s="1051"/>
      <c r="D22" s="1051"/>
      <c r="E22" s="1051"/>
      <c r="F22" s="1052"/>
      <c r="G22" s="1051"/>
      <c r="H22" s="1051"/>
    </row>
    <row r="23" spans="1:8">
      <c r="A23" s="1051"/>
      <c r="B23" s="1051"/>
      <c r="C23" s="1051"/>
      <c r="D23" s="1051"/>
      <c r="E23" s="1051"/>
      <c r="F23" s="1052"/>
      <c r="G23" s="1051"/>
      <c r="H23" s="1051"/>
    </row>
    <row r="24" spans="1:8">
      <c r="A24" s="1051"/>
      <c r="B24" s="1051"/>
      <c r="C24" s="1051"/>
      <c r="D24" s="1051"/>
      <c r="E24" s="1051"/>
      <c r="F24" s="1052"/>
      <c r="G24" s="1051"/>
      <c r="H24" s="1051"/>
    </row>
    <row r="25" spans="1:8">
      <c r="A25" s="1051"/>
      <c r="B25" s="1051"/>
      <c r="C25" s="1051"/>
      <c r="D25" s="1051"/>
      <c r="E25" s="1051"/>
      <c r="F25" s="1052"/>
      <c r="G25" s="1051"/>
      <c r="H25" s="1051"/>
    </row>
    <row r="26" spans="1:8">
      <c r="A26" s="1051"/>
      <c r="B26" s="1051"/>
      <c r="C26" s="1051"/>
      <c r="D26" s="1051"/>
      <c r="E26" s="1051"/>
      <c r="F26" s="1052"/>
      <c r="G26" s="1051"/>
      <c r="H26" s="1051"/>
    </row>
    <row r="27" spans="1:8">
      <c r="A27" s="1051"/>
      <c r="B27" s="1051"/>
      <c r="C27" s="1051"/>
      <c r="D27" s="1051"/>
      <c r="E27" s="1051"/>
      <c r="F27" s="1052"/>
      <c r="G27" s="1051"/>
      <c r="H27" s="1051"/>
    </row>
    <row r="28" spans="1:8">
      <c r="A28" s="1051"/>
      <c r="B28" s="1051"/>
      <c r="C28" s="1051"/>
      <c r="D28" s="1051"/>
      <c r="E28" s="1051"/>
      <c r="F28" s="1052"/>
      <c r="G28" s="1051"/>
      <c r="H28" s="1051"/>
    </row>
    <row r="29" spans="1:8">
      <c r="A29" s="1051"/>
      <c r="B29" s="1051"/>
      <c r="C29" s="1051"/>
      <c r="D29" s="1051"/>
      <c r="E29" s="1051"/>
      <c r="F29" s="1052"/>
      <c r="G29" s="1051"/>
      <c r="H29" s="1051"/>
    </row>
    <row r="30" spans="1:8">
      <c r="A30" s="1051"/>
      <c r="B30" s="1051"/>
      <c r="C30" s="1051"/>
      <c r="D30" s="1051"/>
      <c r="E30" s="1051"/>
      <c r="F30" s="1052"/>
      <c r="G30" s="1051"/>
      <c r="H30" s="1051"/>
    </row>
    <row r="31" spans="1:8">
      <c r="A31" s="1051"/>
      <c r="B31" s="1051"/>
      <c r="C31" s="1051"/>
      <c r="D31" s="1051"/>
      <c r="E31" s="1051"/>
      <c r="F31" s="1052"/>
      <c r="G31" s="1051"/>
      <c r="H31" s="1051"/>
    </row>
    <row r="32" spans="1:8">
      <c r="A32" s="1051"/>
      <c r="B32" s="1051"/>
      <c r="C32" s="1051"/>
      <c r="D32" s="1051"/>
      <c r="E32" s="1051"/>
      <c r="F32" s="1052"/>
      <c r="G32" s="1051"/>
      <c r="H32" s="1051"/>
    </row>
    <row r="33" spans="1:8">
      <c r="A33" s="1051"/>
      <c r="B33" s="1051"/>
      <c r="C33" s="1051"/>
      <c r="D33" s="1051"/>
      <c r="E33" s="1051"/>
      <c r="F33" s="1052"/>
      <c r="G33" s="1051"/>
      <c r="H33" s="1051"/>
    </row>
    <row r="34" spans="1:8">
      <c r="A34" s="1051"/>
      <c r="B34" s="1051"/>
      <c r="C34" s="1051"/>
      <c r="D34" s="1051"/>
      <c r="E34" s="1051"/>
      <c r="F34" s="1052"/>
      <c r="G34" s="1051"/>
      <c r="H34" s="1051"/>
    </row>
    <row r="35" spans="1:8">
      <c r="A35" s="1051"/>
      <c r="B35" s="1051"/>
      <c r="C35" s="1051"/>
      <c r="D35" s="1051"/>
      <c r="E35" s="1051"/>
      <c r="F35" s="1052"/>
      <c r="G35" s="1051"/>
      <c r="H35" s="1051"/>
    </row>
    <row r="36" spans="1:8">
      <c r="A36" s="1051"/>
      <c r="B36" s="1051"/>
      <c r="C36" s="1051"/>
      <c r="D36" s="1051"/>
      <c r="E36" s="1051"/>
      <c r="F36" s="1052"/>
      <c r="G36" s="1051"/>
      <c r="H36" s="1051"/>
    </row>
    <row r="37" spans="1:8">
      <c r="A37" s="1051"/>
      <c r="B37" s="1051"/>
      <c r="C37" s="1051"/>
      <c r="D37" s="1051"/>
      <c r="E37" s="1051"/>
      <c r="F37" s="1052"/>
      <c r="G37" s="1051"/>
      <c r="H37" s="1051"/>
    </row>
    <row r="38" spans="1:8">
      <c r="A38" s="1051"/>
      <c r="B38" s="1051"/>
      <c r="C38" s="1051"/>
      <c r="D38" s="1051"/>
      <c r="E38" s="1051"/>
      <c r="F38" s="1052"/>
      <c r="G38" s="1051"/>
      <c r="H38" s="1051"/>
    </row>
    <row r="39" spans="1:8">
      <c r="A39" s="1051"/>
      <c r="B39" s="1051"/>
      <c r="C39" s="1051"/>
      <c r="D39" s="1051"/>
      <c r="E39" s="1051"/>
      <c r="F39" s="1052"/>
      <c r="G39" s="1051"/>
      <c r="H39" s="1051"/>
    </row>
    <row r="40" spans="1:8">
      <c r="A40" s="1051"/>
      <c r="B40" s="1051"/>
      <c r="C40" s="1051"/>
      <c r="D40" s="1051"/>
      <c r="E40" s="1051"/>
      <c r="F40" s="1052"/>
      <c r="G40" s="1051"/>
      <c r="H40" s="1051"/>
    </row>
    <row r="41" spans="1:8">
      <c r="A41" s="1051"/>
      <c r="B41" s="1051"/>
      <c r="C41" s="1051"/>
      <c r="D41" s="1051"/>
      <c r="E41" s="1051"/>
      <c r="F41" s="1052"/>
      <c r="G41" s="1051"/>
      <c r="H41" s="1051"/>
    </row>
    <row r="42" spans="1:8">
      <c r="A42" s="1051"/>
      <c r="B42" s="1051"/>
      <c r="C42" s="1051"/>
      <c r="D42" s="1051"/>
      <c r="E42" s="1051"/>
      <c r="F42" s="1052"/>
      <c r="G42" s="1051"/>
      <c r="H42" s="1051"/>
    </row>
  </sheetData>
  <mergeCells count="1">
    <mergeCell ref="A1:H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0">
    <tabColor rgb="FFFF0000"/>
  </sheetPr>
  <dimension ref="A1:H43"/>
  <sheetViews>
    <sheetView workbookViewId="0">
      <pane xSplit="8" ySplit="5" topLeftCell="I6" activePane="bottomRight" state="frozen"/>
      <selection pane="topRight" activeCell="I1" sqref="I1"/>
      <selection pane="bottomLeft" activeCell="A6" sqref="A6"/>
      <selection pane="bottomRight" activeCell="F6" sqref="F6"/>
    </sheetView>
  </sheetViews>
  <sheetFormatPr defaultRowHeight="16.5"/>
  <cols>
    <col min="4" max="5" width="33.44140625" customWidth="1"/>
    <col min="6" max="6" width="10.109375" bestFit="1" customWidth="1"/>
    <col min="8" max="8" width="18.33203125" bestFit="1" customWidth="1"/>
  </cols>
  <sheetData>
    <row r="1" spans="1:8">
      <c r="A1" s="1445" t="s">
        <v>4275</v>
      </c>
      <c r="B1" s="1445"/>
      <c r="C1" s="1445"/>
      <c r="D1" s="1445"/>
      <c r="E1" s="1445"/>
      <c r="F1" s="1445"/>
      <c r="G1" s="1445"/>
      <c r="H1" s="1445"/>
    </row>
    <row r="2" spans="1:8">
      <c r="A2" s="1445"/>
      <c r="B2" s="1445"/>
      <c r="C2" s="1445"/>
      <c r="D2" s="1445"/>
      <c r="E2" s="1445"/>
      <c r="F2" s="1445"/>
      <c r="G2" s="1445"/>
      <c r="H2" s="1445"/>
    </row>
    <row r="3" spans="1:8"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row>
    <row r="4" spans="1:8" ht="22.5">
      <c r="A4" s="594" t="str">
        <f>"     Địa điểm XD: "&amp;DDXD</f>
        <v xml:space="preserve">     Địa điểm XD: Huyện Ninh Hải - Tỉnh Ninh Thuận</v>
      </c>
      <c r="B4" s="592"/>
      <c r="C4" s="592"/>
      <c r="D4" s="592"/>
      <c r="E4" s="561"/>
      <c r="F4" s="549"/>
      <c r="G4" s="549"/>
      <c r="H4" s="593"/>
    </row>
    <row r="5" spans="1:8" ht="28.5">
      <c r="A5" s="284" t="s">
        <v>168</v>
      </c>
      <c r="B5" s="284" t="s">
        <v>3949</v>
      </c>
      <c r="C5" s="284" t="s">
        <v>29</v>
      </c>
      <c r="D5" s="285" t="s">
        <v>23</v>
      </c>
      <c r="E5" s="284" t="s">
        <v>30</v>
      </c>
      <c r="F5" s="286" t="s">
        <v>3947</v>
      </c>
      <c r="G5" s="284" t="s">
        <v>3946</v>
      </c>
      <c r="H5" s="284" t="s">
        <v>4261</v>
      </c>
    </row>
    <row r="6" spans="1:8">
      <c r="A6" s="964">
        <v>1</v>
      </c>
      <c r="B6" s="964">
        <v>31</v>
      </c>
      <c r="C6" s="964" t="s">
        <v>3841</v>
      </c>
      <c r="D6" s="964" t="s">
        <v>5866</v>
      </c>
      <c r="E6" s="964" t="s">
        <v>5932</v>
      </c>
      <c r="F6" s="986">
        <v>43971</v>
      </c>
      <c r="G6" s="964"/>
      <c r="H6" s="964" t="s">
        <v>5937</v>
      </c>
    </row>
    <row r="7" spans="1:8">
      <c r="A7" s="965">
        <v>2</v>
      </c>
      <c r="B7" s="965">
        <v>61</v>
      </c>
      <c r="C7" s="965" t="s">
        <v>3841</v>
      </c>
      <c r="D7" s="965" t="s">
        <v>5866</v>
      </c>
      <c r="E7" s="965" t="s">
        <v>5944</v>
      </c>
      <c r="F7" s="987">
        <v>43973</v>
      </c>
      <c r="G7" s="965"/>
      <c r="H7" s="965" t="s">
        <v>5937</v>
      </c>
    </row>
    <row r="8" spans="1:8">
      <c r="A8" s="966">
        <v>3</v>
      </c>
      <c r="B8" s="966">
        <v>91</v>
      </c>
      <c r="C8" s="966" t="s">
        <v>3841</v>
      </c>
      <c r="D8" s="966" t="s">
        <v>5866</v>
      </c>
      <c r="E8" s="966" t="s">
        <v>5949</v>
      </c>
      <c r="F8" s="988">
        <v>43975</v>
      </c>
      <c r="G8" s="966"/>
      <c r="H8" s="966" t="s">
        <v>5937</v>
      </c>
    </row>
    <row r="9" spans="1:8">
      <c r="A9" s="1051"/>
      <c r="B9" s="1051"/>
      <c r="C9" s="1051"/>
      <c r="D9" s="1051"/>
      <c r="E9" s="1051"/>
      <c r="F9" s="1052"/>
      <c r="G9" s="1051"/>
      <c r="H9" s="1051"/>
    </row>
    <row r="10" spans="1:8">
      <c r="A10" s="1051"/>
      <c r="B10" s="1051"/>
      <c r="C10" s="1051"/>
      <c r="D10" s="1051"/>
      <c r="E10" s="1051"/>
      <c r="F10" s="1052"/>
      <c r="G10" s="1051"/>
      <c r="H10" s="1051"/>
    </row>
    <row r="11" spans="1:8">
      <c r="A11" s="1051"/>
      <c r="B11" s="1051"/>
      <c r="C11" s="1051"/>
      <c r="D11" s="1051"/>
      <c r="E11" s="1051"/>
      <c r="F11" s="1052"/>
      <c r="G11" s="1051"/>
      <c r="H11" s="1051"/>
    </row>
    <row r="12" spans="1:8">
      <c r="A12" s="1051"/>
      <c r="B12" s="1051"/>
      <c r="C12" s="1051"/>
      <c r="D12" s="1051"/>
      <c r="E12" s="1051"/>
      <c r="F12" s="1052"/>
      <c r="G12" s="1051"/>
      <c r="H12" s="1051"/>
    </row>
    <row r="13" spans="1:8">
      <c r="A13" s="1051"/>
      <c r="B13" s="1051"/>
      <c r="C13" s="1051"/>
      <c r="D13" s="1051"/>
      <c r="E13" s="1051"/>
      <c r="F13" s="1052"/>
      <c r="G13" s="1051"/>
      <c r="H13" s="1051"/>
    </row>
    <row r="14" spans="1:8">
      <c r="A14" s="1051"/>
      <c r="B14" s="1051"/>
      <c r="C14" s="1051"/>
      <c r="D14" s="1051"/>
      <c r="E14" s="1051"/>
      <c r="F14" s="1052"/>
      <c r="G14" s="1051"/>
      <c r="H14" s="1051"/>
    </row>
    <row r="15" spans="1:8">
      <c r="A15" s="1051"/>
      <c r="B15" s="1051"/>
      <c r="C15" s="1051"/>
      <c r="D15" s="1051"/>
      <c r="E15" s="1051"/>
      <c r="F15" s="1052"/>
      <c r="G15" s="1051"/>
      <c r="H15" s="1051"/>
    </row>
    <row r="16" spans="1:8">
      <c r="A16" s="1051"/>
      <c r="B16" s="1051"/>
      <c r="C16" s="1051"/>
      <c r="D16" s="1051"/>
      <c r="E16" s="1051"/>
      <c r="F16" s="1052"/>
      <c r="G16" s="1051"/>
      <c r="H16" s="1051"/>
    </row>
    <row r="17" spans="1:8">
      <c r="A17" s="1051"/>
      <c r="B17" s="1051"/>
      <c r="C17" s="1051"/>
      <c r="D17" s="1051"/>
      <c r="E17" s="1051"/>
      <c r="F17" s="1052"/>
      <c r="G17" s="1051"/>
      <c r="H17" s="1051"/>
    </row>
    <row r="18" spans="1:8">
      <c r="A18" s="1051"/>
      <c r="B18" s="1051"/>
      <c r="C18" s="1051"/>
      <c r="D18" s="1051"/>
      <c r="E18" s="1051"/>
      <c r="F18" s="1052"/>
      <c r="G18" s="1051"/>
      <c r="H18" s="1051"/>
    </row>
    <row r="19" spans="1:8">
      <c r="A19" s="1051"/>
      <c r="B19" s="1051"/>
      <c r="C19" s="1051"/>
      <c r="D19" s="1051"/>
      <c r="E19" s="1051"/>
      <c r="F19" s="1052"/>
      <c r="G19" s="1051"/>
      <c r="H19" s="1051"/>
    </row>
    <row r="20" spans="1:8">
      <c r="A20" s="1051"/>
      <c r="B20" s="1051"/>
      <c r="C20" s="1051"/>
      <c r="D20" s="1051"/>
      <c r="E20" s="1051"/>
      <c r="F20" s="1052"/>
      <c r="G20" s="1051"/>
      <c r="H20" s="1051"/>
    </row>
    <row r="21" spans="1:8">
      <c r="A21" s="1051"/>
      <c r="B21" s="1051"/>
      <c r="C21" s="1051"/>
      <c r="D21" s="1051"/>
      <c r="E21" s="1051"/>
      <c r="F21" s="1052"/>
      <c r="G21" s="1051"/>
      <c r="H21" s="1051"/>
    </row>
    <row r="22" spans="1:8">
      <c r="A22" s="1051"/>
      <c r="B22" s="1051"/>
      <c r="C22" s="1051"/>
      <c r="D22" s="1051"/>
      <c r="E22" s="1051"/>
      <c r="F22" s="1052"/>
      <c r="G22" s="1051"/>
      <c r="H22" s="1051"/>
    </row>
    <row r="23" spans="1:8">
      <c r="A23" s="1051"/>
      <c r="B23" s="1051"/>
      <c r="C23" s="1051"/>
      <c r="D23" s="1051"/>
      <c r="E23" s="1051"/>
      <c r="F23" s="1052"/>
      <c r="G23" s="1051"/>
      <c r="H23" s="1051"/>
    </row>
    <row r="24" spans="1:8">
      <c r="A24" s="1051"/>
      <c r="B24" s="1051"/>
      <c r="C24" s="1051"/>
      <c r="D24" s="1051"/>
      <c r="E24" s="1051"/>
      <c r="F24" s="1052"/>
      <c r="G24" s="1051"/>
      <c r="H24" s="1051"/>
    </row>
    <row r="25" spans="1:8">
      <c r="A25" s="1051"/>
      <c r="B25" s="1051"/>
      <c r="C25" s="1051"/>
      <c r="D25" s="1051"/>
      <c r="E25" s="1051"/>
      <c r="F25" s="1052"/>
      <c r="G25" s="1051"/>
      <c r="H25" s="1051"/>
    </row>
    <row r="26" spans="1:8">
      <c r="A26" s="1051"/>
      <c r="B26" s="1051"/>
      <c r="C26" s="1051"/>
      <c r="D26" s="1051"/>
      <c r="E26" s="1051"/>
      <c r="F26" s="1052"/>
      <c r="G26" s="1051"/>
      <c r="H26" s="1051"/>
    </row>
    <row r="27" spans="1:8">
      <c r="A27" s="1051"/>
      <c r="B27" s="1051"/>
      <c r="C27" s="1051"/>
      <c r="D27" s="1051"/>
      <c r="E27" s="1051"/>
      <c r="F27" s="1052"/>
      <c r="G27" s="1051"/>
      <c r="H27" s="1051"/>
    </row>
    <row r="28" spans="1:8">
      <c r="A28" s="1051"/>
      <c r="B28" s="1051"/>
      <c r="C28" s="1051"/>
      <c r="D28" s="1051"/>
      <c r="E28" s="1051"/>
      <c r="F28" s="1052"/>
      <c r="G28" s="1051"/>
      <c r="H28" s="1051"/>
    </row>
    <row r="29" spans="1:8">
      <c r="A29" s="1051"/>
      <c r="B29" s="1051"/>
      <c r="C29" s="1051"/>
      <c r="D29" s="1051"/>
      <c r="E29" s="1051"/>
      <c r="F29" s="1052"/>
      <c r="G29" s="1051"/>
      <c r="H29" s="1051"/>
    </row>
    <row r="30" spans="1:8">
      <c r="A30" s="1051"/>
      <c r="B30" s="1051"/>
      <c r="C30" s="1051"/>
      <c r="D30" s="1051"/>
      <c r="E30" s="1051"/>
      <c r="F30" s="1052"/>
      <c r="G30" s="1051"/>
      <c r="H30" s="1051"/>
    </row>
    <row r="31" spans="1:8">
      <c r="A31" s="1051"/>
      <c r="B31" s="1051"/>
      <c r="C31" s="1051"/>
      <c r="D31" s="1051"/>
      <c r="E31" s="1051"/>
      <c r="F31" s="1052"/>
      <c r="G31" s="1051"/>
      <c r="H31" s="1051"/>
    </row>
    <row r="32" spans="1:8">
      <c r="A32" s="1051"/>
      <c r="B32" s="1051"/>
      <c r="C32" s="1051"/>
      <c r="D32" s="1051"/>
      <c r="E32" s="1051"/>
      <c r="F32" s="1052"/>
      <c r="G32" s="1051"/>
      <c r="H32" s="1051"/>
    </row>
    <row r="33" spans="1:8">
      <c r="A33" s="1051"/>
      <c r="B33" s="1051"/>
      <c r="C33" s="1051"/>
      <c r="D33" s="1051"/>
      <c r="E33" s="1051"/>
      <c r="F33" s="1052"/>
      <c r="G33" s="1051"/>
      <c r="H33" s="1051"/>
    </row>
    <row r="34" spans="1:8">
      <c r="A34" s="1051"/>
      <c r="B34" s="1051"/>
      <c r="C34" s="1051"/>
      <c r="D34" s="1051"/>
      <c r="E34" s="1051"/>
      <c r="F34" s="1052"/>
      <c r="G34" s="1051"/>
      <c r="H34" s="1051"/>
    </row>
    <row r="35" spans="1:8">
      <c r="A35" s="1051"/>
      <c r="B35" s="1051"/>
      <c r="C35" s="1051"/>
      <c r="D35" s="1051"/>
      <c r="E35" s="1051"/>
      <c r="F35" s="1052"/>
      <c r="G35" s="1051"/>
      <c r="H35" s="1051"/>
    </row>
    <row r="36" spans="1:8">
      <c r="A36" s="1051"/>
      <c r="B36" s="1051"/>
      <c r="C36" s="1051"/>
      <c r="D36" s="1051"/>
      <c r="E36" s="1051"/>
      <c r="F36" s="1052"/>
      <c r="G36" s="1051"/>
      <c r="H36" s="1051"/>
    </row>
    <row r="37" spans="1:8">
      <c r="A37" s="1051"/>
      <c r="B37" s="1051"/>
      <c r="C37" s="1051"/>
      <c r="D37" s="1051"/>
      <c r="E37" s="1051"/>
      <c r="F37" s="1052"/>
      <c r="G37" s="1051"/>
      <c r="H37" s="1051"/>
    </row>
    <row r="38" spans="1:8">
      <c r="A38" s="1051"/>
      <c r="B38" s="1051"/>
      <c r="C38" s="1051"/>
      <c r="D38" s="1051"/>
      <c r="E38" s="1051"/>
      <c r="F38" s="1052"/>
      <c r="G38" s="1051"/>
      <c r="H38" s="1051"/>
    </row>
    <row r="39" spans="1:8">
      <c r="A39" s="1051"/>
      <c r="B39" s="1051"/>
      <c r="C39" s="1051"/>
      <c r="D39" s="1051"/>
      <c r="E39" s="1051"/>
      <c r="F39" s="1052"/>
      <c r="G39" s="1051"/>
      <c r="H39" s="1051"/>
    </row>
    <row r="40" spans="1:8">
      <c r="A40" s="1051"/>
      <c r="B40" s="1051"/>
      <c r="C40" s="1051"/>
      <c r="D40" s="1051"/>
      <c r="E40" s="1051"/>
      <c r="F40" s="1052"/>
      <c r="G40" s="1051"/>
      <c r="H40" s="1051"/>
    </row>
    <row r="41" spans="1:8">
      <c r="A41" s="1051"/>
      <c r="B41" s="1051"/>
      <c r="C41" s="1051"/>
      <c r="D41" s="1051"/>
      <c r="E41" s="1051"/>
      <c r="F41" s="1052"/>
      <c r="G41" s="1051"/>
      <c r="H41" s="1051"/>
    </row>
    <row r="42" spans="1:8">
      <c r="A42" s="1051"/>
      <c r="B42" s="1051"/>
      <c r="C42" s="1051"/>
      <c r="D42" s="1051"/>
      <c r="E42" s="1051"/>
      <c r="F42" s="1052"/>
      <c r="G42" s="1051"/>
      <c r="H42" s="1051"/>
    </row>
    <row r="43" spans="1:8">
      <c r="A43" s="1051"/>
      <c r="B43" s="1051"/>
      <c r="C43" s="1051"/>
      <c r="D43" s="1051"/>
      <c r="E43" s="1051"/>
      <c r="F43" s="1052"/>
      <c r="G43" s="1051"/>
      <c r="H43" s="1051"/>
    </row>
  </sheetData>
  <mergeCells count="1">
    <mergeCell ref="A1:H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1"/>
  <dimension ref="A1:I42"/>
  <sheetViews>
    <sheetView workbookViewId="0">
      <pane xSplit="8" ySplit="5" topLeftCell="I6" activePane="bottomRight" state="frozen"/>
      <selection pane="topRight" activeCell="I1" sqref="I1"/>
      <selection pane="bottomLeft" activeCell="A6" sqref="A6"/>
      <selection pane="bottomRight" activeCell="E38" sqref="E38"/>
    </sheetView>
  </sheetViews>
  <sheetFormatPr defaultRowHeight="16.5"/>
  <cols>
    <col min="1" max="1" width="4.6640625" customWidth="1"/>
    <col min="4" max="5" width="30.77734375" customWidth="1"/>
    <col min="6" max="6" width="10.109375" bestFit="1" customWidth="1"/>
    <col min="8" max="8" width="18" customWidth="1"/>
  </cols>
  <sheetData>
    <row r="1" spans="1:9">
      <c r="A1" s="1446" t="s">
        <v>4278</v>
      </c>
      <c r="B1" s="1446"/>
      <c r="C1" s="1446"/>
      <c r="D1" s="1446"/>
      <c r="E1" s="1446"/>
      <c r="F1" s="1446"/>
      <c r="G1" s="1446"/>
      <c r="H1" s="1446"/>
      <c r="I1" s="120"/>
    </row>
    <row r="2" spans="1:9">
      <c r="A2" s="1446"/>
      <c r="B2" s="1446"/>
      <c r="C2" s="1446"/>
      <c r="D2" s="1446"/>
      <c r="E2" s="1446"/>
      <c r="F2" s="1446"/>
      <c r="G2" s="1446"/>
      <c r="H2" s="1446"/>
      <c r="I2" s="120"/>
    </row>
    <row r="3" spans="1:9" ht="22.5">
      <c r="A3" s="549" t="str">
        <f>"     "&amp;Tieude1&amp;": "&amp;NDtieude1</f>
        <v xml:space="preserve">     Công trình: Gia cố nâng cấp kênh Bà Xoài từ K0+300÷K0+600 - Hệ thống thủy lợi Nha Trinh, huyện Ninh Hải, tỉnh Ninh Thuận</v>
      </c>
      <c r="B3" s="592"/>
      <c r="C3" s="592"/>
      <c r="D3" s="592"/>
      <c r="E3" s="561"/>
      <c r="F3" s="549"/>
      <c r="G3" s="549"/>
      <c r="H3" s="593"/>
      <c r="I3" s="120"/>
    </row>
    <row r="4" spans="1:9" ht="22.5">
      <c r="A4" s="594" t="str">
        <f>"     Địa điểm XD: "&amp;DDXD</f>
        <v xml:space="preserve">     Địa điểm XD: Huyện Ninh Hải - Tỉnh Ninh Thuận</v>
      </c>
      <c r="B4" s="592"/>
      <c r="C4" s="592"/>
      <c r="D4" s="592"/>
      <c r="E4" s="561"/>
      <c r="F4" s="549"/>
      <c r="G4" s="549"/>
      <c r="H4" s="593"/>
      <c r="I4" s="120"/>
    </row>
    <row r="5" spans="1:9" ht="28.5">
      <c r="A5" s="284" t="s">
        <v>168</v>
      </c>
      <c r="B5" s="284" t="s">
        <v>3949</v>
      </c>
      <c r="C5" s="284" t="s">
        <v>29</v>
      </c>
      <c r="D5" s="285" t="s">
        <v>23</v>
      </c>
      <c r="E5" s="284" t="s">
        <v>30</v>
      </c>
      <c r="F5" s="286" t="s">
        <v>3947</v>
      </c>
      <c r="G5" s="284" t="s">
        <v>3946</v>
      </c>
      <c r="H5" s="284" t="s">
        <v>4261</v>
      </c>
      <c r="I5" s="120"/>
    </row>
    <row r="6" spans="1:9">
      <c r="A6" s="964">
        <v>1</v>
      </c>
      <c r="B6" s="964">
        <v>31</v>
      </c>
      <c r="C6" s="964" t="s">
        <v>3846</v>
      </c>
      <c r="D6" s="964" t="s">
        <v>5779</v>
      </c>
      <c r="E6" s="964" t="s">
        <v>5932</v>
      </c>
      <c r="F6" s="986">
        <v>43978</v>
      </c>
      <c r="G6" s="964"/>
      <c r="H6" s="964"/>
    </row>
    <row r="7" spans="1:9">
      <c r="A7" s="965">
        <v>2</v>
      </c>
      <c r="B7" s="965">
        <v>61</v>
      </c>
      <c r="C7" s="965" t="s">
        <v>3846</v>
      </c>
      <c r="D7" s="965" t="s">
        <v>5779</v>
      </c>
      <c r="E7" s="965" t="s">
        <v>5944</v>
      </c>
      <c r="F7" s="987">
        <v>43980</v>
      </c>
      <c r="G7" s="965"/>
      <c r="H7" s="965"/>
    </row>
    <row r="8" spans="1:9">
      <c r="A8" s="966">
        <v>3</v>
      </c>
      <c r="B8" s="966">
        <v>91</v>
      </c>
      <c r="C8" s="966" t="s">
        <v>3846</v>
      </c>
      <c r="D8" s="966" t="s">
        <v>5779</v>
      </c>
      <c r="E8" s="966" t="s">
        <v>5949</v>
      </c>
      <c r="F8" s="988">
        <v>43982</v>
      </c>
      <c r="G8" s="966"/>
      <c r="H8" s="966"/>
    </row>
    <row r="9" spans="1:9">
      <c r="A9" s="1051"/>
      <c r="B9" s="1051"/>
      <c r="C9" s="1051"/>
      <c r="D9" s="1051"/>
      <c r="E9" s="1051"/>
      <c r="F9" s="1052"/>
      <c r="G9" s="1051"/>
      <c r="H9" s="1051"/>
    </row>
    <row r="10" spans="1:9">
      <c r="A10" s="1051"/>
      <c r="B10" s="1051"/>
      <c r="C10" s="1051"/>
      <c r="D10" s="1051"/>
      <c r="E10" s="1051"/>
      <c r="F10" s="1052"/>
      <c r="G10" s="1051"/>
      <c r="H10" s="1051"/>
    </row>
    <row r="11" spans="1:9">
      <c r="A11" s="1051"/>
      <c r="B11" s="1051"/>
      <c r="C11" s="1051"/>
      <c r="D11" s="1051"/>
      <c r="E11" s="1051"/>
      <c r="F11" s="1052"/>
      <c r="G11" s="1051"/>
      <c r="H11" s="1051"/>
    </row>
    <row r="12" spans="1:9">
      <c r="A12" s="1051"/>
      <c r="B12" s="1051"/>
      <c r="C12" s="1051"/>
      <c r="D12" s="1051"/>
      <c r="E12" s="1051"/>
      <c r="F12" s="1052"/>
      <c r="G12" s="1051"/>
      <c r="H12" s="1051"/>
    </row>
    <row r="13" spans="1:9">
      <c r="A13" s="1051"/>
      <c r="B13" s="1051"/>
      <c r="C13" s="1051"/>
      <c r="D13" s="1051"/>
      <c r="E13" s="1051"/>
      <c r="F13" s="1052"/>
      <c r="G13" s="1051"/>
      <c r="H13" s="1051"/>
    </row>
    <row r="14" spans="1:9">
      <c r="A14" s="1051"/>
      <c r="B14" s="1051"/>
      <c r="C14" s="1051"/>
      <c r="D14" s="1051"/>
      <c r="E14" s="1051"/>
      <c r="F14" s="1052"/>
      <c r="G14" s="1051"/>
      <c r="H14" s="1051"/>
    </row>
    <row r="15" spans="1:9">
      <c r="A15" s="1051"/>
      <c r="B15" s="1051"/>
      <c r="C15" s="1051"/>
      <c r="D15" s="1051"/>
      <c r="E15" s="1051"/>
      <c r="F15" s="1052"/>
      <c r="G15" s="1051"/>
      <c r="H15" s="1051"/>
    </row>
    <row r="16" spans="1:9">
      <c r="A16" s="1051"/>
      <c r="B16" s="1051"/>
      <c r="C16" s="1051"/>
      <c r="D16" s="1051"/>
      <c r="E16" s="1051"/>
      <c r="F16" s="1052"/>
      <c r="G16" s="1051"/>
      <c r="H16" s="1051"/>
    </row>
    <row r="17" spans="1:8">
      <c r="A17" s="1051"/>
      <c r="B17" s="1051"/>
      <c r="C17" s="1051"/>
      <c r="D17" s="1051"/>
      <c r="E17" s="1051"/>
      <c r="F17" s="1052"/>
      <c r="G17" s="1051"/>
      <c r="H17" s="1051"/>
    </row>
    <row r="18" spans="1:8">
      <c r="A18" s="1051"/>
      <c r="B18" s="1051"/>
      <c r="C18" s="1051"/>
      <c r="D18" s="1051"/>
      <c r="E18" s="1051"/>
      <c r="F18" s="1052"/>
      <c r="G18" s="1051"/>
      <c r="H18" s="1051"/>
    </row>
    <row r="19" spans="1:8">
      <c r="A19" s="1051"/>
      <c r="B19" s="1051"/>
      <c r="C19" s="1051"/>
      <c r="D19" s="1051"/>
      <c r="E19" s="1051"/>
      <c r="F19" s="1052"/>
      <c r="G19" s="1051"/>
      <c r="H19" s="1051"/>
    </row>
    <row r="20" spans="1:8">
      <c r="A20" s="1051"/>
      <c r="B20" s="1051"/>
      <c r="C20" s="1051"/>
      <c r="D20" s="1051"/>
      <c r="E20" s="1051"/>
      <c r="F20" s="1052"/>
      <c r="G20" s="1051"/>
      <c r="H20" s="1051"/>
    </row>
    <row r="21" spans="1:8">
      <c r="A21" s="1051"/>
      <c r="B21" s="1051"/>
      <c r="C21" s="1051"/>
      <c r="D21" s="1051"/>
      <c r="E21" s="1051"/>
      <c r="F21" s="1052"/>
      <c r="G21" s="1051"/>
      <c r="H21" s="1051"/>
    </row>
    <row r="22" spans="1:8">
      <c r="A22" s="1051"/>
      <c r="B22" s="1051"/>
      <c r="C22" s="1051"/>
      <c r="D22" s="1051"/>
      <c r="E22" s="1051"/>
      <c r="F22" s="1052"/>
      <c r="G22" s="1051"/>
      <c r="H22" s="1051"/>
    </row>
    <row r="23" spans="1:8">
      <c r="A23" s="1051"/>
      <c r="B23" s="1051"/>
      <c r="C23" s="1051"/>
      <c r="D23" s="1051"/>
      <c r="E23" s="1051"/>
      <c r="F23" s="1052"/>
      <c r="G23" s="1051"/>
      <c r="H23" s="1051"/>
    </row>
    <row r="24" spans="1:8">
      <c r="A24" s="1051"/>
      <c r="B24" s="1051"/>
      <c r="C24" s="1051"/>
      <c r="D24" s="1051"/>
      <c r="E24" s="1051"/>
      <c r="F24" s="1052"/>
      <c r="G24" s="1051"/>
      <c r="H24" s="1051"/>
    </row>
    <row r="25" spans="1:8">
      <c r="A25" s="1051"/>
      <c r="B25" s="1051"/>
      <c r="C25" s="1051"/>
      <c r="D25" s="1051"/>
      <c r="E25" s="1051"/>
      <c r="F25" s="1052"/>
      <c r="G25" s="1051"/>
      <c r="H25" s="1051"/>
    </row>
    <row r="26" spans="1:8">
      <c r="A26" s="1051"/>
      <c r="B26" s="1051"/>
      <c r="C26" s="1051"/>
      <c r="D26" s="1051"/>
      <c r="E26" s="1051"/>
      <c r="F26" s="1052"/>
      <c r="G26" s="1051"/>
      <c r="H26" s="1051"/>
    </row>
    <row r="27" spans="1:8">
      <c r="A27" s="1051"/>
      <c r="B27" s="1051"/>
      <c r="C27" s="1051"/>
      <c r="D27" s="1051"/>
      <c r="E27" s="1051"/>
      <c r="F27" s="1052"/>
      <c r="G27" s="1051"/>
      <c r="H27" s="1051"/>
    </row>
    <row r="28" spans="1:8">
      <c r="A28" s="1051"/>
      <c r="B28" s="1051"/>
      <c r="C28" s="1051"/>
      <c r="D28" s="1051"/>
      <c r="E28" s="1051"/>
      <c r="F28" s="1052"/>
      <c r="G28" s="1051"/>
      <c r="H28" s="1051"/>
    </row>
    <row r="29" spans="1:8">
      <c r="A29" s="1051"/>
      <c r="B29" s="1051"/>
      <c r="C29" s="1051"/>
      <c r="D29" s="1051"/>
      <c r="E29" s="1051"/>
      <c r="F29" s="1052"/>
      <c r="G29" s="1051"/>
      <c r="H29" s="1051"/>
    </row>
    <row r="30" spans="1:8">
      <c r="A30" s="1051"/>
      <c r="B30" s="1051"/>
      <c r="C30" s="1051"/>
      <c r="D30" s="1051"/>
      <c r="E30" s="1051"/>
      <c r="F30" s="1052"/>
      <c r="G30" s="1051"/>
      <c r="H30" s="1051"/>
    </row>
    <row r="31" spans="1:8">
      <c r="A31" s="1051"/>
      <c r="B31" s="1051"/>
      <c r="C31" s="1051"/>
      <c r="D31" s="1051"/>
      <c r="E31" s="1051"/>
      <c r="F31" s="1052"/>
      <c r="G31" s="1051"/>
      <c r="H31" s="1051"/>
    </row>
    <row r="32" spans="1:8">
      <c r="A32" s="1051"/>
      <c r="B32" s="1051"/>
      <c r="C32" s="1051"/>
      <c r="D32" s="1051"/>
      <c r="E32" s="1051"/>
      <c r="F32" s="1052"/>
      <c r="G32" s="1051"/>
      <c r="H32" s="1051"/>
    </row>
    <row r="33" spans="1:8">
      <c r="A33" s="1051"/>
      <c r="B33" s="1051"/>
      <c r="C33" s="1051"/>
      <c r="D33" s="1051"/>
      <c r="E33" s="1051"/>
      <c r="F33" s="1052"/>
      <c r="G33" s="1051"/>
      <c r="H33" s="1051"/>
    </row>
    <row r="34" spans="1:8">
      <c r="A34" s="1051"/>
      <c r="B34" s="1051"/>
      <c r="C34" s="1051"/>
      <c r="D34" s="1051"/>
      <c r="E34" s="1051"/>
      <c r="F34" s="1052"/>
      <c r="G34" s="1051"/>
      <c r="H34" s="1051"/>
    </row>
    <row r="35" spans="1:8">
      <c r="A35" s="1051"/>
      <c r="B35" s="1051"/>
      <c r="C35" s="1051"/>
      <c r="D35" s="1051"/>
      <c r="E35" s="1051"/>
      <c r="F35" s="1052"/>
      <c r="G35" s="1051"/>
      <c r="H35" s="1051"/>
    </row>
    <row r="36" spans="1:8">
      <c r="A36" s="1051"/>
      <c r="B36" s="1051"/>
      <c r="C36" s="1051"/>
      <c r="D36" s="1051"/>
      <c r="E36" s="1051"/>
      <c r="F36" s="1052"/>
      <c r="G36" s="1051"/>
      <c r="H36" s="1051"/>
    </row>
    <row r="37" spans="1:8">
      <c r="A37" s="1051"/>
      <c r="B37" s="1051"/>
      <c r="C37" s="1051"/>
      <c r="D37" s="1051"/>
      <c r="E37" s="1051"/>
      <c r="F37" s="1052"/>
      <c r="G37" s="1051"/>
      <c r="H37" s="1051"/>
    </row>
    <row r="38" spans="1:8">
      <c r="A38" s="1051"/>
      <c r="B38" s="1051"/>
      <c r="C38" s="1051"/>
      <c r="D38" s="1051"/>
      <c r="E38" s="1051"/>
      <c r="F38" s="1052"/>
      <c r="G38" s="1051"/>
      <c r="H38" s="1051"/>
    </row>
    <row r="39" spans="1:8">
      <c r="A39" s="1051"/>
      <c r="B39" s="1051"/>
      <c r="C39" s="1051"/>
      <c r="D39" s="1051"/>
      <c r="E39" s="1051"/>
      <c r="F39" s="1052"/>
      <c r="G39" s="1051"/>
      <c r="H39" s="1051"/>
    </row>
    <row r="40" spans="1:8">
      <c r="A40" s="1051"/>
      <c r="B40" s="1051"/>
      <c r="C40" s="1051"/>
      <c r="D40" s="1051"/>
      <c r="E40" s="1051"/>
      <c r="F40" s="1052"/>
      <c r="G40" s="1051"/>
      <c r="H40" s="1051"/>
    </row>
    <row r="41" spans="1:8">
      <c r="A41" s="1051"/>
      <c r="B41" s="1051"/>
      <c r="C41" s="1051"/>
      <c r="D41" s="1051"/>
      <c r="E41" s="1051"/>
      <c r="F41" s="1052"/>
      <c r="G41" s="1051"/>
      <c r="H41" s="1051"/>
    </row>
    <row r="42" spans="1:8">
      <c r="A42" s="1051"/>
      <c r="B42" s="1051"/>
      <c r="C42" s="1051"/>
      <c r="D42" s="1051"/>
      <c r="E42" s="1051"/>
      <c r="F42" s="1052"/>
      <c r="G42" s="1051"/>
      <c r="H42" s="1051"/>
    </row>
  </sheetData>
  <mergeCells count="1">
    <mergeCell ref="A1:H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FFFF00"/>
  </sheetPr>
  <dimension ref="A1:J529"/>
  <sheetViews>
    <sheetView showGridLines="0" workbookViewId="0">
      <pane xSplit="6" ySplit="3" topLeftCell="G4" activePane="bottomRight" state="frozen"/>
      <selection activeCell="D9" sqref="D9"/>
      <selection pane="topRight" activeCell="D9" sqref="D9"/>
      <selection pane="bottomLeft" activeCell="D9" sqref="D9"/>
      <selection pane="bottomRight" activeCell="G7" sqref="G7"/>
    </sheetView>
  </sheetViews>
  <sheetFormatPr defaultColWidth="8.88671875" defaultRowHeight="16.5"/>
  <cols>
    <col min="1" max="1" width="4.109375" style="35" bestFit="1" customWidth="1"/>
    <col min="2" max="2" width="10.77734375" style="84" customWidth="1"/>
    <col min="3" max="3" width="36.88671875" style="184" customWidth="1"/>
    <col min="4" max="4" width="11.109375" style="77" bestFit="1" customWidth="1"/>
    <col min="5" max="6" width="10.77734375" style="77" bestFit="1" customWidth="1"/>
    <col min="7" max="7" width="10.77734375" style="29" bestFit="1" customWidth="1"/>
    <col min="8" max="8" width="23" style="375" customWidth="1"/>
    <col min="9" max="11" width="8.88671875" style="29" customWidth="1"/>
    <col min="12" max="16383" width="8.88671875" style="29"/>
    <col min="16384" max="16384" width="19.109375" style="29" customWidth="1"/>
  </cols>
  <sheetData>
    <row r="1" spans="1:10">
      <c r="A1" s="1447" t="str">
        <f>Nhattrinh!E1</f>
        <v xml:space="preserve">     Công trình: Gia cố nâng cấp kênh Bà Xoài từ K0+300÷K0+600 - Hệ thống thủy lợi Nha Trinh, huyện Ninh Hải, tỉnh Ninh Thuận</v>
      </c>
      <c r="B1" s="1447"/>
      <c r="C1" s="1447"/>
      <c r="D1" s="1447"/>
      <c r="E1" s="1447"/>
      <c r="F1" s="1447"/>
      <c r="G1" s="81"/>
      <c r="H1" s="373"/>
      <c r="I1" s="81"/>
      <c r="J1" s="81"/>
    </row>
    <row r="2" spans="1:10">
      <c r="A2" s="1447" t="str">
        <f>Nhattrinh!E2</f>
        <v xml:space="preserve">     Địa điểm XD: Huyện Ninh Hải - Tỉnh Ninh Thuận</v>
      </c>
      <c r="B2" s="1447"/>
      <c r="C2" s="1447"/>
      <c r="D2" s="1447"/>
      <c r="E2" s="1447"/>
      <c r="F2" s="1447"/>
      <c r="G2" s="81"/>
      <c r="H2" s="373"/>
      <c r="I2" s="81"/>
      <c r="J2" s="81"/>
    </row>
    <row r="3" spans="1:10" ht="28.5">
      <c r="A3" s="76" t="s">
        <v>21</v>
      </c>
      <c r="B3" s="76" t="s">
        <v>1099</v>
      </c>
      <c r="C3" s="76" t="s">
        <v>23</v>
      </c>
      <c r="D3" s="79" t="s">
        <v>164</v>
      </c>
      <c r="E3" s="79" t="s">
        <v>165</v>
      </c>
      <c r="F3" s="79" t="s">
        <v>1100</v>
      </c>
      <c r="G3" s="79" t="s">
        <v>174</v>
      </c>
      <c r="H3" s="374" t="s">
        <v>1101</v>
      </c>
      <c r="I3" s="80"/>
      <c r="J3" s="80"/>
    </row>
    <row r="4" spans="1:10">
      <c r="A4" s="376">
        <v>1</v>
      </c>
      <c r="B4" s="377" t="s">
        <v>169</v>
      </c>
      <c r="C4" s="378" t="s">
        <v>4242</v>
      </c>
      <c r="D4" s="379">
        <v>43954</v>
      </c>
      <c r="E4" s="379">
        <v>43954</v>
      </c>
      <c r="F4" s="379"/>
      <c r="G4" s="183"/>
      <c r="H4" s="380"/>
    </row>
    <row r="5" spans="1:10">
      <c r="A5" s="381">
        <v>2</v>
      </c>
      <c r="B5" s="382" t="s">
        <v>267</v>
      </c>
      <c r="C5" s="383" t="s">
        <v>4243</v>
      </c>
      <c r="D5" s="78"/>
      <c r="E5" s="78"/>
      <c r="F5" s="78"/>
      <c r="G5" s="78">
        <v>43954</v>
      </c>
      <c r="H5" s="384"/>
    </row>
    <row r="6" spans="1:10">
      <c r="A6" s="381">
        <v>3</v>
      </c>
      <c r="B6" s="382" t="s">
        <v>367</v>
      </c>
      <c r="C6" s="383" t="s">
        <v>5905</v>
      </c>
      <c r="D6" s="78">
        <v>43954</v>
      </c>
      <c r="E6" s="78">
        <v>43954</v>
      </c>
      <c r="F6" s="78"/>
      <c r="G6" s="1268"/>
      <c r="H6" s="384"/>
    </row>
    <row r="7" spans="1:10">
      <c r="A7" s="381">
        <v>4</v>
      </c>
      <c r="B7" s="382" t="s">
        <v>169</v>
      </c>
      <c r="C7" s="383" t="s">
        <v>5906</v>
      </c>
      <c r="D7" s="78">
        <v>43955</v>
      </c>
      <c r="E7" s="78">
        <v>43957</v>
      </c>
      <c r="F7" s="78"/>
      <c r="G7" s="1268"/>
      <c r="H7" s="384"/>
    </row>
    <row r="8" spans="1:10">
      <c r="A8" s="381">
        <v>5</v>
      </c>
      <c r="B8" s="382" t="s">
        <v>267</v>
      </c>
      <c r="C8" s="383" t="s">
        <v>5907</v>
      </c>
      <c r="D8" s="78"/>
      <c r="E8" s="78"/>
      <c r="F8" s="78"/>
      <c r="G8" s="78">
        <v>43957</v>
      </c>
      <c r="H8" s="384"/>
    </row>
    <row r="9" spans="1:10">
      <c r="A9" s="381">
        <v>6</v>
      </c>
      <c r="B9" s="382" t="s">
        <v>311</v>
      </c>
      <c r="C9" s="383" t="s">
        <v>5908</v>
      </c>
      <c r="D9" s="78"/>
      <c r="E9" s="78"/>
      <c r="F9" s="78"/>
      <c r="G9" s="78">
        <v>43957</v>
      </c>
      <c r="H9" s="384"/>
    </row>
    <row r="10" spans="1:10" ht="33">
      <c r="A10" s="381">
        <v>7</v>
      </c>
      <c r="B10" s="382" t="s">
        <v>169</v>
      </c>
      <c r="C10" s="383" t="s">
        <v>5909</v>
      </c>
      <c r="D10" s="78">
        <v>43957</v>
      </c>
      <c r="E10" s="78">
        <v>43958</v>
      </c>
      <c r="F10" s="78"/>
      <c r="G10" s="1268"/>
      <c r="H10" s="384"/>
    </row>
    <row r="11" spans="1:10" ht="33">
      <c r="A11" s="381">
        <v>8</v>
      </c>
      <c r="B11" s="382" t="s">
        <v>282</v>
      </c>
      <c r="C11" s="383" t="s">
        <v>5909</v>
      </c>
      <c r="D11" s="78"/>
      <c r="E11" s="78"/>
      <c r="F11" s="78"/>
      <c r="G11" s="78">
        <v>43958</v>
      </c>
      <c r="H11" s="384"/>
    </row>
    <row r="12" spans="1:10" ht="49.5">
      <c r="A12" s="381">
        <v>9</v>
      </c>
      <c r="B12" s="382" t="s">
        <v>346</v>
      </c>
      <c r="C12" s="383" t="s">
        <v>6006</v>
      </c>
      <c r="D12" s="78">
        <v>43958</v>
      </c>
      <c r="E12" s="78">
        <v>43958</v>
      </c>
      <c r="F12" s="78"/>
      <c r="G12" s="1268"/>
      <c r="H12" s="384"/>
    </row>
    <row r="13" spans="1:10" ht="33">
      <c r="A13" s="381">
        <v>10</v>
      </c>
      <c r="B13" s="382" t="s">
        <v>346</v>
      </c>
      <c r="C13" s="383" t="s">
        <v>6007</v>
      </c>
      <c r="D13" s="78"/>
      <c r="E13" s="78"/>
      <c r="F13" s="78"/>
      <c r="G13" s="78">
        <v>43959</v>
      </c>
      <c r="H13" s="384"/>
    </row>
    <row r="14" spans="1:10" ht="33">
      <c r="A14" s="381">
        <v>11</v>
      </c>
      <c r="B14" s="382" t="s">
        <v>1240</v>
      </c>
      <c r="C14" s="383" t="s">
        <v>6008</v>
      </c>
      <c r="D14" s="78">
        <v>43959</v>
      </c>
      <c r="E14" s="78">
        <v>43960</v>
      </c>
      <c r="F14" s="78"/>
      <c r="G14" s="78"/>
      <c r="H14" s="384" t="s">
        <v>3867</v>
      </c>
    </row>
    <row r="15" spans="1:10" ht="33">
      <c r="A15" s="381">
        <v>12</v>
      </c>
      <c r="B15" s="382" t="s">
        <v>210</v>
      </c>
      <c r="C15" s="383" t="s">
        <v>6009</v>
      </c>
      <c r="D15" s="78"/>
      <c r="E15" s="78"/>
      <c r="F15" s="78"/>
      <c r="G15" s="78">
        <v>43960</v>
      </c>
      <c r="H15" s="384"/>
    </row>
    <row r="16" spans="1:10" ht="33">
      <c r="A16" s="381">
        <v>13</v>
      </c>
      <c r="B16" s="382" t="s">
        <v>1240</v>
      </c>
      <c r="C16" s="383" t="s">
        <v>6008</v>
      </c>
      <c r="D16" s="78"/>
      <c r="E16" s="78"/>
      <c r="F16" s="78"/>
      <c r="G16" s="78">
        <v>43961</v>
      </c>
      <c r="H16" s="384"/>
    </row>
    <row r="17" spans="1:8" ht="33">
      <c r="A17" s="381">
        <v>14</v>
      </c>
      <c r="B17" s="382" t="s">
        <v>1864</v>
      </c>
      <c r="C17" s="383" t="s">
        <v>6010</v>
      </c>
      <c r="D17" s="78">
        <v>43961</v>
      </c>
      <c r="E17" s="78">
        <v>43961</v>
      </c>
      <c r="F17" s="78"/>
      <c r="G17" s="78"/>
      <c r="H17" s="384" t="s">
        <v>3859</v>
      </c>
    </row>
    <row r="18" spans="1:8" ht="33">
      <c r="A18" s="381">
        <v>15</v>
      </c>
      <c r="B18" s="382" t="s">
        <v>402</v>
      </c>
      <c r="C18" s="383" t="s">
        <v>6011</v>
      </c>
      <c r="D18" s="78">
        <v>43961</v>
      </c>
      <c r="E18" s="78">
        <v>43961</v>
      </c>
      <c r="F18" s="78"/>
      <c r="G18" s="78"/>
      <c r="H18" s="384"/>
    </row>
    <row r="19" spans="1:8" ht="33">
      <c r="A19" s="381">
        <v>16</v>
      </c>
      <c r="B19" s="382" t="s">
        <v>254</v>
      </c>
      <c r="C19" s="383" t="s">
        <v>6012</v>
      </c>
      <c r="D19" s="78">
        <v>43962</v>
      </c>
      <c r="E19" s="78">
        <v>43964</v>
      </c>
      <c r="F19" s="78"/>
      <c r="G19" s="78"/>
      <c r="H19" s="384"/>
    </row>
    <row r="20" spans="1:8" ht="33">
      <c r="A20" s="381">
        <v>17</v>
      </c>
      <c r="B20" s="382" t="s">
        <v>1864</v>
      </c>
      <c r="C20" s="383" t="s">
        <v>6013</v>
      </c>
      <c r="D20" s="78"/>
      <c r="E20" s="78"/>
      <c r="F20" s="78"/>
      <c r="G20" s="78">
        <v>43969</v>
      </c>
      <c r="H20" s="384"/>
    </row>
    <row r="21" spans="1:8" ht="33">
      <c r="A21" s="381">
        <v>18</v>
      </c>
      <c r="B21" s="382" t="s">
        <v>1728</v>
      </c>
      <c r="C21" s="383" t="s">
        <v>6014</v>
      </c>
      <c r="D21" s="78">
        <v>43969</v>
      </c>
      <c r="E21" s="78">
        <v>43969</v>
      </c>
      <c r="F21" s="78"/>
      <c r="G21" s="1268"/>
      <c r="H21" s="384" t="s">
        <v>3878</v>
      </c>
    </row>
    <row r="22" spans="1:8" ht="33">
      <c r="A22" s="381">
        <v>19</v>
      </c>
      <c r="B22" s="382" t="s">
        <v>266</v>
      </c>
      <c r="C22" s="383" t="s">
        <v>6015</v>
      </c>
      <c r="D22" s="78"/>
      <c r="E22" s="78"/>
      <c r="F22" s="78"/>
      <c r="G22" s="78">
        <v>43969</v>
      </c>
      <c r="H22" s="384"/>
    </row>
    <row r="23" spans="1:8" ht="33">
      <c r="A23" s="381">
        <v>20</v>
      </c>
      <c r="B23" s="382" t="s">
        <v>1728</v>
      </c>
      <c r="C23" s="383" t="s">
        <v>6014</v>
      </c>
      <c r="D23" s="78"/>
      <c r="E23" s="78"/>
      <c r="F23" s="78"/>
      <c r="G23" s="78">
        <v>43970</v>
      </c>
      <c r="H23" s="384"/>
    </row>
    <row r="24" spans="1:8" ht="33">
      <c r="A24" s="381">
        <v>21</v>
      </c>
      <c r="B24" s="382" t="s">
        <v>1765</v>
      </c>
      <c r="C24" s="383" t="s">
        <v>6016</v>
      </c>
      <c r="D24" s="78">
        <v>43970</v>
      </c>
      <c r="E24" s="78">
        <v>43970</v>
      </c>
      <c r="F24" s="78"/>
      <c r="G24" s="78"/>
      <c r="H24" s="384" t="s">
        <v>5497</v>
      </c>
    </row>
    <row r="25" spans="1:8" ht="33">
      <c r="A25" s="381">
        <v>22</v>
      </c>
      <c r="B25" s="382" t="s">
        <v>211</v>
      </c>
      <c r="C25" s="383" t="s">
        <v>6017</v>
      </c>
      <c r="D25" s="78"/>
      <c r="E25" s="78"/>
      <c r="F25" s="78"/>
      <c r="G25" s="78">
        <v>43970</v>
      </c>
      <c r="H25" s="384"/>
    </row>
    <row r="26" spans="1:8" ht="33">
      <c r="A26" s="381">
        <v>23</v>
      </c>
      <c r="B26" s="382" t="s">
        <v>1765</v>
      </c>
      <c r="C26" s="383" t="s">
        <v>6016</v>
      </c>
      <c r="D26" s="78"/>
      <c r="E26" s="78"/>
      <c r="F26" s="78"/>
      <c r="G26" s="78">
        <v>43971</v>
      </c>
      <c r="H26" s="384"/>
    </row>
    <row r="27" spans="1:8" ht="33">
      <c r="A27" s="381">
        <v>24</v>
      </c>
      <c r="B27" s="382" t="s">
        <v>1714</v>
      </c>
      <c r="C27" s="383" t="s">
        <v>6018</v>
      </c>
      <c r="D27" s="78">
        <v>43971</v>
      </c>
      <c r="E27" s="78">
        <v>43971</v>
      </c>
      <c r="F27" s="78"/>
      <c r="G27" s="78"/>
      <c r="H27" s="384" t="s">
        <v>5496</v>
      </c>
    </row>
    <row r="28" spans="1:8" ht="33">
      <c r="A28" s="381">
        <v>25</v>
      </c>
      <c r="B28" s="382" t="s">
        <v>311</v>
      </c>
      <c r="C28" s="383" t="s">
        <v>6019</v>
      </c>
      <c r="D28" s="78"/>
      <c r="E28" s="78"/>
      <c r="F28" s="78"/>
      <c r="G28" s="78">
        <v>43971</v>
      </c>
      <c r="H28" s="384"/>
    </row>
    <row r="29" spans="1:8" ht="33">
      <c r="A29" s="381">
        <v>26</v>
      </c>
      <c r="B29" s="382" t="s">
        <v>3841</v>
      </c>
      <c r="C29" s="383" t="s">
        <v>6020</v>
      </c>
      <c r="D29" s="78"/>
      <c r="E29" s="78"/>
      <c r="F29" s="78"/>
      <c r="G29" s="78">
        <v>43971</v>
      </c>
      <c r="H29" s="384"/>
    </row>
    <row r="30" spans="1:8" ht="33">
      <c r="A30" s="381">
        <v>27</v>
      </c>
      <c r="B30" s="382" t="s">
        <v>401</v>
      </c>
      <c r="C30" s="383" t="s">
        <v>6021</v>
      </c>
      <c r="D30" s="78">
        <v>43971</v>
      </c>
      <c r="E30" s="78">
        <v>43971</v>
      </c>
      <c r="F30" s="78"/>
      <c r="G30" s="78"/>
      <c r="H30" s="384"/>
    </row>
    <row r="31" spans="1:8" ht="33">
      <c r="A31" s="381">
        <v>28</v>
      </c>
      <c r="B31" s="382" t="s">
        <v>254</v>
      </c>
      <c r="C31" s="383" t="s">
        <v>6022</v>
      </c>
      <c r="D31" s="78">
        <v>43972</v>
      </c>
      <c r="E31" s="78">
        <v>43975</v>
      </c>
      <c r="F31" s="78"/>
      <c r="G31" s="78"/>
      <c r="H31" s="384"/>
    </row>
    <row r="32" spans="1:8" ht="33">
      <c r="A32" s="381">
        <v>29</v>
      </c>
      <c r="B32" s="382" t="s">
        <v>3846</v>
      </c>
      <c r="C32" s="383" t="s">
        <v>6023</v>
      </c>
      <c r="D32" s="78"/>
      <c r="E32" s="78"/>
      <c r="F32" s="78"/>
      <c r="G32" s="78">
        <v>43978</v>
      </c>
      <c r="H32" s="384"/>
    </row>
    <row r="33" spans="1:8" ht="33">
      <c r="A33" s="381">
        <v>30</v>
      </c>
      <c r="B33" s="382" t="s">
        <v>4228</v>
      </c>
      <c r="C33" s="383" t="s">
        <v>6024</v>
      </c>
      <c r="D33" s="78"/>
      <c r="E33" s="78"/>
      <c r="F33" s="78"/>
      <c r="G33" s="78">
        <v>43978</v>
      </c>
      <c r="H33" s="384"/>
    </row>
    <row r="34" spans="1:8" ht="33">
      <c r="A34" s="381">
        <v>31</v>
      </c>
      <c r="B34" s="382" t="s">
        <v>1714</v>
      </c>
      <c r="C34" s="383" t="s">
        <v>6025</v>
      </c>
      <c r="D34" s="78"/>
      <c r="E34" s="78"/>
      <c r="F34" s="78"/>
      <c r="G34" s="78">
        <v>43979</v>
      </c>
      <c r="H34" s="384"/>
    </row>
    <row r="35" spans="1:8" ht="33">
      <c r="A35" s="381">
        <v>32</v>
      </c>
      <c r="B35" s="382" t="s">
        <v>1338</v>
      </c>
      <c r="C35" s="383" t="s">
        <v>6026</v>
      </c>
      <c r="D35" s="78">
        <v>43979</v>
      </c>
      <c r="E35" s="78">
        <v>43980</v>
      </c>
      <c r="F35" s="78"/>
      <c r="G35" s="78"/>
      <c r="H35" s="384" t="s">
        <v>3871</v>
      </c>
    </row>
    <row r="36" spans="1:8" ht="49.5">
      <c r="A36" s="381">
        <v>33</v>
      </c>
      <c r="B36" s="382" t="s">
        <v>382</v>
      </c>
      <c r="C36" s="383" t="s">
        <v>6027</v>
      </c>
      <c r="D36" s="78">
        <v>43980</v>
      </c>
      <c r="E36" s="78">
        <v>43980</v>
      </c>
      <c r="F36" s="78"/>
      <c r="G36" s="78"/>
      <c r="H36" s="384"/>
    </row>
    <row r="37" spans="1:8" ht="33">
      <c r="A37" s="381">
        <v>34</v>
      </c>
      <c r="B37" s="382" t="s">
        <v>1338</v>
      </c>
      <c r="C37" s="383" t="s">
        <v>6028</v>
      </c>
      <c r="D37" s="78">
        <v>43980</v>
      </c>
      <c r="E37" s="78">
        <v>43981</v>
      </c>
      <c r="F37" s="78"/>
      <c r="G37" s="78"/>
      <c r="H37" s="384" t="s">
        <v>3871</v>
      </c>
    </row>
    <row r="38" spans="1:8" ht="49.5">
      <c r="A38" s="381">
        <v>35</v>
      </c>
      <c r="B38" s="382" t="s">
        <v>382</v>
      </c>
      <c r="C38" s="383" t="s">
        <v>6029</v>
      </c>
      <c r="D38" s="78">
        <v>43981</v>
      </c>
      <c r="E38" s="78">
        <v>43981</v>
      </c>
      <c r="F38" s="78"/>
      <c r="G38" s="78"/>
      <c r="H38" s="384"/>
    </row>
    <row r="39" spans="1:8" ht="33">
      <c r="A39" s="381">
        <v>36</v>
      </c>
      <c r="B39" s="382" t="s">
        <v>1338</v>
      </c>
      <c r="C39" s="383" t="s">
        <v>6030</v>
      </c>
      <c r="D39" s="78">
        <v>43981</v>
      </c>
      <c r="E39" s="78">
        <v>43982</v>
      </c>
      <c r="F39" s="78"/>
      <c r="G39" s="78"/>
      <c r="H39" s="384" t="s">
        <v>3871</v>
      </c>
    </row>
    <row r="40" spans="1:8" ht="49.5">
      <c r="A40" s="381">
        <v>37</v>
      </c>
      <c r="B40" s="382" t="s">
        <v>382</v>
      </c>
      <c r="C40" s="383" t="s">
        <v>6031</v>
      </c>
      <c r="D40" s="78">
        <v>43982</v>
      </c>
      <c r="E40" s="78">
        <v>43982</v>
      </c>
      <c r="F40" s="78"/>
      <c r="G40" s="78"/>
      <c r="H40" s="384"/>
    </row>
    <row r="41" spans="1:8" ht="33">
      <c r="A41" s="381">
        <v>38</v>
      </c>
      <c r="B41" s="382" t="s">
        <v>1338</v>
      </c>
      <c r="C41" s="383" t="s">
        <v>6032</v>
      </c>
      <c r="D41" s="78">
        <v>43982</v>
      </c>
      <c r="E41" s="78">
        <v>43983</v>
      </c>
      <c r="F41" s="78"/>
      <c r="G41" s="78"/>
      <c r="H41" s="384" t="s">
        <v>3871</v>
      </c>
    </row>
    <row r="42" spans="1:8" ht="49.5">
      <c r="A42" s="381">
        <v>39</v>
      </c>
      <c r="B42" s="382" t="s">
        <v>382</v>
      </c>
      <c r="C42" s="383" t="s">
        <v>6033</v>
      </c>
      <c r="D42" s="78">
        <v>43983</v>
      </c>
      <c r="E42" s="78">
        <v>43983</v>
      </c>
      <c r="F42" s="78"/>
      <c r="G42" s="78"/>
      <c r="H42" s="384"/>
    </row>
    <row r="43" spans="1:8" ht="33">
      <c r="A43" s="381">
        <v>40</v>
      </c>
      <c r="B43" s="382" t="s">
        <v>1338</v>
      </c>
      <c r="C43" s="383" t="s">
        <v>6034</v>
      </c>
      <c r="D43" s="78"/>
      <c r="E43" s="78"/>
      <c r="F43" s="78"/>
      <c r="G43" s="78">
        <v>43984</v>
      </c>
      <c r="H43" s="384"/>
    </row>
    <row r="44" spans="1:8" ht="33">
      <c r="A44" s="381">
        <v>41</v>
      </c>
      <c r="B44" s="382" t="s">
        <v>1240</v>
      </c>
      <c r="C44" s="383" t="s">
        <v>6035</v>
      </c>
      <c r="D44" s="78">
        <v>43961</v>
      </c>
      <c r="E44" s="78">
        <v>43962</v>
      </c>
      <c r="F44" s="78"/>
      <c r="G44" s="78"/>
      <c r="H44" s="384" t="s">
        <v>3867</v>
      </c>
    </row>
    <row r="45" spans="1:8" ht="33">
      <c r="A45" s="381">
        <v>42</v>
      </c>
      <c r="B45" s="382" t="s">
        <v>210</v>
      </c>
      <c r="C45" s="383" t="s">
        <v>6036</v>
      </c>
      <c r="D45" s="78"/>
      <c r="E45" s="78"/>
      <c r="F45" s="78"/>
      <c r="G45" s="78">
        <v>43962</v>
      </c>
      <c r="H45" s="384"/>
    </row>
    <row r="46" spans="1:8" ht="33">
      <c r="A46" s="381">
        <v>43</v>
      </c>
      <c r="B46" s="382" t="s">
        <v>1240</v>
      </c>
      <c r="C46" s="383" t="s">
        <v>6035</v>
      </c>
      <c r="D46" s="78"/>
      <c r="E46" s="78"/>
      <c r="F46" s="78"/>
      <c r="G46" s="78">
        <v>43963</v>
      </c>
      <c r="H46" s="384"/>
    </row>
    <row r="47" spans="1:8" ht="33">
      <c r="A47" s="381">
        <v>44</v>
      </c>
      <c r="B47" s="382" t="s">
        <v>1864</v>
      </c>
      <c r="C47" s="383" t="s">
        <v>6037</v>
      </c>
      <c r="D47" s="78">
        <v>43963</v>
      </c>
      <c r="E47" s="78">
        <v>43963</v>
      </c>
      <c r="F47" s="78"/>
      <c r="G47" s="78"/>
      <c r="H47" s="384" t="s">
        <v>3859</v>
      </c>
    </row>
    <row r="48" spans="1:8" ht="33">
      <c r="A48" s="381">
        <v>45</v>
      </c>
      <c r="B48" s="382" t="s">
        <v>402</v>
      </c>
      <c r="C48" s="383" t="s">
        <v>6038</v>
      </c>
      <c r="D48" s="78">
        <v>43963</v>
      </c>
      <c r="E48" s="78">
        <v>43963</v>
      </c>
      <c r="F48" s="78"/>
      <c r="G48" s="78"/>
      <c r="H48" s="384"/>
    </row>
    <row r="49" spans="1:8" ht="33">
      <c r="A49" s="381">
        <v>46</v>
      </c>
      <c r="B49" s="382" t="s">
        <v>254</v>
      </c>
      <c r="C49" s="383" t="s">
        <v>6039</v>
      </c>
      <c r="D49" s="78">
        <v>43964</v>
      </c>
      <c r="E49" s="78">
        <v>43966</v>
      </c>
      <c r="F49" s="78"/>
      <c r="G49" s="78"/>
      <c r="H49" s="384"/>
    </row>
    <row r="50" spans="1:8" ht="33">
      <c r="A50" s="381">
        <v>47</v>
      </c>
      <c r="B50" s="382" t="s">
        <v>1864</v>
      </c>
      <c r="C50" s="383" t="s">
        <v>6040</v>
      </c>
      <c r="D50" s="78"/>
      <c r="E50" s="78"/>
      <c r="F50" s="78"/>
      <c r="G50" s="78">
        <v>43971</v>
      </c>
      <c r="H50" s="384"/>
    </row>
    <row r="51" spans="1:8" ht="33">
      <c r="A51" s="381">
        <v>48</v>
      </c>
      <c r="B51" s="382" t="s">
        <v>1728</v>
      </c>
      <c r="C51" s="383" t="s">
        <v>6041</v>
      </c>
      <c r="D51" s="78">
        <v>43971</v>
      </c>
      <c r="E51" s="78">
        <v>43971</v>
      </c>
      <c r="F51" s="78"/>
      <c r="G51" s="78"/>
      <c r="H51" s="384" t="s">
        <v>3878</v>
      </c>
    </row>
    <row r="52" spans="1:8" ht="33">
      <c r="A52" s="381">
        <v>49</v>
      </c>
      <c r="B52" s="382" t="s">
        <v>266</v>
      </c>
      <c r="C52" s="383" t="s">
        <v>6042</v>
      </c>
      <c r="D52" s="78"/>
      <c r="E52" s="78"/>
      <c r="F52" s="78"/>
      <c r="G52" s="78">
        <v>43971</v>
      </c>
      <c r="H52" s="384"/>
    </row>
    <row r="53" spans="1:8" ht="33">
      <c r="A53" s="381">
        <v>50</v>
      </c>
      <c r="B53" s="382" t="s">
        <v>1728</v>
      </c>
      <c r="C53" s="383" t="s">
        <v>6041</v>
      </c>
      <c r="D53" s="78"/>
      <c r="E53" s="78"/>
      <c r="F53" s="78"/>
      <c r="G53" s="78">
        <v>43972</v>
      </c>
      <c r="H53" s="384"/>
    </row>
    <row r="54" spans="1:8" ht="33">
      <c r="A54" s="381">
        <v>51</v>
      </c>
      <c r="B54" s="382" t="s">
        <v>1765</v>
      </c>
      <c r="C54" s="383" t="s">
        <v>6043</v>
      </c>
      <c r="D54" s="78">
        <v>43972</v>
      </c>
      <c r="E54" s="78">
        <v>43972</v>
      </c>
      <c r="F54" s="78"/>
      <c r="G54" s="78"/>
      <c r="H54" s="384" t="s">
        <v>5497</v>
      </c>
    </row>
    <row r="55" spans="1:8" ht="33">
      <c r="A55" s="381">
        <v>52</v>
      </c>
      <c r="B55" s="382" t="s">
        <v>211</v>
      </c>
      <c r="C55" s="383" t="s">
        <v>6044</v>
      </c>
      <c r="D55" s="78"/>
      <c r="E55" s="78"/>
      <c r="F55" s="78"/>
      <c r="G55" s="78">
        <v>43972</v>
      </c>
      <c r="H55" s="384"/>
    </row>
    <row r="56" spans="1:8" ht="33">
      <c r="A56" s="381">
        <v>53</v>
      </c>
      <c r="B56" s="382" t="s">
        <v>1765</v>
      </c>
      <c r="C56" s="383" t="s">
        <v>6043</v>
      </c>
      <c r="D56" s="78"/>
      <c r="E56" s="78"/>
      <c r="F56" s="78"/>
      <c r="G56" s="78">
        <v>43973</v>
      </c>
      <c r="H56" s="384"/>
    </row>
    <row r="57" spans="1:8" ht="33">
      <c r="A57" s="381">
        <v>54</v>
      </c>
      <c r="B57" s="382" t="s">
        <v>1714</v>
      </c>
      <c r="C57" s="383" t="s">
        <v>6045</v>
      </c>
      <c r="D57" s="78">
        <v>43973</v>
      </c>
      <c r="E57" s="78">
        <v>43973</v>
      </c>
      <c r="F57" s="78"/>
      <c r="G57" s="78"/>
      <c r="H57" s="384" t="s">
        <v>5496</v>
      </c>
    </row>
    <row r="58" spans="1:8" ht="33">
      <c r="A58" s="381">
        <v>55</v>
      </c>
      <c r="B58" s="382" t="s">
        <v>311</v>
      </c>
      <c r="C58" s="383" t="s">
        <v>6046</v>
      </c>
      <c r="D58" s="78"/>
      <c r="E58" s="78"/>
      <c r="F58" s="78"/>
      <c r="G58" s="78">
        <v>43973</v>
      </c>
      <c r="H58" s="384"/>
    </row>
    <row r="59" spans="1:8" ht="33">
      <c r="A59" s="381">
        <v>56</v>
      </c>
      <c r="B59" s="382" t="s">
        <v>3841</v>
      </c>
      <c r="C59" s="383" t="s">
        <v>6047</v>
      </c>
      <c r="D59" s="78"/>
      <c r="E59" s="78"/>
      <c r="F59" s="78"/>
      <c r="G59" s="78">
        <v>43973</v>
      </c>
      <c r="H59" s="384"/>
    </row>
    <row r="60" spans="1:8" ht="33">
      <c r="A60" s="381">
        <v>57</v>
      </c>
      <c r="B60" s="382" t="s">
        <v>401</v>
      </c>
      <c r="C60" s="383" t="s">
        <v>6048</v>
      </c>
      <c r="D60" s="78">
        <v>43973</v>
      </c>
      <c r="E60" s="78">
        <v>43973</v>
      </c>
      <c r="F60" s="78"/>
      <c r="G60" s="78"/>
      <c r="H60" s="384"/>
    </row>
    <row r="61" spans="1:8" ht="33">
      <c r="A61" s="381">
        <v>58</v>
      </c>
      <c r="B61" s="382" t="s">
        <v>254</v>
      </c>
      <c r="C61" s="383" t="s">
        <v>6049</v>
      </c>
      <c r="D61" s="78">
        <v>43974</v>
      </c>
      <c r="E61" s="78">
        <v>43977</v>
      </c>
      <c r="F61" s="78"/>
      <c r="G61" s="78"/>
      <c r="H61" s="384"/>
    </row>
    <row r="62" spans="1:8" ht="33">
      <c r="A62" s="381">
        <v>59</v>
      </c>
      <c r="B62" s="382" t="s">
        <v>3846</v>
      </c>
      <c r="C62" s="383" t="s">
        <v>6050</v>
      </c>
      <c r="D62" s="78"/>
      <c r="E62" s="78"/>
      <c r="F62" s="78"/>
      <c r="G62" s="78">
        <v>43980</v>
      </c>
      <c r="H62" s="384"/>
    </row>
    <row r="63" spans="1:8" ht="33">
      <c r="A63" s="381">
        <v>60</v>
      </c>
      <c r="B63" s="382" t="s">
        <v>4228</v>
      </c>
      <c r="C63" s="383" t="s">
        <v>6051</v>
      </c>
      <c r="D63" s="78"/>
      <c r="E63" s="78"/>
      <c r="F63" s="78"/>
      <c r="G63" s="78">
        <v>43980</v>
      </c>
      <c r="H63" s="384"/>
    </row>
    <row r="64" spans="1:8" ht="33">
      <c r="A64" s="381">
        <v>61</v>
      </c>
      <c r="B64" s="382" t="s">
        <v>1714</v>
      </c>
      <c r="C64" s="383" t="s">
        <v>6052</v>
      </c>
      <c r="D64" s="78"/>
      <c r="E64" s="78"/>
      <c r="F64" s="78"/>
      <c r="G64" s="78">
        <v>43981</v>
      </c>
      <c r="H64" s="384"/>
    </row>
    <row r="65" spans="1:8" ht="33">
      <c r="A65" s="381">
        <v>62</v>
      </c>
      <c r="B65" s="382" t="s">
        <v>1338</v>
      </c>
      <c r="C65" s="383" t="s">
        <v>6053</v>
      </c>
      <c r="D65" s="78">
        <v>43981</v>
      </c>
      <c r="E65" s="78">
        <v>43982</v>
      </c>
      <c r="F65" s="78"/>
      <c r="G65" s="78"/>
      <c r="H65" s="384" t="s">
        <v>3871</v>
      </c>
    </row>
    <row r="66" spans="1:8" ht="49.5">
      <c r="A66" s="381">
        <v>63</v>
      </c>
      <c r="B66" s="382" t="s">
        <v>382</v>
      </c>
      <c r="C66" s="383" t="s">
        <v>6054</v>
      </c>
      <c r="D66" s="78">
        <v>43982</v>
      </c>
      <c r="E66" s="78">
        <v>43982</v>
      </c>
      <c r="F66" s="78"/>
      <c r="G66" s="78"/>
      <c r="H66" s="384"/>
    </row>
    <row r="67" spans="1:8" ht="33">
      <c r="A67" s="381">
        <v>64</v>
      </c>
      <c r="B67" s="382" t="s">
        <v>1338</v>
      </c>
      <c r="C67" s="383" t="s">
        <v>6055</v>
      </c>
      <c r="D67" s="78">
        <v>43982</v>
      </c>
      <c r="E67" s="78">
        <v>43983</v>
      </c>
      <c r="F67" s="78"/>
      <c r="G67" s="78"/>
      <c r="H67" s="384" t="s">
        <v>3871</v>
      </c>
    </row>
    <row r="68" spans="1:8" ht="49.5">
      <c r="A68" s="381">
        <v>65</v>
      </c>
      <c r="B68" s="382" t="s">
        <v>382</v>
      </c>
      <c r="C68" s="383" t="s">
        <v>6056</v>
      </c>
      <c r="D68" s="78">
        <v>43983</v>
      </c>
      <c r="E68" s="78">
        <v>43983</v>
      </c>
      <c r="F68" s="78"/>
      <c r="G68" s="78"/>
      <c r="H68" s="384"/>
    </row>
    <row r="69" spans="1:8" ht="33">
      <c r="A69" s="381">
        <v>66</v>
      </c>
      <c r="B69" s="382" t="s">
        <v>1338</v>
      </c>
      <c r="C69" s="383" t="s">
        <v>6057</v>
      </c>
      <c r="D69" s="78">
        <v>43983</v>
      </c>
      <c r="E69" s="78">
        <v>43984</v>
      </c>
      <c r="F69" s="78"/>
      <c r="G69" s="78"/>
      <c r="H69" s="384" t="s">
        <v>3871</v>
      </c>
    </row>
    <row r="70" spans="1:8" ht="49.5">
      <c r="A70" s="381">
        <v>67</v>
      </c>
      <c r="B70" s="382" t="s">
        <v>382</v>
      </c>
      <c r="C70" s="383" t="s">
        <v>6058</v>
      </c>
      <c r="D70" s="78">
        <v>43984</v>
      </c>
      <c r="E70" s="78">
        <v>43984</v>
      </c>
      <c r="F70" s="78"/>
      <c r="G70" s="78"/>
      <c r="H70" s="384"/>
    </row>
    <row r="71" spans="1:8" ht="33">
      <c r="A71" s="381">
        <v>68</v>
      </c>
      <c r="B71" s="382" t="s">
        <v>1338</v>
      </c>
      <c r="C71" s="383" t="s">
        <v>6059</v>
      </c>
      <c r="D71" s="78">
        <v>43984</v>
      </c>
      <c r="E71" s="78">
        <v>43985</v>
      </c>
      <c r="F71" s="78"/>
      <c r="G71" s="78"/>
      <c r="H71" s="384" t="s">
        <v>3871</v>
      </c>
    </row>
    <row r="72" spans="1:8" ht="49.5">
      <c r="A72" s="381">
        <v>69</v>
      </c>
      <c r="B72" s="382" t="s">
        <v>382</v>
      </c>
      <c r="C72" s="383" t="s">
        <v>6060</v>
      </c>
      <c r="D72" s="78">
        <v>43985</v>
      </c>
      <c r="E72" s="78">
        <v>43985</v>
      </c>
      <c r="F72" s="78"/>
      <c r="G72" s="78"/>
      <c r="H72" s="384"/>
    </row>
    <row r="73" spans="1:8" ht="33">
      <c r="A73" s="381">
        <v>70</v>
      </c>
      <c r="B73" s="382" t="s">
        <v>1338</v>
      </c>
      <c r="C73" s="383" t="s">
        <v>6061</v>
      </c>
      <c r="D73" s="78"/>
      <c r="E73" s="78"/>
      <c r="F73" s="78"/>
      <c r="G73" s="78">
        <v>43986</v>
      </c>
      <c r="H73" s="384"/>
    </row>
    <row r="74" spans="1:8" ht="33">
      <c r="A74" s="381">
        <v>71</v>
      </c>
      <c r="B74" s="382" t="s">
        <v>1240</v>
      </c>
      <c r="C74" s="383" t="s">
        <v>6062</v>
      </c>
      <c r="D74" s="78">
        <v>43963</v>
      </c>
      <c r="E74" s="78">
        <v>43964</v>
      </c>
      <c r="F74" s="78"/>
      <c r="G74" s="78"/>
      <c r="H74" s="384" t="s">
        <v>3867</v>
      </c>
    </row>
    <row r="75" spans="1:8" ht="33">
      <c r="A75" s="381">
        <v>72</v>
      </c>
      <c r="B75" s="382" t="s">
        <v>210</v>
      </c>
      <c r="C75" s="383" t="s">
        <v>6063</v>
      </c>
      <c r="D75" s="78"/>
      <c r="E75" s="78"/>
      <c r="F75" s="78"/>
      <c r="G75" s="78">
        <v>43964</v>
      </c>
      <c r="H75" s="384"/>
    </row>
    <row r="76" spans="1:8" ht="33">
      <c r="A76" s="381">
        <v>73</v>
      </c>
      <c r="B76" s="382" t="s">
        <v>1240</v>
      </c>
      <c r="C76" s="383" t="s">
        <v>6062</v>
      </c>
      <c r="D76" s="78"/>
      <c r="E76" s="78"/>
      <c r="F76" s="78"/>
      <c r="G76" s="78">
        <v>43965</v>
      </c>
      <c r="H76" s="384"/>
    </row>
    <row r="77" spans="1:8" ht="33">
      <c r="A77" s="381">
        <v>74</v>
      </c>
      <c r="B77" s="382" t="s">
        <v>1864</v>
      </c>
      <c r="C77" s="383" t="s">
        <v>6064</v>
      </c>
      <c r="D77" s="78">
        <v>43965</v>
      </c>
      <c r="E77" s="78">
        <v>43965</v>
      </c>
      <c r="F77" s="78"/>
      <c r="G77" s="78"/>
      <c r="H77" s="384" t="s">
        <v>3859</v>
      </c>
    </row>
    <row r="78" spans="1:8" ht="33">
      <c r="A78" s="381">
        <v>75</v>
      </c>
      <c r="B78" s="382" t="s">
        <v>402</v>
      </c>
      <c r="C78" s="383" t="s">
        <v>6065</v>
      </c>
      <c r="D78" s="78">
        <v>43965</v>
      </c>
      <c r="E78" s="78">
        <v>43965</v>
      </c>
      <c r="F78" s="78"/>
      <c r="G78" s="1268"/>
      <c r="H78" s="384"/>
    </row>
    <row r="79" spans="1:8" ht="33">
      <c r="A79" s="381">
        <v>76</v>
      </c>
      <c r="B79" s="382" t="s">
        <v>254</v>
      </c>
      <c r="C79" s="383" t="s">
        <v>6066</v>
      </c>
      <c r="D79" s="78">
        <v>43966</v>
      </c>
      <c r="E79" s="78">
        <v>43968</v>
      </c>
      <c r="F79" s="78"/>
      <c r="G79" s="78"/>
      <c r="H79" s="384"/>
    </row>
    <row r="80" spans="1:8" ht="33">
      <c r="A80" s="381">
        <v>77</v>
      </c>
      <c r="B80" s="382" t="s">
        <v>1864</v>
      </c>
      <c r="C80" s="383" t="s">
        <v>6067</v>
      </c>
      <c r="D80" s="78"/>
      <c r="E80" s="78"/>
      <c r="F80" s="78"/>
      <c r="G80" s="78">
        <v>43973</v>
      </c>
      <c r="H80" s="384"/>
    </row>
    <row r="81" spans="1:8" ht="33">
      <c r="A81" s="381">
        <v>78</v>
      </c>
      <c r="B81" s="382" t="s">
        <v>1728</v>
      </c>
      <c r="C81" s="383" t="s">
        <v>6068</v>
      </c>
      <c r="D81" s="78">
        <v>43973</v>
      </c>
      <c r="E81" s="78">
        <v>43973</v>
      </c>
      <c r="F81" s="78"/>
      <c r="G81" s="78"/>
      <c r="H81" s="384" t="s">
        <v>3878</v>
      </c>
    </row>
    <row r="82" spans="1:8" ht="33">
      <c r="A82" s="381">
        <v>79</v>
      </c>
      <c r="B82" s="382" t="s">
        <v>266</v>
      </c>
      <c r="C82" s="383" t="s">
        <v>6069</v>
      </c>
      <c r="D82" s="78"/>
      <c r="E82" s="78"/>
      <c r="F82" s="78"/>
      <c r="G82" s="78">
        <v>43973</v>
      </c>
      <c r="H82" s="384"/>
    </row>
    <row r="83" spans="1:8" ht="33">
      <c r="A83" s="381">
        <v>80</v>
      </c>
      <c r="B83" s="382" t="s">
        <v>1728</v>
      </c>
      <c r="C83" s="383" t="s">
        <v>6068</v>
      </c>
      <c r="D83" s="78"/>
      <c r="E83" s="78"/>
      <c r="F83" s="78"/>
      <c r="G83" s="78">
        <v>43974</v>
      </c>
      <c r="H83" s="384"/>
    </row>
    <row r="84" spans="1:8" ht="33">
      <c r="A84" s="381">
        <v>81</v>
      </c>
      <c r="B84" s="382" t="s">
        <v>1765</v>
      </c>
      <c r="C84" s="383" t="s">
        <v>6070</v>
      </c>
      <c r="D84" s="78">
        <v>43974</v>
      </c>
      <c r="E84" s="78">
        <v>43974</v>
      </c>
      <c r="F84" s="78"/>
      <c r="G84" s="78"/>
      <c r="H84" s="384" t="s">
        <v>5497</v>
      </c>
    </row>
    <row r="85" spans="1:8" ht="33">
      <c r="A85" s="381">
        <v>82</v>
      </c>
      <c r="B85" s="382" t="s">
        <v>211</v>
      </c>
      <c r="C85" s="383" t="s">
        <v>6071</v>
      </c>
      <c r="D85" s="78"/>
      <c r="E85" s="78"/>
      <c r="F85" s="78"/>
      <c r="G85" s="78">
        <v>43974</v>
      </c>
      <c r="H85" s="384"/>
    </row>
    <row r="86" spans="1:8" ht="33">
      <c r="A86" s="381">
        <v>83</v>
      </c>
      <c r="B86" s="382" t="s">
        <v>1765</v>
      </c>
      <c r="C86" s="383" t="s">
        <v>6070</v>
      </c>
      <c r="D86" s="78"/>
      <c r="E86" s="78"/>
      <c r="F86" s="78"/>
      <c r="G86" s="78">
        <v>43975</v>
      </c>
      <c r="H86" s="384"/>
    </row>
    <row r="87" spans="1:8" ht="33">
      <c r="A87" s="381">
        <v>84</v>
      </c>
      <c r="B87" s="382" t="s">
        <v>1714</v>
      </c>
      <c r="C87" s="383" t="s">
        <v>6072</v>
      </c>
      <c r="D87" s="78">
        <v>43975</v>
      </c>
      <c r="E87" s="78">
        <v>43975</v>
      </c>
      <c r="F87" s="78"/>
      <c r="G87" s="78"/>
      <c r="H87" s="384" t="s">
        <v>5496</v>
      </c>
    </row>
    <row r="88" spans="1:8" ht="33">
      <c r="A88" s="381">
        <v>85</v>
      </c>
      <c r="B88" s="382" t="s">
        <v>311</v>
      </c>
      <c r="C88" s="383" t="s">
        <v>6073</v>
      </c>
      <c r="D88" s="78"/>
      <c r="E88" s="78"/>
      <c r="F88" s="78"/>
      <c r="G88" s="78">
        <v>43975</v>
      </c>
      <c r="H88" s="384"/>
    </row>
    <row r="89" spans="1:8" ht="33">
      <c r="A89" s="381">
        <v>86</v>
      </c>
      <c r="B89" s="382" t="s">
        <v>3841</v>
      </c>
      <c r="C89" s="383" t="s">
        <v>6074</v>
      </c>
      <c r="D89" s="78"/>
      <c r="E89" s="78"/>
      <c r="F89" s="78"/>
      <c r="G89" s="78">
        <v>43975</v>
      </c>
      <c r="H89" s="384"/>
    </row>
    <row r="90" spans="1:8" ht="33">
      <c r="A90" s="381">
        <v>87</v>
      </c>
      <c r="B90" s="382" t="s">
        <v>401</v>
      </c>
      <c r="C90" s="383" t="s">
        <v>6075</v>
      </c>
      <c r="D90" s="78">
        <v>43975</v>
      </c>
      <c r="E90" s="78">
        <v>43975</v>
      </c>
      <c r="F90" s="78"/>
      <c r="G90" s="78"/>
      <c r="H90" s="384"/>
    </row>
    <row r="91" spans="1:8" ht="33">
      <c r="A91" s="381">
        <v>88</v>
      </c>
      <c r="B91" s="382" t="s">
        <v>254</v>
      </c>
      <c r="C91" s="383" t="s">
        <v>6076</v>
      </c>
      <c r="D91" s="78">
        <v>43976</v>
      </c>
      <c r="E91" s="78">
        <v>43979</v>
      </c>
      <c r="F91" s="78"/>
      <c r="G91" s="78"/>
      <c r="H91" s="384"/>
    </row>
    <row r="92" spans="1:8" ht="33">
      <c r="A92" s="381">
        <v>89</v>
      </c>
      <c r="B92" s="382" t="s">
        <v>3846</v>
      </c>
      <c r="C92" s="383" t="s">
        <v>6077</v>
      </c>
      <c r="D92" s="78"/>
      <c r="E92" s="78"/>
      <c r="F92" s="78"/>
      <c r="G92" s="78">
        <v>43982</v>
      </c>
      <c r="H92" s="384"/>
    </row>
    <row r="93" spans="1:8" ht="33">
      <c r="A93" s="381">
        <v>90</v>
      </c>
      <c r="B93" s="382" t="s">
        <v>4228</v>
      </c>
      <c r="C93" s="383" t="s">
        <v>6078</v>
      </c>
      <c r="D93" s="78"/>
      <c r="E93" s="78"/>
      <c r="F93" s="78"/>
      <c r="G93" s="78">
        <v>43982</v>
      </c>
      <c r="H93" s="384"/>
    </row>
    <row r="94" spans="1:8" ht="33">
      <c r="A94" s="381">
        <v>91</v>
      </c>
      <c r="B94" s="382" t="s">
        <v>1714</v>
      </c>
      <c r="C94" s="383" t="s">
        <v>6079</v>
      </c>
      <c r="D94" s="78"/>
      <c r="E94" s="78"/>
      <c r="F94" s="78"/>
      <c r="G94" s="78">
        <v>43983</v>
      </c>
      <c r="H94" s="384"/>
    </row>
    <row r="95" spans="1:8" ht="33">
      <c r="A95" s="381">
        <v>92</v>
      </c>
      <c r="B95" s="382" t="s">
        <v>1338</v>
      </c>
      <c r="C95" s="383" t="s">
        <v>6080</v>
      </c>
      <c r="D95" s="78">
        <v>43983</v>
      </c>
      <c r="E95" s="78">
        <v>43984</v>
      </c>
      <c r="F95" s="78"/>
      <c r="G95" s="1268"/>
      <c r="H95" s="384" t="s">
        <v>3871</v>
      </c>
    </row>
    <row r="96" spans="1:8" ht="49.5">
      <c r="A96" s="381">
        <v>93</v>
      </c>
      <c r="B96" s="382" t="s">
        <v>382</v>
      </c>
      <c r="C96" s="383" t="s">
        <v>6081</v>
      </c>
      <c r="D96" s="78">
        <v>43984</v>
      </c>
      <c r="E96" s="78">
        <v>43984</v>
      </c>
      <c r="F96" s="78"/>
      <c r="G96" s="78"/>
      <c r="H96" s="384"/>
    </row>
    <row r="97" spans="1:8" ht="33">
      <c r="A97" s="381">
        <v>94</v>
      </c>
      <c r="B97" s="382" t="s">
        <v>1338</v>
      </c>
      <c r="C97" s="383" t="s">
        <v>6082</v>
      </c>
      <c r="D97" s="78">
        <v>43984</v>
      </c>
      <c r="E97" s="78">
        <v>43985</v>
      </c>
      <c r="F97" s="78"/>
      <c r="G97" s="78"/>
      <c r="H97" s="384" t="s">
        <v>3871</v>
      </c>
    </row>
    <row r="98" spans="1:8" ht="49.5">
      <c r="A98" s="381">
        <v>95</v>
      </c>
      <c r="B98" s="382" t="s">
        <v>382</v>
      </c>
      <c r="C98" s="383" t="s">
        <v>6083</v>
      </c>
      <c r="D98" s="78">
        <v>43985</v>
      </c>
      <c r="E98" s="78">
        <v>43985</v>
      </c>
      <c r="F98" s="78"/>
      <c r="G98" s="78"/>
      <c r="H98" s="384"/>
    </row>
    <row r="99" spans="1:8" ht="33">
      <c r="A99" s="381">
        <v>96</v>
      </c>
      <c r="B99" s="382" t="s">
        <v>1338</v>
      </c>
      <c r="C99" s="383" t="s">
        <v>6084</v>
      </c>
      <c r="D99" s="78">
        <v>43985</v>
      </c>
      <c r="E99" s="78">
        <v>43986</v>
      </c>
      <c r="F99" s="78"/>
      <c r="G99" s="78"/>
      <c r="H99" s="384" t="s">
        <v>3871</v>
      </c>
    </row>
    <row r="100" spans="1:8" ht="49.5">
      <c r="A100" s="381">
        <v>97</v>
      </c>
      <c r="B100" s="382" t="s">
        <v>382</v>
      </c>
      <c r="C100" s="383" t="s">
        <v>6085</v>
      </c>
      <c r="D100" s="78">
        <v>43986</v>
      </c>
      <c r="E100" s="78">
        <v>43986</v>
      </c>
      <c r="F100" s="78"/>
      <c r="G100" s="78"/>
      <c r="H100" s="384"/>
    </row>
    <row r="101" spans="1:8" ht="33">
      <c r="A101" s="381">
        <v>98</v>
      </c>
      <c r="B101" s="382" t="s">
        <v>1338</v>
      </c>
      <c r="C101" s="383" t="s">
        <v>6086</v>
      </c>
      <c r="D101" s="78">
        <v>43986</v>
      </c>
      <c r="E101" s="78">
        <v>43987</v>
      </c>
      <c r="F101" s="78"/>
      <c r="G101" s="78"/>
      <c r="H101" s="384" t="s">
        <v>3871</v>
      </c>
    </row>
    <row r="102" spans="1:8" ht="49.5">
      <c r="A102" s="381">
        <v>99</v>
      </c>
      <c r="B102" s="382" t="s">
        <v>382</v>
      </c>
      <c r="C102" s="383" t="s">
        <v>6087</v>
      </c>
      <c r="D102" s="78">
        <v>43987</v>
      </c>
      <c r="E102" s="78">
        <v>43987</v>
      </c>
      <c r="F102" s="78"/>
      <c r="G102" s="78"/>
      <c r="H102" s="384"/>
    </row>
    <row r="103" spans="1:8" ht="33">
      <c r="A103" s="381">
        <v>100</v>
      </c>
      <c r="B103" s="382" t="s">
        <v>1338</v>
      </c>
      <c r="C103" s="383" t="s">
        <v>6088</v>
      </c>
      <c r="D103" s="78"/>
      <c r="E103" s="78"/>
      <c r="F103" s="78"/>
      <c r="G103" s="78">
        <v>43988</v>
      </c>
      <c r="H103" s="384"/>
    </row>
    <row r="104" spans="1:8" ht="33">
      <c r="A104" s="1269">
        <v>101</v>
      </c>
      <c r="B104" s="1270" t="s">
        <v>407</v>
      </c>
      <c r="C104" s="1271" t="s">
        <v>6089</v>
      </c>
      <c r="D104" s="1272"/>
      <c r="E104" s="1272"/>
      <c r="F104" s="1272"/>
      <c r="G104" s="1272">
        <v>43989</v>
      </c>
      <c r="H104" s="1273"/>
    </row>
    <row r="105" spans="1:8">
      <c r="A105" s="1115"/>
      <c r="B105" s="1116"/>
      <c r="C105" s="1117"/>
      <c r="D105" s="1118"/>
      <c r="E105" s="1118"/>
      <c r="F105" s="1118"/>
      <c r="G105" s="1118"/>
      <c r="H105" s="1119"/>
    </row>
    <row r="106" spans="1:8">
      <c r="A106" s="1115"/>
      <c r="B106" s="1116"/>
      <c r="C106" s="1117"/>
      <c r="D106" s="1118"/>
      <c r="E106" s="1118"/>
      <c r="F106" s="1118"/>
      <c r="G106" s="1118"/>
      <c r="H106" s="1119"/>
    </row>
    <row r="107" spans="1:8">
      <c r="A107" s="1115"/>
      <c r="B107" s="1116"/>
      <c r="C107" s="1117"/>
      <c r="D107" s="1118"/>
      <c r="E107" s="1118"/>
      <c r="F107" s="1118"/>
      <c r="G107" s="1118"/>
      <c r="H107" s="1119"/>
    </row>
    <row r="108" spans="1:8">
      <c r="A108" s="1115"/>
      <c r="B108" s="1116"/>
      <c r="C108" s="1117"/>
      <c r="D108" s="1118"/>
      <c r="E108" s="1118"/>
      <c r="F108" s="1118"/>
      <c r="G108" s="1118"/>
      <c r="H108" s="1119"/>
    </row>
    <row r="109" spans="1:8">
      <c r="A109" s="1115"/>
      <c r="B109" s="1116"/>
      <c r="C109" s="1117"/>
      <c r="D109" s="1118"/>
      <c r="E109" s="1118"/>
      <c r="F109" s="1118"/>
      <c r="G109" s="1118"/>
      <c r="H109" s="1119"/>
    </row>
    <row r="110" spans="1:8">
      <c r="A110" s="1115"/>
      <c r="B110" s="1116"/>
      <c r="C110" s="1117"/>
      <c r="D110" s="1118"/>
      <c r="E110" s="1118"/>
      <c r="F110" s="1118"/>
      <c r="G110" s="1118"/>
      <c r="H110" s="1119"/>
    </row>
    <row r="111" spans="1:8">
      <c r="A111" s="1115"/>
      <c r="B111" s="1116"/>
      <c r="C111" s="1117"/>
      <c r="D111" s="1118"/>
      <c r="E111" s="1118"/>
      <c r="F111" s="1118"/>
      <c r="G111" s="1118"/>
      <c r="H111" s="1119"/>
    </row>
    <row r="112" spans="1:8">
      <c r="A112" s="1115"/>
      <c r="B112" s="1116"/>
      <c r="C112" s="1117"/>
      <c r="D112" s="1118"/>
      <c r="E112" s="1118"/>
      <c r="F112" s="1118"/>
      <c r="G112" s="1118"/>
      <c r="H112" s="1119"/>
    </row>
    <row r="113" spans="1:8">
      <c r="A113" s="1115"/>
      <c r="B113" s="1116"/>
      <c r="C113" s="1117"/>
      <c r="D113" s="1118"/>
      <c r="E113" s="1118"/>
      <c r="F113" s="1118"/>
      <c r="G113" s="1118"/>
      <c r="H113" s="1119"/>
    </row>
    <row r="114" spans="1:8">
      <c r="A114" s="1115"/>
      <c r="B114" s="1116"/>
      <c r="C114" s="1117"/>
      <c r="D114" s="1118"/>
      <c r="E114" s="1118"/>
      <c r="F114" s="1118"/>
      <c r="G114" s="1118"/>
      <c r="H114" s="1119"/>
    </row>
    <row r="115" spans="1:8">
      <c r="A115" s="1115"/>
      <c r="B115" s="1116"/>
      <c r="C115" s="1117"/>
      <c r="D115" s="1118"/>
      <c r="E115" s="1118"/>
      <c r="F115" s="1118"/>
      <c r="G115" s="1118"/>
      <c r="H115" s="1119"/>
    </row>
    <row r="116" spans="1:8">
      <c r="A116" s="1115"/>
      <c r="B116" s="1116"/>
      <c r="C116" s="1117"/>
      <c r="D116" s="1118"/>
      <c r="E116" s="1118"/>
      <c r="F116" s="1118"/>
      <c r="G116" s="1118"/>
      <c r="H116" s="1119"/>
    </row>
    <row r="117" spans="1:8">
      <c r="A117" s="1115"/>
      <c r="B117" s="1116"/>
      <c r="C117" s="1117"/>
      <c r="D117" s="1118"/>
      <c r="E117" s="1118"/>
      <c r="F117" s="1118"/>
      <c r="G117" s="1118"/>
      <c r="H117" s="1119"/>
    </row>
    <row r="118" spans="1:8">
      <c r="A118" s="1115"/>
      <c r="B118" s="1116"/>
      <c r="C118" s="1117"/>
      <c r="D118" s="1118"/>
      <c r="E118" s="1118"/>
      <c r="F118" s="1118"/>
      <c r="G118" s="1118"/>
      <c r="H118" s="1119"/>
    </row>
    <row r="119" spans="1:8">
      <c r="A119" s="1115"/>
      <c r="B119" s="1116"/>
      <c r="C119" s="1117"/>
      <c r="D119" s="1118"/>
      <c r="E119" s="1118"/>
      <c r="F119" s="1118"/>
      <c r="G119" s="1118"/>
      <c r="H119" s="1119"/>
    </row>
    <row r="120" spans="1:8">
      <c r="A120" s="1115"/>
      <c r="B120" s="1116"/>
      <c r="C120" s="1117"/>
      <c r="D120" s="1118"/>
      <c r="E120" s="1118"/>
      <c r="F120" s="1118"/>
      <c r="G120" s="1118"/>
      <c r="H120" s="1119"/>
    </row>
    <row r="121" spans="1:8">
      <c r="A121" s="1115"/>
      <c r="B121" s="1116"/>
      <c r="C121" s="1117"/>
      <c r="D121" s="1118"/>
      <c r="E121" s="1118"/>
      <c r="F121" s="1118"/>
      <c r="G121" s="1118"/>
      <c r="H121" s="1119"/>
    </row>
    <row r="122" spans="1:8">
      <c r="A122" s="1115"/>
      <c r="B122" s="1116"/>
      <c r="C122" s="1117"/>
      <c r="D122" s="1118"/>
      <c r="E122" s="1118"/>
      <c r="F122" s="1118"/>
      <c r="G122" s="1118"/>
      <c r="H122" s="1119"/>
    </row>
    <row r="123" spans="1:8">
      <c r="A123" s="1115"/>
      <c r="B123" s="1116"/>
      <c r="C123" s="1117"/>
      <c r="D123" s="1118"/>
      <c r="E123" s="1118"/>
      <c r="F123" s="1118"/>
      <c r="G123" s="1118"/>
      <c r="H123" s="1119"/>
    </row>
    <row r="124" spans="1:8">
      <c r="A124" s="1115"/>
      <c r="B124" s="1116"/>
      <c r="C124" s="1117"/>
      <c r="D124" s="1118"/>
      <c r="E124" s="1118"/>
      <c r="F124" s="1118"/>
      <c r="G124" s="1118"/>
      <c r="H124" s="1119"/>
    </row>
    <row r="125" spans="1:8">
      <c r="A125" s="1115"/>
      <c r="B125" s="1116"/>
      <c r="C125" s="1117"/>
      <c r="D125" s="1118"/>
      <c r="E125" s="1118"/>
      <c r="F125" s="1118"/>
      <c r="G125" s="1118"/>
      <c r="H125" s="1119"/>
    </row>
    <row r="126" spans="1:8">
      <c r="A126" s="1115"/>
      <c r="B126" s="1116"/>
      <c r="C126" s="1117"/>
      <c r="D126" s="1118"/>
      <c r="E126" s="1118"/>
      <c r="F126" s="1118"/>
      <c r="G126" s="1118"/>
      <c r="H126" s="1119"/>
    </row>
    <row r="127" spans="1:8">
      <c r="A127" s="1115"/>
      <c r="B127" s="1116"/>
      <c r="C127" s="1117"/>
      <c r="D127" s="1118"/>
      <c r="E127" s="1118"/>
      <c r="F127" s="1118"/>
      <c r="G127" s="1118"/>
      <c r="H127" s="1119"/>
    </row>
    <row r="128" spans="1:8">
      <c r="A128" s="1115"/>
      <c r="B128" s="1116"/>
      <c r="C128" s="1117"/>
      <c r="D128" s="1118"/>
      <c r="E128" s="1118"/>
      <c r="F128" s="1118"/>
      <c r="G128" s="1118"/>
      <c r="H128" s="1119"/>
    </row>
    <row r="129" spans="1:8">
      <c r="A129" s="1115"/>
      <c r="B129" s="1116"/>
      <c r="C129" s="1117"/>
      <c r="D129" s="1118"/>
      <c r="E129" s="1118"/>
      <c r="F129" s="1118"/>
      <c r="G129" s="1118"/>
      <c r="H129" s="1119"/>
    </row>
    <row r="130" spans="1:8">
      <c r="A130" s="1115"/>
      <c r="B130" s="1116"/>
      <c r="C130" s="1117"/>
      <c r="D130" s="1118"/>
      <c r="E130" s="1118"/>
      <c r="F130" s="1118"/>
      <c r="G130" s="1118"/>
      <c r="H130" s="1119"/>
    </row>
    <row r="131" spans="1:8">
      <c r="A131" s="1115"/>
      <c r="B131" s="1116"/>
      <c r="C131" s="1117"/>
      <c r="D131" s="1118"/>
      <c r="E131" s="1118"/>
      <c r="F131" s="1118"/>
      <c r="G131" s="1118"/>
      <c r="H131" s="1119"/>
    </row>
    <row r="132" spans="1:8">
      <c r="A132" s="1115"/>
      <c r="B132" s="1116"/>
      <c r="C132" s="1117"/>
      <c r="D132" s="1118"/>
      <c r="E132" s="1118"/>
      <c r="F132" s="1118"/>
      <c r="G132" s="1118"/>
      <c r="H132" s="1119"/>
    </row>
    <row r="133" spans="1:8">
      <c r="A133" s="1115"/>
      <c r="B133" s="1116"/>
      <c r="C133" s="1117"/>
      <c r="D133" s="1118"/>
      <c r="E133" s="1118"/>
      <c r="F133" s="1118"/>
      <c r="G133" s="1118"/>
      <c r="H133" s="1119"/>
    </row>
    <row r="134" spans="1:8">
      <c r="A134" s="1115"/>
      <c r="B134" s="1116"/>
      <c r="C134" s="1117"/>
      <c r="D134" s="1118"/>
      <c r="E134" s="1118"/>
      <c r="F134" s="1118"/>
      <c r="G134" s="1118"/>
      <c r="H134" s="1119"/>
    </row>
    <row r="135" spans="1:8">
      <c r="A135" s="1115"/>
      <c r="B135" s="1116"/>
      <c r="C135" s="1117"/>
      <c r="D135" s="1118"/>
      <c r="E135" s="1118"/>
      <c r="F135" s="1118"/>
      <c r="G135" s="1118"/>
      <c r="H135" s="1119"/>
    </row>
    <row r="136" spans="1:8">
      <c r="A136" s="1115"/>
      <c r="B136" s="1116"/>
      <c r="C136" s="1117"/>
      <c r="D136" s="1118"/>
      <c r="E136" s="1118"/>
      <c r="F136" s="1118"/>
      <c r="G136" s="1118"/>
      <c r="H136" s="1119"/>
    </row>
    <row r="137" spans="1:8">
      <c r="A137" s="1115"/>
      <c r="B137" s="1116"/>
      <c r="C137" s="1117"/>
      <c r="D137" s="1118"/>
      <c r="E137" s="1118"/>
      <c r="F137" s="1118"/>
      <c r="G137" s="1118"/>
      <c r="H137" s="1119"/>
    </row>
    <row r="138" spans="1:8">
      <c r="A138" s="1115"/>
      <c r="B138" s="1116"/>
      <c r="C138" s="1117"/>
      <c r="D138" s="1118"/>
      <c r="E138" s="1118"/>
      <c r="F138" s="1118"/>
      <c r="G138" s="1118"/>
      <c r="H138" s="1119"/>
    </row>
    <row r="139" spans="1:8">
      <c r="A139" s="1115"/>
      <c r="B139" s="1116"/>
      <c r="C139" s="1117"/>
      <c r="D139" s="1118"/>
      <c r="E139" s="1118"/>
      <c r="F139" s="1118"/>
      <c r="G139" s="1118"/>
      <c r="H139" s="1119"/>
    </row>
    <row r="140" spans="1:8">
      <c r="A140" s="1115"/>
      <c r="B140" s="1116"/>
      <c r="C140" s="1117"/>
      <c r="D140" s="1118"/>
      <c r="E140" s="1118"/>
      <c r="F140" s="1118"/>
      <c r="G140" s="1118"/>
      <c r="H140" s="1119"/>
    </row>
    <row r="141" spans="1:8">
      <c r="A141" s="1115"/>
      <c r="B141" s="1116"/>
      <c r="C141" s="1117"/>
      <c r="D141" s="1118"/>
      <c r="E141" s="1118"/>
      <c r="F141" s="1118"/>
      <c r="G141" s="1118"/>
      <c r="H141" s="1119"/>
    </row>
    <row r="142" spans="1:8">
      <c r="A142" s="1115"/>
      <c r="B142" s="1116"/>
      <c r="C142" s="1117"/>
      <c r="D142" s="1118"/>
      <c r="E142" s="1118"/>
      <c r="F142" s="1118"/>
      <c r="G142" s="1118"/>
      <c r="H142" s="1119"/>
    </row>
    <row r="143" spans="1:8">
      <c r="A143" s="1115"/>
      <c r="B143" s="1116"/>
      <c r="C143" s="1117"/>
      <c r="D143" s="1118"/>
      <c r="E143" s="1118"/>
      <c r="F143" s="1118"/>
      <c r="G143" s="1118"/>
      <c r="H143" s="1119"/>
    </row>
    <row r="144" spans="1:8">
      <c r="A144" s="1115"/>
      <c r="B144" s="1116"/>
      <c r="C144" s="1117"/>
      <c r="D144" s="1118"/>
      <c r="E144" s="1118"/>
      <c r="F144" s="1118"/>
      <c r="G144" s="1118"/>
      <c r="H144" s="1119"/>
    </row>
    <row r="145" spans="1:8">
      <c r="A145" s="1115"/>
      <c r="B145" s="1116"/>
      <c r="C145" s="1117"/>
      <c r="D145" s="1118"/>
      <c r="E145" s="1118"/>
      <c r="F145" s="1118"/>
      <c r="G145" s="1118"/>
      <c r="H145" s="1119"/>
    </row>
    <row r="146" spans="1:8">
      <c r="A146" s="1115"/>
      <c r="B146" s="1116"/>
      <c r="C146" s="1117"/>
      <c r="D146" s="1118"/>
      <c r="E146" s="1118"/>
      <c r="F146" s="1118"/>
      <c r="G146" s="1118"/>
      <c r="H146" s="1119"/>
    </row>
    <row r="147" spans="1:8">
      <c r="A147" s="1115"/>
      <c r="B147" s="1116"/>
      <c r="C147" s="1117"/>
      <c r="D147" s="1118"/>
      <c r="E147" s="1118"/>
      <c r="F147" s="1118"/>
      <c r="G147" s="1118"/>
      <c r="H147" s="1119"/>
    </row>
    <row r="148" spans="1:8">
      <c r="A148" s="1115"/>
      <c r="B148" s="1116"/>
      <c r="C148" s="1117"/>
      <c r="D148" s="1118"/>
      <c r="E148" s="1118"/>
      <c r="F148" s="1118"/>
      <c r="G148" s="1118"/>
      <c r="H148" s="1119"/>
    </row>
    <row r="149" spans="1:8">
      <c r="A149" s="1115"/>
      <c r="B149" s="1116"/>
      <c r="C149" s="1117"/>
      <c r="D149" s="1118"/>
      <c r="E149" s="1118"/>
      <c r="F149" s="1118"/>
      <c r="G149" s="1118"/>
      <c r="H149" s="1119"/>
    </row>
    <row r="150" spans="1:8">
      <c r="A150" s="1115"/>
      <c r="B150" s="1116"/>
      <c r="C150" s="1117"/>
      <c r="D150" s="1118"/>
      <c r="E150" s="1118"/>
      <c r="F150" s="1118"/>
      <c r="G150" s="1118"/>
      <c r="H150" s="1119"/>
    </row>
    <row r="151" spans="1:8">
      <c r="A151" s="1115"/>
      <c r="B151" s="1116"/>
      <c r="C151" s="1117"/>
      <c r="D151" s="1118"/>
      <c r="E151" s="1118"/>
      <c r="F151" s="1118"/>
      <c r="G151" s="1118"/>
      <c r="H151" s="1119"/>
    </row>
    <row r="152" spans="1:8">
      <c r="A152" s="1115"/>
      <c r="B152" s="1116"/>
      <c r="C152" s="1117"/>
      <c r="D152" s="1118"/>
      <c r="E152" s="1118"/>
      <c r="F152" s="1118"/>
      <c r="G152" s="1118"/>
      <c r="H152" s="1119"/>
    </row>
    <row r="153" spans="1:8">
      <c r="A153" s="1115"/>
      <c r="B153" s="1116"/>
      <c r="C153" s="1117"/>
      <c r="D153" s="1118"/>
      <c r="E153" s="1118"/>
      <c r="F153" s="1118"/>
      <c r="G153" s="1118"/>
      <c r="H153" s="1119"/>
    </row>
    <row r="154" spans="1:8">
      <c r="A154" s="1115"/>
      <c r="B154" s="1116"/>
      <c r="C154" s="1117"/>
      <c r="D154" s="1118"/>
      <c r="E154" s="1118"/>
      <c r="F154" s="1118"/>
      <c r="G154" s="1118"/>
      <c r="H154" s="1119"/>
    </row>
    <row r="155" spans="1:8">
      <c r="A155" s="1115"/>
      <c r="B155" s="1116"/>
      <c r="C155" s="1117"/>
      <c r="D155" s="1118"/>
      <c r="E155" s="1118"/>
      <c r="F155" s="1118"/>
      <c r="G155" s="1118"/>
      <c r="H155" s="1119"/>
    </row>
    <row r="156" spans="1:8">
      <c r="A156" s="1115"/>
      <c r="B156" s="1116"/>
      <c r="C156" s="1117"/>
      <c r="D156" s="1118"/>
      <c r="E156" s="1118"/>
      <c r="F156" s="1118"/>
      <c r="G156" s="1118"/>
      <c r="H156" s="1119"/>
    </row>
    <row r="157" spans="1:8">
      <c r="A157" s="1115"/>
      <c r="B157" s="1116"/>
      <c r="C157" s="1117"/>
      <c r="D157" s="1118"/>
      <c r="E157" s="1118"/>
      <c r="F157" s="1118"/>
      <c r="G157" s="1118"/>
      <c r="H157" s="1119"/>
    </row>
    <row r="158" spans="1:8">
      <c r="A158" s="1115"/>
      <c r="B158" s="1116"/>
      <c r="C158" s="1117"/>
      <c r="D158" s="1118"/>
      <c r="E158" s="1118"/>
      <c r="F158" s="1118"/>
      <c r="G158" s="1118"/>
      <c r="H158" s="1119"/>
    </row>
    <row r="159" spans="1:8">
      <c r="A159" s="1115"/>
      <c r="B159" s="1116"/>
      <c r="C159" s="1117"/>
      <c r="D159" s="1118"/>
      <c r="E159" s="1118"/>
      <c r="F159" s="1118"/>
      <c r="G159" s="1118"/>
      <c r="H159" s="1119"/>
    </row>
    <row r="160" spans="1:8">
      <c r="A160" s="1115"/>
      <c r="B160" s="1116"/>
      <c r="C160" s="1117"/>
      <c r="D160" s="1118"/>
      <c r="E160" s="1118"/>
      <c r="F160" s="1118"/>
      <c r="G160" s="1118"/>
      <c r="H160" s="1119"/>
    </row>
    <row r="161" spans="1:8">
      <c r="A161" s="1115"/>
      <c r="B161" s="1116"/>
      <c r="C161" s="1117"/>
      <c r="D161" s="1118"/>
      <c r="E161" s="1118"/>
      <c r="F161" s="1118"/>
      <c r="G161" s="1118"/>
      <c r="H161" s="1119"/>
    </row>
    <row r="162" spans="1:8">
      <c r="A162" s="1115"/>
      <c r="B162" s="1116"/>
      <c r="C162" s="1117"/>
      <c r="D162" s="1118"/>
      <c r="E162" s="1118"/>
      <c r="F162" s="1118"/>
      <c r="G162" s="80"/>
      <c r="H162" s="1119"/>
    </row>
    <row r="163" spans="1:8">
      <c r="A163" s="1115"/>
      <c r="B163" s="1116"/>
      <c r="C163" s="1117"/>
      <c r="D163" s="1118"/>
      <c r="E163" s="1118"/>
      <c r="F163" s="1118"/>
      <c r="G163" s="1118"/>
      <c r="H163" s="1119"/>
    </row>
    <row r="164" spans="1:8">
      <c r="A164" s="1115"/>
      <c r="B164" s="1116"/>
      <c r="C164" s="1117"/>
      <c r="D164" s="1118"/>
      <c r="E164" s="1118"/>
      <c r="F164" s="1118"/>
      <c r="G164" s="1118"/>
      <c r="H164" s="1119"/>
    </row>
    <row r="165" spans="1:8">
      <c r="A165" s="1115"/>
      <c r="B165" s="1116"/>
      <c r="C165" s="1117"/>
      <c r="D165" s="1118"/>
      <c r="E165" s="1118"/>
      <c r="F165" s="1118"/>
      <c r="G165" s="1118"/>
      <c r="H165" s="1119"/>
    </row>
    <row r="166" spans="1:8">
      <c r="A166" s="1115"/>
      <c r="B166" s="1116"/>
      <c r="C166" s="1117"/>
      <c r="D166" s="1118"/>
      <c r="E166" s="1118"/>
      <c r="F166" s="1118"/>
      <c r="G166" s="1118"/>
      <c r="H166" s="1119"/>
    </row>
    <row r="167" spans="1:8">
      <c r="A167" s="1115"/>
      <c r="B167" s="1116"/>
      <c r="C167" s="1117"/>
      <c r="D167" s="1118"/>
      <c r="E167" s="1118"/>
      <c r="F167" s="1118"/>
      <c r="G167" s="1118"/>
      <c r="H167" s="1119"/>
    </row>
    <row r="168" spans="1:8">
      <c r="A168" s="1115"/>
      <c r="B168" s="1116"/>
      <c r="C168" s="1117"/>
      <c r="D168" s="1118"/>
      <c r="E168" s="1118"/>
      <c r="F168" s="1118"/>
      <c r="G168" s="80"/>
      <c r="H168" s="1119"/>
    </row>
    <row r="169" spans="1:8">
      <c r="A169" s="1115"/>
      <c r="B169" s="1116"/>
      <c r="C169" s="1117"/>
      <c r="D169" s="1118"/>
      <c r="E169" s="1118"/>
      <c r="F169" s="1118"/>
      <c r="G169" s="1118"/>
      <c r="H169" s="1119"/>
    </row>
    <row r="170" spans="1:8">
      <c r="A170" s="1115"/>
      <c r="B170" s="1116"/>
      <c r="C170" s="1117"/>
      <c r="D170" s="1118"/>
      <c r="E170" s="1118"/>
      <c r="F170" s="1118"/>
      <c r="G170" s="1118"/>
      <c r="H170" s="1119"/>
    </row>
    <row r="171" spans="1:8">
      <c r="A171" s="1115"/>
      <c r="B171" s="1116"/>
      <c r="C171" s="1117"/>
      <c r="D171" s="1118"/>
      <c r="E171" s="1118"/>
      <c r="F171" s="1118"/>
      <c r="G171" s="80"/>
      <c r="H171" s="1119"/>
    </row>
    <row r="172" spans="1:8">
      <c r="A172" s="1115"/>
      <c r="B172" s="1116"/>
      <c r="C172" s="1117"/>
      <c r="D172" s="1118"/>
      <c r="E172" s="1118"/>
      <c r="F172" s="1118"/>
      <c r="G172" s="80"/>
      <c r="H172" s="1119"/>
    </row>
    <row r="173" spans="1:8">
      <c r="A173" s="1115"/>
      <c r="B173" s="1116"/>
      <c r="C173" s="1117"/>
      <c r="D173" s="1118"/>
      <c r="E173" s="1118"/>
      <c r="F173" s="1118"/>
      <c r="G173" s="1118"/>
      <c r="H173" s="1119"/>
    </row>
    <row r="174" spans="1:8">
      <c r="A174" s="1115"/>
      <c r="B174" s="1116"/>
      <c r="C174" s="1117"/>
      <c r="D174" s="1118"/>
      <c r="E174" s="1118"/>
      <c r="F174" s="1118"/>
      <c r="G174" s="1118"/>
      <c r="H174" s="1119"/>
    </row>
    <row r="175" spans="1:8">
      <c r="A175" s="1115"/>
      <c r="B175" s="1116"/>
      <c r="C175" s="1117"/>
      <c r="D175" s="1118"/>
      <c r="E175" s="1118"/>
      <c r="F175" s="1118"/>
      <c r="G175" s="80"/>
      <c r="H175" s="1119"/>
    </row>
    <row r="176" spans="1:8">
      <c r="A176" s="1115"/>
      <c r="B176" s="1116"/>
      <c r="C176" s="1117"/>
      <c r="D176" s="1118"/>
      <c r="E176" s="1118"/>
      <c r="F176" s="1118"/>
      <c r="G176" s="1118"/>
      <c r="H176" s="1119"/>
    </row>
    <row r="177" spans="1:8">
      <c r="A177" s="1115"/>
      <c r="B177" s="1116"/>
      <c r="C177" s="1117"/>
      <c r="D177" s="1118"/>
      <c r="E177" s="1118"/>
      <c r="F177" s="1118"/>
      <c r="G177" s="1118"/>
      <c r="H177" s="1119"/>
    </row>
    <row r="178" spans="1:8">
      <c r="A178" s="1115"/>
      <c r="B178" s="1116"/>
      <c r="C178" s="1117"/>
      <c r="D178" s="1118"/>
      <c r="E178" s="1118"/>
      <c r="F178" s="1118"/>
      <c r="G178" s="1118"/>
      <c r="H178" s="1119"/>
    </row>
    <row r="179" spans="1:8">
      <c r="A179" s="1115"/>
      <c r="B179" s="1116"/>
      <c r="C179" s="1117"/>
      <c r="D179" s="1118"/>
      <c r="E179" s="1118"/>
      <c r="F179" s="1118"/>
      <c r="G179" s="1118"/>
      <c r="H179" s="1119"/>
    </row>
    <row r="180" spans="1:8">
      <c r="A180" s="1115"/>
      <c r="B180" s="1116"/>
      <c r="C180" s="1117"/>
      <c r="D180" s="1118"/>
      <c r="E180" s="1118"/>
      <c r="F180" s="1118"/>
      <c r="G180" s="1118"/>
      <c r="H180" s="1119"/>
    </row>
    <row r="181" spans="1:8">
      <c r="A181" s="1115"/>
      <c r="B181" s="1116"/>
      <c r="C181" s="1117"/>
      <c r="D181" s="1118"/>
      <c r="E181" s="1118"/>
      <c r="F181" s="1118"/>
      <c r="G181" s="80"/>
      <c r="H181" s="1119"/>
    </row>
    <row r="182" spans="1:8">
      <c r="A182" s="1115"/>
      <c r="B182" s="1116"/>
      <c r="C182" s="1117"/>
      <c r="D182" s="1118"/>
      <c r="E182" s="1118"/>
      <c r="F182" s="1118"/>
      <c r="G182" s="1118"/>
      <c r="H182" s="1119"/>
    </row>
    <row r="183" spans="1:8">
      <c r="A183" s="1115"/>
      <c r="B183" s="1116"/>
      <c r="C183" s="1117"/>
      <c r="D183" s="1118"/>
      <c r="E183" s="1118"/>
      <c r="F183" s="1118"/>
      <c r="G183" s="1118"/>
      <c r="H183" s="1119"/>
    </row>
    <row r="184" spans="1:8">
      <c r="A184" s="1115"/>
      <c r="B184" s="1116"/>
      <c r="C184" s="1117"/>
      <c r="D184" s="1118"/>
      <c r="E184" s="1118"/>
      <c r="F184" s="1118"/>
      <c r="G184" s="1118"/>
      <c r="H184" s="1119"/>
    </row>
    <row r="185" spans="1:8">
      <c r="A185" s="1115"/>
      <c r="B185" s="1116"/>
      <c r="C185" s="1117"/>
      <c r="D185" s="1118"/>
      <c r="E185" s="1118"/>
      <c r="F185" s="1118"/>
      <c r="G185" s="1118"/>
      <c r="H185" s="1119"/>
    </row>
    <row r="186" spans="1:8">
      <c r="A186" s="1115"/>
      <c r="B186" s="1116"/>
      <c r="C186" s="1117"/>
      <c r="D186" s="1118"/>
      <c r="E186" s="1118"/>
      <c r="F186" s="1118"/>
      <c r="G186" s="1118"/>
      <c r="H186" s="1119"/>
    </row>
    <row r="187" spans="1:8">
      <c r="A187" s="1115"/>
      <c r="B187" s="1116"/>
      <c r="C187" s="1117"/>
      <c r="D187" s="1118"/>
      <c r="E187" s="1118"/>
      <c r="F187" s="1118"/>
      <c r="G187" s="1118"/>
      <c r="H187" s="1119"/>
    </row>
    <row r="188" spans="1:8">
      <c r="A188" s="1115"/>
      <c r="B188" s="1116"/>
      <c r="C188" s="1117"/>
      <c r="D188" s="1118"/>
      <c r="E188" s="1118"/>
      <c r="F188" s="1118"/>
      <c r="G188" s="80"/>
      <c r="H188" s="1119"/>
    </row>
    <row r="189" spans="1:8">
      <c r="A189" s="1115"/>
      <c r="B189" s="1116"/>
      <c r="C189" s="1117"/>
      <c r="D189" s="1118"/>
      <c r="E189" s="1118"/>
      <c r="F189" s="1118"/>
      <c r="G189" s="1118"/>
      <c r="H189" s="1119"/>
    </row>
    <row r="190" spans="1:8">
      <c r="A190" s="1115"/>
      <c r="B190" s="1116"/>
      <c r="C190" s="1117"/>
      <c r="D190" s="1118"/>
      <c r="E190" s="1118"/>
      <c r="F190" s="1118"/>
      <c r="G190" s="80"/>
      <c r="H190" s="1119"/>
    </row>
    <row r="191" spans="1:8">
      <c r="A191" s="1115"/>
      <c r="B191" s="1116"/>
      <c r="C191" s="1117"/>
      <c r="D191" s="1118"/>
      <c r="E191" s="1118"/>
      <c r="F191" s="1118"/>
      <c r="G191" s="80"/>
      <c r="H191" s="1119"/>
    </row>
    <row r="192" spans="1:8">
      <c r="A192" s="1115"/>
      <c r="B192" s="1116"/>
      <c r="C192" s="1117"/>
      <c r="D192" s="1118"/>
      <c r="E192" s="1118"/>
      <c r="F192" s="1118"/>
      <c r="G192" s="80"/>
      <c r="H192" s="1119"/>
    </row>
    <row r="193" spans="1:8">
      <c r="A193" s="1115"/>
      <c r="B193" s="1116"/>
      <c r="C193" s="1117"/>
      <c r="D193" s="1118"/>
      <c r="E193" s="1118"/>
      <c r="F193" s="1118"/>
      <c r="G193" s="1118"/>
      <c r="H193" s="1119"/>
    </row>
    <row r="194" spans="1:8">
      <c r="A194" s="1115"/>
      <c r="B194" s="1116"/>
      <c r="C194" s="1117"/>
      <c r="D194" s="1118"/>
      <c r="E194" s="1118"/>
      <c r="F194" s="1118"/>
      <c r="G194" s="80"/>
      <c r="H194" s="1119"/>
    </row>
    <row r="195" spans="1:8">
      <c r="A195" s="1115"/>
      <c r="B195" s="1116"/>
      <c r="C195" s="1117"/>
      <c r="D195" s="1118"/>
      <c r="E195" s="1118"/>
      <c r="F195" s="1118"/>
      <c r="G195" s="1118"/>
      <c r="H195" s="1119"/>
    </row>
    <row r="196" spans="1:8">
      <c r="A196" s="1115"/>
      <c r="B196" s="1116"/>
      <c r="C196" s="1117"/>
      <c r="D196" s="1118"/>
      <c r="E196" s="1118"/>
      <c r="F196" s="1118"/>
      <c r="G196" s="1118"/>
      <c r="H196" s="1119"/>
    </row>
    <row r="197" spans="1:8">
      <c r="A197" s="1115"/>
      <c r="B197" s="1116"/>
      <c r="C197" s="1117"/>
      <c r="D197" s="1118"/>
      <c r="E197" s="1118"/>
      <c r="F197" s="1118"/>
      <c r="G197" s="1118"/>
      <c r="H197" s="1119"/>
    </row>
    <row r="198" spans="1:8">
      <c r="A198" s="1115"/>
      <c r="B198" s="1116"/>
      <c r="C198" s="1117"/>
      <c r="D198" s="1118"/>
      <c r="E198" s="1118"/>
      <c r="F198" s="1118"/>
      <c r="G198" s="1118"/>
      <c r="H198" s="1119"/>
    </row>
    <row r="199" spans="1:8">
      <c r="A199" s="1115"/>
      <c r="B199" s="1116"/>
      <c r="C199" s="1117"/>
      <c r="D199" s="1118"/>
      <c r="E199" s="1118"/>
      <c r="F199" s="1118"/>
      <c r="G199" s="80"/>
      <c r="H199" s="1119"/>
    </row>
    <row r="200" spans="1:8">
      <c r="A200" s="1115"/>
      <c r="B200" s="1116"/>
      <c r="C200" s="1117"/>
      <c r="D200" s="1118"/>
      <c r="E200" s="1118"/>
      <c r="F200" s="1118"/>
      <c r="G200" s="80"/>
      <c r="H200" s="1119"/>
    </row>
    <row r="201" spans="1:8">
      <c r="A201" s="1115"/>
      <c r="B201" s="1116"/>
      <c r="C201" s="1117"/>
      <c r="D201" s="1118"/>
      <c r="E201" s="1118"/>
      <c r="F201" s="1118"/>
      <c r="G201" s="1118"/>
      <c r="H201" s="1119"/>
    </row>
    <row r="202" spans="1:8">
      <c r="A202" s="1115"/>
      <c r="B202" s="1116"/>
      <c r="C202" s="1117"/>
      <c r="D202" s="1118"/>
      <c r="E202" s="1118"/>
      <c r="F202" s="1118"/>
      <c r="G202" s="1118"/>
      <c r="H202" s="1119"/>
    </row>
    <row r="203" spans="1:8">
      <c r="A203" s="1115"/>
      <c r="B203" s="1116"/>
      <c r="C203" s="1117"/>
      <c r="D203" s="1118"/>
      <c r="E203" s="1118"/>
      <c r="F203" s="1118"/>
      <c r="G203" s="1118"/>
      <c r="H203" s="1119"/>
    </row>
    <row r="204" spans="1:8">
      <c r="A204" s="1115"/>
      <c r="B204" s="1116"/>
      <c r="C204" s="1117"/>
      <c r="D204" s="1118"/>
      <c r="E204" s="1118"/>
      <c r="F204" s="1118"/>
      <c r="G204" s="1118"/>
      <c r="H204" s="1119"/>
    </row>
    <row r="205" spans="1:8">
      <c r="A205" s="1115"/>
      <c r="B205" s="1116"/>
      <c r="C205" s="1117"/>
      <c r="D205" s="1118"/>
      <c r="E205" s="1118"/>
      <c r="F205" s="1118"/>
      <c r="G205" s="80"/>
      <c r="H205" s="1119"/>
    </row>
    <row r="206" spans="1:8">
      <c r="A206" s="1115"/>
      <c r="B206" s="1116"/>
      <c r="C206" s="1117"/>
      <c r="D206" s="1118"/>
      <c r="E206" s="1118"/>
      <c r="F206" s="1118"/>
      <c r="G206" s="1118"/>
      <c r="H206" s="1119"/>
    </row>
    <row r="207" spans="1:8">
      <c r="A207" s="1115"/>
      <c r="B207" s="1116"/>
      <c r="C207" s="1117"/>
      <c r="D207" s="1118"/>
      <c r="E207" s="1118"/>
      <c r="F207" s="1118"/>
      <c r="G207" s="80"/>
      <c r="H207" s="1119"/>
    </row>
    <row r="208" spans="1:8">
      <c r="A208" s="1115"/>
      <c r="B208" s="1116"/>
      <c r="C208" s="1117"/>
      <c r="D208" s="1118"/>
      <c r="E208" s="1118"/>
      <c r="F208" s="1118"/>
      <c r="G208" s="1118"/>
      <c r="H208" s="1119"/>
    </row>
    <row r="209" spans="1:8">
      <c r="A209" s="1115"/>
      <c r="B209" s="1116"/>
      <c r="C209" s="1117"/>
      <c r="D209" s="1118"/>
      <c r="E209" s="1118"/>
      <c r="F209" s="1118"/>
      <c r="G209" s="1118"/>
      <c r="H209" s="1119"/>
    </row>
    <row r="210" spans="1:8">
      <c r="A210" s="1115"/>
      <c r="B210" s="1116"/>
      <c r="C210" s="1117"/>
      <c r="D210" s="1118"/>
      <c r="E210" s="1118"/>
      <c r="F210" s="1118"/>
      <c r="G210" s="80"/>
      <c r="H210" s="1119"/>
    </row>
    <row r="211" spans="1:8">
      <c r="A211" s="1115"/>
      <c r="B211" s="1116"/>
      <c r="C211" s="1117"/>
      <c r="D211" s="1118"/>
      <c r="E211" s="1118"/>
      <c r="F211" s="1118"/>
      <c r="G211" s="1118"/>
      <c r="H211" s="1119"/>
    </row>
    <row r="212" spans="1:8">
      <c r="A212" s="1115"/>
      <c r="B212" s="1116"/>
      <c r="C212" s="1117"/>
      <c r="D212" s="1118"/>
      <c r="E212" s="1118"/>
      <c r="F212" s="1118"/>
      <c r="G212" s="1118"/>
      <c r="H212" s="1119"/>
    </row>
    <row r="213" spans="1:8">
      <c r="A213" s="1115"/>
      <c r="B213" s="1116"/>
      <c r="C213" s="1117"/>
      <c r="D213" s="1118"/>
      <c r="E213" s="1118"/>
      <c r="F213" s="1118"/>
      <c r="G213" s="1118"/>
      <c r="H213" s="1119"/>
    </row>
    <row r="214" spans="1:8">
      <c r="A214" s="1115"/>
      <c r="B214" s="1116"/>
      <c r="C214" s="1117"/>
      <c r="D214" s="1118"/>
      <c r="E214" s="1118"/>
      <c r="F214" s="1118"/>
      <c r="G214" s="80"/>
      <c r="H214" s="1119"/>
    </row>
    <row r="215" spans="1:8">
      <c r="A215" s="1115"/>
      <c r="B215" s="1116"/>
      <c r="C215" s="1117"/>
      <c r="D215" s="1118"/>
      <c r="E215" s="1118"/>
      <c r="F215" s="1118"/>
      <c r="G215" s="1118"/>
      <c r="H215" s="1119"/>
    </row>
    <row r="216" spans="1:8">
      <c r="A216" s="1115"/>
      <c r="B216" s="1116"/>
      <c r="C216" s="1117"/>
      <c r="D216" s="1118"/>
      <c r="E216" s="1118"/>
      <c r="F216" s="1118"/>
      <c r="G216" s="1118"/>
      <c r="H216" s="1119"/>
    </row>
    <row r="217" spans="1:8">
      <c r="A217" s="1115"/>
      <c r="B217" s="1116"/>
      <c r="C217" s="1117"/>
      <c r="D217" s="1118"/>
      <c r="E217" s="1118"/>
      <c r="F217" s="1118"/>
      <c r="G217" s="80"/>
      <c r="H217" s="1119"/>
    </row>
    <row r="218" spans="1:8">
      <c r="A218" s="1115"/>
      <c r="B218" s="1116"/>
      <c r="C218" s="1117"/>
      <c r="D218" s="1118"/>
      <c r="E218" s="1118"/>
      <c r="F218" s="1118"/>
      <c r="G218" s="1118"/>
      <c r="H218" s="1119"/>
    </row>
    <row r="219" spans="1:8">
      <c r="A219" s="1115"/>
      <c r="B219" s="1116"/>
      <c r="C219" s="1117"/>
      <c r="D219" s="1118"/>
      <c r="E219" s="1118"/>
      <c r="F219" s="1118"/>
      <c r="G219" s="1118"/>
      <c r="H219" s="1119"/>
    </row>
    <row r="220" spans="1:8">
      <c r="A220" s="1115"/>
      <c r="B220" s="1116"/>
      <c r="C220" s="1117"/>
      <c r="D220" s="1118"/>
      <c r="E220" s="1118"/>
      <c r="F220" s="1118"/>
      <c r="G220" s="80"/>
      <c r="H220" s="1119"/>
    </row>
    <row r="221" spans="1:8">
      <c r="A221" s="1115"/>
      <c r="B221" s="1116"/>
      <c r="C221" s="1117"/>
      <c r="D221" s="1118"/>
      <c r="E221" s="1118"/>
      <c r="F221" s="1118"/>
      <c r="G221" s="1118"/>
      <c r="H221" s="1119"/>
    </row>
    <row r="222" spans="1:8">
      <c r="A222" s="1115"/>
      <c r="B222" s="1116"/>
      <c r="C222" s="1117"/>
      <c r="D222" s="1118"/>
      <c r="E222" s="1118"/>
      <c r="F222" s="1118"/>
      <c r="G222" s="1118"/>
      <c r="H222" s="1119"/>
    </row>
    <row r="223" spans="1:8">
      <c r="A223" s="1115"/>
      <c r="B223" s="1116"/>
      <c r="C223" s="1117"/>
      <c r="D223" s="1118"/>
      <c r="E223" s="1118"/>
      <c r="F223" s="1118"/>
      <c r="G223" s="80"/>
      <c r="H223" s="1119"/>
    </row>
    <row r="224" spans="1:8">
      <c r="A224" s="1115"/>
      <c r="B224" s="1116"/>
      <c r="C224" s="1117"/>
      <c r="D224" s="1118"/>
      <c r="E224" s="1118"/>
      <c r="F224" s="1118"/>
      <c r="G224" s="80"/>
      <c r="H224" s="1119"/>
    </row>
    <row r="225" spans="1:8">
      <c r="A225" s="1115"/>
      <c r="B225" s="1116"/>
      <c r="C225" s="1117"/>
      <c r="D225" s="1118"/>
      <c r="E225" s="1118"/>
      <c r="F225" s="1118"/>
      <c r="G225" s="1118"/>
      <c r="H225" s="1119"/>
    </row>
    <row r="226" spans="1:8">
      <c r="A226" s="1115"/>
      <c r="B226" s="1116"/>
      <c r="C226" s="1117"/>
      <c r="D226" s="1118"/>
      <c r="E226" s="1118"/>
      <c r="F226" s="1118"/>
      <c r="G226" s="1118"/>
      <c r="H226" s="1119"/>
    </row>
    <row r="227" spans="1:8">
      <c r="A227" s="1115"/>
      <c r="B227" s="1116"/>
      <c r="C227" s="1117"/>
      <c r="D227" s="1118"/>
      <c r="E227" s="1118"/>
      <c r="F227" s="1118"/>
      <c r="G227" s="1118"/>
      <c r="H227" s="1119"/>
    </row>
    <row r="228" spans="1:8">
      <c r="A228" s="1115"/>
      <c r="B228" s="1116"/>
      <c r="C228" s="1117"/>
      <c r="D228" s="1118"/>
      <c r="E228" s="1118"/>
      <c r="F228" s="1118"/>
      <c r="G228" s="1118"/>
      <c r="H228" s="1119"/>
    </row>
    <row r="229" spans="1:8">
      <c r="A229" s="1115"/>
      <c r="B229" s="1116"/>
      <c r="C229" s="1117"/>
      <c r="D229" s="1118"/>
      <c r="E229" s="1118"/>
      <c r="F229" s="1118"/>
      <c r="G229" s="1118"/>
      <c r="H229" s="1119"/>
    </row>
    <row r="230" spans="1:8">
      <c r="A230" s="1115"/>
      <c r="B230" s="1116"/>
      <c r="C230" s="1117"/>
      <c r="D230" s="1118"/>
      <c r="E230" s="1118"/>
      <c r="F230" s="1118"/>
      <c r="G230" s="1118"/>
      <c r="H230" s="1119"/>
    </row>
    <row r="231" spans="1:8">
      <c r="A231" s="1115"/>
      <c r="B231" s="1116"/>
      <c r="C231" s="1117"/>
      <c r="D231" s="1118"/>
      <c r="E231" s="1118"/>
      <c r="F231" s="1118"/>
      <c r="G231" s="1118"/>
      <c r="H231" s="1119"/>
    </row>
    <row r="232" spans="1:8">
      <c r="A232" s="1115"/>
      <c r="B232" s="1116"/>
      <c r="C232" s="1117"/>
      <c r="D232" s="1118"/>
      <c r="E232" s="1118"/>
      <c r="F232" s="1118"/>
      <c r="G232" s="1118"/>
      <c r="H232" s="1119"/>
    </row>
    <row r="233" spans="1:8">
      <c r="A233" s="1115"/>
      <c r="B233" s="1116"/>
      <c r="C233" s="1117"/>
      <c r="D233" s="1118"/>
      <c r="E233" s="1118"/>
      <c r="F233" s="1118"/>
      <c r="G233" s="1118"/>
      <c r="H233" s="1119"/>
    </row>
    <row r="234" spans="1:8">
      <c r="A234" s="1115"/>
      <c r="B234" s="1116"/>
      <c r="C234" s="1117"/>
      <c r="D234" s="1118"/>
      <c r="E234" s="1118"/>
      <c r="F234" s="1118"/>
      <c r="G234" s="80"/>
      <c r="H234" s="1119"/>
    </row>
    <row r="235" spans="1:8">
      <c r="A235" s="1115"/>
      <c r="B235" s="1116"/>
      <c r="C235" s="1117"/>
      <c r="D235" s="1118"/>
      <c r="E235" s="1118"/>
      <c r="F235" s="1118"/>
      <c r="G235" s="1118"/>
      <c r="H235" s="1119"/>
    </row>
    <row r="236" spans="1:8">
      <c r="A236" s="1115"/>
      <c r="B236" s="1116"/>
      <c r="C236" s="1117"/>
      <c r="D236" s="1118"/>
      <c r="E236" s="1118"/>
      <c r="F236" s="1118"/>
      <c r="G236" s="1118"/>
      <c r="H236" s="1119"/>
    </row>
    <row r="237" spans="1:8">
      <c r="A237" s="1115"/>
      <c r="B237" s="1116"/>
      <c r="C237" s="1117"/>
      <c r="D237" s="1118"/>
      <c r="E237" s="1118"/>
      <c r="F237" s="1118"/>
      <c r="G237" s="80"/>
      <c r="H237" s="1119"/>
    </row>
    <row r="238" spans="1:8">
      <c r="A238" s="1115"/>
      <c r="B238" s="1116"/>
      <c r="C238" s="1117"/>
      <c r="D238" s="1118"/>
      <c r="E238" s="1118"/>
      <c r="F238" s="1118"/>
      <c r="G238" s="1118"/>
      <c r="H238" s="1119"/>
    </row>
    <row r="239" spans="1:8">
      <c r="A239" s="1115"/>
      <c r="B239" s="1116"/>
      <c r="C239" s="1117"/>
      <c r="D239" s="1118"/>
      <c r="E239" s="1118"/>
      <c r="F239" s="1118"/>
      <c r="G239" s="1118"/>
      <c r="H239" s="1119"/>
    </row>
    <row r="240" spans="1:8">
      <c r="A240" s="1115"/>
      <c r="B240" s="1116"/>
      <c r="C240" s="1117"/>
      <c r="D240" s="1118"/>
      <c r="E240" s="1118"/>
      <c r="F240" s="1118"/>
      <c r="G240" s="80"/>
      <c r="H240" s="1119"/>
    </row>
    <row r="241" spans="1:8">
      <c r="A241" s="1115"/>
      <c r="B241" s="1116"/>
      <c r="C241" s="1117"/>
      <c r="D241" s="1118"/>
      <c r="E241" s="1118"/>
      <c r="F241" s="1118"/>
      <c r="G241" s="1118"/>
      <c r="H241" s="1119"/>
    </row>
    <row r="242" spans="1:8">
      <c r="A242" s="1115"/>
      <c r="B242" s="1116"/>
      <c r="C242" s="1117"/>
      <c r="D242" s="1118"/>
      <c r="E242" s="1118"/>
      <c r="F242" s="1118"/>
      <c r="G242" s="1118"/>
      <c r="H242" s="1119"/>
    </row>
    <row r="243" spans="1:8">
      <c r="A243" s="1115"/>
      <c r="B243" s="1116"/>
      <c r="C243" s="1117"/>
      <c r="D243" s="1118"/>
      <c r="E243" s="1118"/>
      <c r="F243" s="1118"/>
      <c r="G243" s="80"/>
      <c r="H243" s="1119"/>
    </row>
    <row r="244" spans="1:8">
      <c r="A244" s="1115"/>
      <c r="B244" s="1116"/>
      <c r="C244" s="1117"/>
      <c r="D244" s="1118"/>
      <c r="E244" s="1118"/>
      <c r="F244" s="1118"/>
      <c r="G244" s="1118"/>
      <c r="H244" s="1119"/>
    </row>
    <row r="245" spans="1:8">
      <c r="A245" s="1115"/>
      <c r="B245" s="1116"/>
      <c r="C245" s="1117"/>
      <c r="D245" s="1118"/>
      <c r="E245" s="1118"/>
      <c r="F245" s="1118"/>
      <c r="G245" s="1118"/>
      <c r="H245" s="1119"/>
    </row>
    <row r="246" spans="1:8">
      <c r="A246" s="1115"/>
      <c r="B246" s="1116"/>
      <c r="C246" s="1117"/>
      <c r="D246" s="1118"/>
      <c r="E246" s="1118"/>
      <c r="F246" s="1118"/>
      <c r="G246" s="1118"/>
      <c r="H246" s="1119"/>
    </row>
    <row r="247" spans="1:8">
      <c r="A247" s="1115"/>
      <c r="B247" s="1116"/>
      <c r="C247" s="1117"/>
      <c r="D247" s="1118"/>
      <c r="E247" s="1118"/>
      <c r="F247" s="1118"/>
      <c r="G247" s="1118"/>
      <c r="H247" s="1119"/>
    </row>
    <row r="248" spans="1:8">
      <c r="A248" s="1115"/>
      <c r="B248" s="1116"/>
      <c r="C248" s="1117"/>
      <c r="D248" s="1118"/>
      <c r="E248" s="1118"/>
      <c r="F248" s="1118"/>
      <c r="G248" s="1118"/>
      <c r="H248" s="1119"/>
    </row>
    <row r="249" spans="1:8">
      <c r="A249" s="1115"/>
      <c r="B249" s="1116"/>
      <c r="C249" s="1117"/>
      <c r="D249" s="1118"/>
      <c r="E249" s="1118"/>
      <c r="F249" s="1118"/>
      <c r="G249" s="1118"/>
      <c r="H249" s="1119"/>
    </row>
    <row r="250" spans="1:8">
      <c r="A250" s="1115"/>
      <c r="B250" s="1116"/>
      <c r="C250" s="1117"/>
      <c r="D250" s="1118"/>
      <c r="E250" s="1118"/>
      <c r="F250" s="1118"/>
      <c r="G250" s="1118"/>
      <c r="H250" s="1119"/>
    </row>
    <row r="251" spans="1:8">
      <c r="A251" s="1115"/>
      <c r="B251" s="1116"/>
      <c r="C251" s="1117"/>
      <c r="D251" s="1118"/>
      <c r="E251" s="1118"/>
      <c r="F251" s="1118"/>
      <c r="G251" s="1118"/>
      <c r="H251" s="1119"/>
    </row>
    <row r="252" spans="1:8">
      <c r="A252" s="1115"/>
      <c r="B252" s="1116"/>
      <c r="C252" s="1117"/>
      <c r="D252" s="1118"/>
      <c r="E252" s="1118"/>
      <c r="F252" s="1118"/>
      <c r="G252" s="1118"/>
      <c r="H252" s="1119"/>
    </row>
    <row r="253" spans="1:8">
      <c r="A253" s="1115"/>
      <c r="B253" s="1116"/>
      <c r="C253" s="1117"/>
      <c r="D253" s="1118"/>
      <c r="E253" s="1118"/>
      <c r="F253" s="1118"/>
      <c r="G253" s="1118"/>
      <c r="H253" s="1119"/>
    </row>
    <row r="254" spans="1:8">
      <c r="A254" s="1115"/>
      <c r="B254" s="1116"/>
      <c r="C254" s="1117"/>
      <c r="D254" s="1118"/>
      <c r="E254" s="1118"/>
      <c r="F254" s="1118"/>
      <c r="G254" s="1118"/>
      <c r="H254" s="1119"/>
    </row>
    <row r="255" spans="1:8">
      <c r="A255" s="1115"/>
      <c r="B255" s="1116"/>
      <c r="C255" s="1117"/>
      <c r="D255" s="1118"/>
      <c r="E255" s="1118"/>
      <c r="F255" s="1118"/>
      <c r="G255" s="1118"/>
      <c r="H255" s="1119"/>
    </row>
    <row r="256" spans="1:8">
      <c r="A256" s="1115"/>
      <c r="B256" s="1116"/>
      <c r="C256" s="1117"/>
      <c r="D256" s="1118"/>
      <c r="E256" s="1118"/>
      <c r="F256" s="1118"/>
      <c r="G256" s="1118"/>
      <c r="H256" s="1119"/>
    </row>
    <row r="257" spans="1:8">
      <c r="A257" s="1115"/>
      <c r="B257" s="1116"/>
      <c r="C257" s="1117"/>
      <c r="D257" s="1118"/>
      <c r="E257" s="1118"/>
      <c r="F257" s="1118"/>
      <c r="G257" s="80"/>
      <c r="H257" s="1119"/>
    </row>
    <row r="258" spans="1:8">
      <c r="A258" s="1115"/>
      <c r="B258" s="1116"/>
      <c r="C258" s="1117"/>
      <c r="D258" s="1118"/>
      <c r="E258" s="1118"/>
      <c r="F258" s="1118"/>
      <c r="G258" s="1118"/>
      <c r="H258" s="1119"/>
    </row>
    <row r="259" spans="1:8">
      <c r="A259" s="1115"/>
      <c r="B259" s="1116"/>
      <c r="C259" s="1117"/>
      <c r="D259" s="1118"/>
      <c r="E259" s="1118"/>
      <c r="F259" s="1118"/>
      <c r="G259" s="1118"/>
      <c r="H259" s="1119"/>
    </row>
    <row r="260" spans="1:8">
      <c r="A260" s="1115"/>
      <c r="B260" s="1116"/>
      <c r="C260" s="1117"/>
      <c r="D260" s="1118"/>
      <c r="E260" s="1118"/>
      <c r="F260" s="1118"/>
      <c r="G260" s="80"/>
      <c r="H260" s="1119"/>
    </row>
    <row r="261" spans="1:8">
      <c r="A261" s="1115"/>
      <c r="B261" s="1116"/>
      <c r="C261" s="1117"/>
      <c r="D261" s="1118"/>
      <c r="E261" s="1118"/>
      <c r="F261" s="1118"/>
      <c r="G261" s="1118"/>
      <c r="H261" s="1119"/>
    </row>
    <row r="262" spans="1:8">
      <c r="A262" s="1115"/>
      <c r="B262" s="1116"/>
      <c r="C262" s="1117"/>
      <c r="D262" s="1118"/>
      <c r="E262" s="1118"/>
      <c r="F262" s="1118"/>
      <c r="G262" s="1118"/>
      <c r="H262" s="1119"/>
    </row>
    <row r="263" spans="1:8">
      <c r="A263" s="1115"/>
      <c r="B263" s="1116"/>
      <c r="C263" s="1117"/>
      <c r="D263" s="1118"/>
      <c r="E263" s="1118"/>
      <c r="F263" s="1118"/>
      <c r="G263" s="1118"/>
      <c r="H263" s="1119"/>
    </row>
    <row r="264" spans="1:8">
      <c r="A264" s="1115"/>
      <c r="B264" s="1116"/>
      <c r="C264" s="1117"/>
      <c r="D264" s="1118"/>
      <c r="E264" s="1118"/>
      <c r="F264" s="1118"/>
      <c r="G264" s="1118"/>
      <c r="H264" s="1119"/>
    </row>
    <row r="265" spans="1:8">
      <c r="A265" s="1115"/>
      <c r="B265" s="1116"/>
      <c r="C265" s="1117"/>
      <c r="D265" s="1118"/>
      <c r="E265" s="1118"/>
      <c r="F265" s="1118"/>
      <c r="G265" s="1118"/>
      <c r="H265" s="1119"/>
    </row>
    <row r="266" spans="1:8">
      <c r="A266" s="1115"/>
      <c r="B266" s="1116"/>
      <c r="C266" s="1117"/>
      <c r="D266" s="1118"/>
      <c r="E266" s="1118"/>
      <c r="F266" s="1118"/>
      <c r="G266" s="1118"/>
      <c r="H266" s="1119"/>
    </row>
    <row r="267" spans="1:8">
      <c r="A267" s="1115"/>
      <c r="B267" s="1116"/>
      <c r="C267" s="1117"/>
      <c r="D267" s="1118"/>
      <c r="E267" s="1118"/>
      <c r="F267" s="1118"/>
      <c r="G267" s="1118"/>
      <c r="H267" s="1119"/>
    </row>
    <row r="268" spans="1:8">
      <c r="A268" s="1115"/>
      <c r="B268" s="1116"/>
      <c r="C268" s="1117"/>
      <c r="D268" s="1118"/>
      <c r="E268" s="1118"/>
      <c r="F268" s="1118"/>
      <c r="G268" s="1118"/>
      <c r="H268" s="1119"/>
    </row>
    <row r="269" spans="1:8">
      <c r="A269" s="1115"/>
      <c r="B269" s="1116"/>
      <c r="C269" s="1117"/>
      <c r="D269" s="1118"/>
      <c r="E269" s="1118"/>
      <c r="F269" s="1118"/>
      <c r="G269" s="1118"/>
      <c r="H269" s="1119"/>
    </row>
    <row r="270" spans="1:8">
      <c r="A270" s="1115"/>
      <c r="B270" s="1116"/>
      <c r="C270" s="1117"/>
      <c r="D270" s="1118"/>
      <c r="E270" s="1118"/>
      <c r="F270" s="1118"/>
      <c r="G270" s="1118"/>
      <c r="H270" s="1119"/>
    </row>
    <row r="271" spans="1:8">
      <c r="A271" s="1115"/>
      <c r="B271" s="1116"/>
      <c r="C271" s="1117"/>
      <c r="D271" s="1118"/>
      <c r="E271" s="1118"/>
      <c r="F271" s="1118"/>
      <c r="G271" s="1118"/>
      <c r="H271" s="1119"/>
    </row>
    <row r="272" spans="1:8">
      <c r="A272" s="1115"/>
      <c r="B272" s="1116"/>
      <c r="C272" s="1117"/>
      <c r="D272" s="1118"/>
      <c r="E272" s="1118"/>
      <c r="F272" s="1118"/>
      <c r="G272" s="1118"/>
      <c r="H272" s="1119"/>
    </row>
    <row r="273" spans="1:8">
      <c r="A273" s="1115"/>
      <c r="B273" s="1116"/>
      <c r="C273" s="1117"/>
      <c r="D273" s="1118"/>
      <c r="E273" s="1118"/>
      <c r="F273" s="1118"/>
      <c r="G273" s="1118"/>
      <c r="H273" s="1119"/>
    </row>
    <row r="274" spans="1:8">
      <c r="A274" s="1115"/>
      <c r="B274" s="1116"/>
      <c r="C274" s="1117"/>
      <c r="D274" s="1118"/>
      <c r="E274" s="1118"/>
      <c r="F274" s="1118"/>
      <c r="G274" s="80"/>
      <c r="H274" s="1119"/>
    </row>
    <row r="275" spans="1:8">
      <c r="A275" s="1115"/>
      <c r="B275" s="1116"/>
      <c r="C275" s="1117"/>
      <c r="D275" s="1118"/>
      <c r="E275" s="1118"/>
      <c r="F275" s="1118"/>
      <c r="G275" s="1118"/>
      <c r="H275" s="1119"/>
    </row>
    <row r="276" spans="1:8">
      <c r="A276" s="1115"/>
      <c r="B276" s="1116"/>
      <c r="C276" s="1117"/>
      <c r="D276" s="1118"/>
      <c r="E276" s="1118"/>
      <c r="F276" s="1118"/>
      <c r="G276" s="1118"/>
      <c r="H276" s="1119"/>
    </row>
    <row r="277" spans="1:8">
      <c r="A277" s="1115"/>
      <c r="B277" s="1116"/>
      <c r="C277" s="1117"/>
      <c r="D277" s="1118"/>
      <c r="E277" s="1118"/>
      <c r="F277" s="1118"/>
      <c r="G277" s="1118"/>
      <c r="H277" s="1119"/>
    </row>
    <row r="278" spans="1:8">
      <c r="A278" s="1115"/>
      <c r="B278" s="1116"/>
      <c r="C278" s="1117"/>
      <c r="D278" s="1118"/>
      <c r="E278" s="1118"/>
      <c r="F278" s="1118"/>
      <c r="G278" s="1118"/>
      <c r="H278" s="1119"/>
    </row>
    <row r="279" spans="1:8">
      <c r="A279" s="1115"/>
      <c r="B279" s="1116"/>
      <c r="C279" s="1117"/>
      <c r="D279" s="1118"/>
      <c r="E279" s="1118"/>
      <c r="F279" s="1118"/>
      <c r="G279" s="1118"/>
      <c r="H279" s="1119"/>
    </row>
    <row r="280" spans="1:8">
      <c r="A280" s="1115"/>
      <c r="B280" s="1116"/>
      <c r="C280" s="1117"/>
      <c r="D280" s="1118"/>
      <c r="E280" s="1118"/>
      <c r="F280" s="1118"/>
      <c r="G280" s="80"/>
      <c r="H280" s="1119"/>
    </row>
    <row r="281" spans="1:8">
      <c r="A281" s="1115"/>
      <c r="B281" s="1116"/>
      <c r="C281" s="1117"/>
      <c r="D281" s="1118"/>
      <c r="E281" s="1118"/>
      <c r="F281" s="1118"/>
      <c r="G281" s="1118"/>
      <c r="H281" s="1119"/>
    </row>
    <row r="282" spans="1:8">
      <c r="A282" s="1115"/>
      <c r="B282" s="1116"/>
      <c r="C282" s="1117"/>
      <c r="D282" s="1118"/>
      <c r="E282" s="1118"/>
      <c r="F282" s="1118"/>
      <c r="G282" s="1118"/>
      <c r="H282" s="1119"/>
    </row>
    <row r="283" spans="1:8">
      <c r="A283" s="1115"/>
      <c r="B283" s="1116"/>
      <c r="C283" s="1117"/>
      <c r="D283" s="1118"/>
      <c r="E283" s="1118"/>
      <c r="F283" s="1118"/>
      <c r="G283" s="80"/>
      <c r="H283" s="1119"/>
    </row>
    <row r="284" spans="1:8">
      <c r="A284" s="1115"/>
      <c r="B284" s="1116"/>
      <c r="C284" s="1117"/>
      <c r="D284" s="1118"/>
      <c r="E284" s="1118"/>
      <c r="F284" s="1118"/>
      <c r="G284" s="1118"/>
      <c r="H284" s="1119"/>
    </row>
    <row r="285" spans="1:8">
      <c r="A285" s="1115"/>
      <c r="B285" s="1116"/>
      <c r="C285" s="1117"/>
      <c r="D285" s="1118"/>
      <c r="E285" s="1118"/>
      <c r="F285" s="1118"/>
      <c r="G285" s="1118"/>
      <c r="H285" s="1119"/>
    </row>
    <row r="286" spans="1:8">
      <c r="A286" s="1115"/>
      <c r="B286" s="1116"/>
      <c r="C286" s="1117"/>
      <c r="D286" s="1118"/>
      <c r="E286" s="1118"/>
      <c r="F286" s="1118"/>
      <c r="G286" s="1118"/>
      <c r="H286" s="1119"/>
    </row>
    <row r="287" spans="1:8">
      <c r="A287" s="1115"/>
      <c r="B287" s="1116"/>
      <c r="C287" s="1117"/>
      <c r="D287" s="1118"/>
      <c r="E287" s="1118"/>
      <c r="F287" s="1118"/>
      <c r="G287" s="80"/>
      <c r="H287" s="1119"/>
    </row>
    <row r="288" spans="1:8">
      <c r="A288" s="1115"/>
      <c r="B288" s="1116"/>
      <c r="C288" s="1117"/>
      <c r="D288" s="1118"/>
      <c r="E288" s="1118"/>
      <c r="F288" s="1118"/>
      <c r="G288" s="1118"/>
      <c r="H288" s="1119"/>
    </row>
    <row r="289" spans="1:8">
      <c r="A289" s="1115"/>
      <c r="B289" s="1116"/>
      <c r="C289" s="1117"/>
      <c r="D289" s="1118"/>
      <c r="E289" s="1118"/>
      <c r="F289" s="1118"/>
      <c r="G289" s="1118"/>
      <c r="H289" s="1119"/>
    </row>
    <row r="290" spans="1:8">
      <c r="A290" s="1115"/>
      <c r="B290" s="1116"/>
      <c r="C290" s="1117"/>
      <c r="D290" s="1118"/>
      <c r="E290" s="1118"/>
      <c r="F290" s="1118"/>
      <c r="G290" s="1118"/>
      <c r="H290" s="1119"/>
    </row>
    <row r="291" spans="1:8">
      <c r="A291" s="1115"/>
      <c r="B291" s="1116"/>
      <c r="C291" s="1117"/>
      <c r="D291" s="1118"/>
      <c r="E291" s="1118"/>
      <c r="F291" s="1118"/>
      <c r="G291" s="1118"/>
      <c r="H291" s="1119"/>
    </row>
    <row r="292" spans="1:8">
      <c r="A292" s="1115"/>
      <c r="B292" s="1116"/>
      <c r="C292" s="1117"/>
      <c r="D292" s="1118"/>
      <c r="E292" s="1118"/>
      <c r="F292" s="1118"/>
      <c r="G292" s="1118"/>
      <c r="H292" s="1119"/>
    </row>
    <row r="293" spans="1:8">
      <c r="A293" s="1115"/>
      <c r="B293" s="1116"/>
      <c r="C293" s="1117"/>
      <c r="D293" s="1118"/>
      <c r="E293" s="1118"/>
      <c r="F293" s="1118"/>
      <c r="G293" s="1118"/>
      <c r="H293" s="1119"/>
    </row>
    <row r="294" spans="1:8">
      <c r="A294" s="1115"/>
      <c r="B294" s="1116"/>
      <c r="C294" s="1117"/>
      <c r="D294" s="1118"/>
      <c r="E294" s="1118"/>
      <c r="F294" s="1118"/>
      <c r="G294" s="1118"/>
      <c r="H294" s="1119"/>
    </row>
    <row r="295" spans="1:8">
      <c r="A295" s="1115"/>
      <c r="B295" s="1116"/>
      <c r="C295" s="1117"/>
      <c r="D295" s="1118"/>
      <c r="E295" s="1118"/>
      <c r="F295" s="1118"/>
      <c r="G295" s="1118"/>
      <c r="H295" s="1119"/>
    </row>
    <row r="296" spans="1:8">
      <c r="A296" s="1115"/>
      <c r="B296" s="1116"/>
      <c r="C296" s="1117"/>
      <c r="D296" s="1118"/>
      <c r="E296" s="1118"/>
      <c r="F296" s="1118"/>
      <c r="G296" s="1118"/>
      <c r="H296" s="1119"/>
    </row>
    <row r="297" spans="1:8">
      <c r="A297" s="1115"/>
      <c r="B297" s="1116"/>
      <c r="C297" s="1117"/>
      <c r="D297" s="1118"/>
      <c r="E297" s="1118"/>
      <c r="F297" s="1118"/>
      <c r="G297" s="1118"/>
      <c r="H297" s="1119"/>
    </row>
    <row r="298" spans="1:8">
      <c r="A298" s="1115"/>
      <c r="B298" s="1116"/>
      <c r="C298" s="1117"/>
      <c r="D298" s="1118"/>
      <c r="E298" s="1118"/>
      <c r="F298" s="1118"/>
      <c r="G298" s="1118"/>
      <c r="H298" s="1119"/>
    </row>
    <row r="299" spans="1:8">
      <c r="A299" s="1115"/>
      <c r="B299" s="1116"/>
      <c r="C299" s="1117"/>
      <c r="D299" s="1118"/>
      <c r="E299" s="1118"/>
      <c r="F299" s="1118"/>
      <c r="G299" s="1118"/>
      <c r="H299" s="1119"/>
    </row>
    <row r="300" spans="1:8">
      <c r="A300" s="1115"/>
      <c r="B300" s="1116"/>
      <c r="C300" s="1117"/>
      <c r="D300" s="1118"/>
      <c r="E300" s="1118"/>
      <c r="F300" s="1118"/>
      <c r="G300" s="1118"/>
      <c r="H300" s="1119"/>
    </row>
    <row r="301" spans="1:8">
      <c r="A301" s="1115"/>
      <c r="B301" s="1116"/>
      <c r="C301" s="1117"/>
      <c r="D301" s="1118"/>
      <c r="E301" s="1118"/>
      <c r="F301" s="1118"/>
      <c r="G301" s="1118"/>
      <c r="H301" s="1119"/>
    </row>
    <row r="302" spans="1:8">
      <c r="A302" s="1115"/>
      <c r="B302" s="1116"/>
      <c r="C302" s="1117"/>
      <c r="D302" s="1118"/>
      <c r="E302" s="1118"/>
      <c r="F302" s="1118"/>
      <c r="G302" s="1118"/>
      <c r="H302" s="1119"/>
    </row>
    <row r="303" spans="1:8">
      <c r="A303" s="1115"/>
      <c r="B303" s="1116"/>
      <c r="C303" s="1117"/>
      <c r="D303" s="1118"/>
      <c r="E303" s="1118"/>
      <c r="F303" s="1118"/>
      <c r="G303" s="1118"/>
      <c r="H303" s="1119"/>
    </row>
    <row r="304" spans="1:8">
      <c r="A304" s="1115"/>
      <c r="B304" s="1116"/>
      <c r="C304" s="1117"/>
      <c r="D304" s="1118"/>
      <c r="E304" s="1118"/>
      <c r="F304" s="1118"/>
      <c r="G304" s="1118"/>
      <c r="H304" s="1119"/>
    </row>
    <row r="305" spans="1:8">
      <c r="A305" s="1115"/>
      <c r="B305" s="1116"/>
      <c r="C305" s="1117"/>
      <c r="D305" s="1118"/>
      <c r="E305" s="1118"/>
      <c r="F305" s="1118"/>
      <c r="G305" s="1118"/>
      <c r="H305" s="1119"/>
    </row>
    <row r="306" spans="1:8">
      <c r="A306" s="1115"/>
      <c r="B306" s="1116"/>
      <c r="C306" s="1117"/>
      <c r="D306" s="1118"/>
      <c r="E306" s="1118"/>
      <c r="F306" s="1118"/>
      <c r="G306" s="1118"/>
      <c r="H306" s="1119"/>
    </row>
    <row r="307" spans="1:8">
      <c r="A307" s="1115"/>
      <c r="B307" s="1116"/>
      <c r="C307" s="1117"/>
      <c r="D307" s="1118"/>
      <c r="E307" s="1118"/>
      <c r="F307" s="1118"/>
      <c r="G307" s="1118"/>
      <c r="H307" s="1119"/>
    </row>
    <row r="308" spans="1:8">
      <c r="A308" s="1115"/>
      <c r="B308" s="1116"/>
      <c r="C308" s="1117"/>
      <c r="D308" s="1118"/>
      <c r="E308" s="1118"/>
      <c r="F308" s="1118"/>
      <c r="G308" s="1118"/>
      <c r="H308" s="1119"/>
    </row>
    <row r="309" spans="1:8">
      <c r="A309" s="1115"/>
      <c r="B309" s="1116"/>
      <c r="C309" s="1117"/>
      <c r="D309" s="1118"/>
      <c r="E309" s="1118"/>
      <c r="F309" s="1118"/>
      <c r="G309" s="1118"/>
      <c r="H309" s="1119"/>
    </row>
    <row r="310" spans="1:8">
      <c r="A310" s="1115"/>
      <c r="B310" s="1116"/>
      <c r="C310" s="1117"/>
      <c r="D310" s="1118"/>
      <c r="E310" s="1118"/>
      <c r="F310" s="1118"/>
      <c r="G310" s="1118"/>
      <c r="H310" s="1119"/>
    </row>
    <row r="311" spans="1:8">
      <c r="A311" s="1115"/>
      <c r="B311" s="1116"/>
      <c r="C311" s="1117"/>
      <c r="D311" s="1118"/>
      <c r="E311" s="1118"/>
      <c r="F311" s="1118"/>
      <c r="G311" s="1118"/>
      <c r="H311" s="1119"/>
    </row>
    <row r="312" spans="1:8">
      <c r="A312" s="1115"/>
      <c r="B312" s="1116"/>
      <c r="C312" s="1117"/>
      <c r="D312" s="1118"/>
      <c r="E312" s="1118"/>
      <c r="F312" s="1118"/>
      <c r="G312" s="1118"/>
      <c r="H312" s="1119"/>
    </row>
    <row r="313" spans="1:8">
      <c r="A313" s="1115"/>
      <c r="B313" s="1116"/>
      <c r="C313" s="1117"/>
      <c r="D313" s="1118"/>
      <c r="E313" s="1118"/>
      <c r="F313" s="1118"/>
      <c r="G313" s="1118"/>
      <c r="H313" s="1119"/>
    </row>
    <row r="314" spans="1:8">
      <c r="A314" s="1115"/>
      <c r="B314" s="1116"/>
      <c r="C314" s="1117"/>
      <c r="D314" s="1118"/>
      <c r="E314" s="1118"/>
      <c r="F314" s="1118"/>
      <c r="G314" s="1118"/>
      <c r="H314" s="1119"/>
    </row>
    <row r="315" spans="1:8">
      <c r="A315" s="1115"/>
      <c r="B315" s="1116"/>
      <c r="C315" s="1117"/>
      <c r="D315" s="1118"/>
      <c r="E315" s="1118"/>
      <c r="F315" s="1118"/>
      <c r="G315" s="1118"/>
      <c r="H315" s="1119"/>
    </row>
    <row r="316" spans="1:8">
      <c r="A316" s="1115"/>
      <c r="B316" s="1116"/>
      <c r="C316" s="1117"/>
      <c r="D316" s="1118"/>
      <c r="E316" s="1118"/>
      <c r="F316" s="1118"/>
      <c r="G316" s="1118"/>
      <c r="H316" s="1119"/>
    </row>
    <row r="317" spans="1:8">
      <c r="A317" s="1115"/>
      <c r="B317" s="1116"/>
      <c r="C317" s="1117"/>
      <c r="D317" s="1118"/>
      <c r="E317" s="1118"/>
      <c r="F317" s="1118"/>
      <c r="G317" s="1118"/>
      <c r="H317" s="1119"/>
    </row>
    <row r="318" spans="1:8">
      <c r="A318" s="1115"/>
      <c r="B318" s="1116"/>
      <c r="C318" s="1117"/>
      <c r="D318" s="1118"/>
      <c r="E318" s="1118"/>
      <c r="F318" s="1118"/>
      <c r="G318" s="1118"/>
      <c r="H318" s="1119"/>
    </row>
    <row r="319" spans="1:8">
      <c r="A319" s="1115"/>
      <c r="B319" s="1116"/>
      <c r="C319" s="1117"/>
      <c r="D319" s="1118"/>
      <c r="E319" s="1118"/>
      <c r="F319" s="1118"/>
      <c r="G319" s="1118"/>
      <c r="H319" s="1119"/>
    </row>
    <row r="320" spans="1:8">
      <c r="A320" s="1115"/>
      <c r="B320" s="1116"/>
      <c r="C320" s="1117"/>
      <c r="D320" s="1118"/>
      <c r="E320" s="1118"/>
      <c r="F320" s="1118"/>
      <c r="G320" s="1118"/>
      <c r="H320" s="1119"/>
    </row>
    <row r="321" spans="1:8">
      <c r="A321" s="1115"/>
      <c r="B321" s="1116"/>
      <c r="C321" s="1117"/>
      <c r="D321" s="1118"/>
      <c r="E321" s="1118"/>
      <c r="F321" s="1118"/>
      <c r="G321" s="1118"/>
      <c r="H321" s="1119"/>
    </row>
    <row r="322" spans="1:8">
      <c r="A322" s="1115"/>
      <c r="B322" s="1116"/>
      <c r="C322" s="1117"/>
      <c r="D322" s="1118"/>
      <c r="E322" s="1118"/>
      <c r="F322" s="1118"/>
      <c r="G322" s="1118"/>
      <c r="H322" s="1119"/>
    </row>
    <row r="323" spans="1:8">
      <c r="A323" s="1115"/>
      <c r="B323" s="1116"/>
      <c r="C323" s="1117"/>
      <c r="D323" s="1118"/>
      <c r="E323" s="1118"/>
      <c r="F323" s="1118"/>
      <c r="G323" s="1118"/>
      <c r="H323" s="1119"/>
    </row>
    <row r="324" spans="1:8">
      <c r="A324" s="1115"/>
      <c r="B324" s="1116"/>
      <c r="C324" s="1117"/>
      <c r="D324" s="1118"/>
      <c r="E324" s="1118"/>
      <c r="F324" s="1118"/>
      <c r="G324" s="1118"/>
      <c r="H324" s="1119"/>
    </row>
    <row r="325" spans="1:8">
      <c r="A325" s="1115"/>
      <c r="B325" s="1116"/>
      <c r="C325" s="1117"/>
      <c r="D325" s="1118"/>
      <c r="E325" s="1118"/>
      <c r="F325" s="1118"/>
      <c r="G325" s="1118"/>
      <c r="H325" s="1119"/>
    </row>
    <row r="326" spans="1:8">
      <c r="A326" s="1115"/>
      <c r="B326" s="1116"/>
      <c r="C326" s="1117"/>
      <c r="D326" s="1118"/>
      <c r="E326" s="1118"/>
      <c r="F326" s="1118"/>
      <c r="G326" s="1118"/>
      <c r="H326" s="1119"/>
    </row>
    <row r="327" spans="1:8">
      <c r="A327" s="1115"/>
      <c r="B327" s="1116"/>
      <c r="C327" s="1117"/>
      <c r="D327" s="1118"/>
      <c r="E327" s="1118"/>
      <c r="F327" s="1118"/>
      <c r="G327" s="1118"/>
      <c r="H327" s="1119"/>
    </row>
    <row r="328" spans="1:8">
      <c r="A328" s="1115"/>
      <c r="B328" s="1116"/>
      <c r="C328" s="1117"/>
      <c r="D328" s="1118"/>
      <c r="E328" s="1118"/>
      <c r="F328" s="1118"/>
      <c r="G328" s="1118"/>
      <c r="H328" s="1119"/>
    </row>
    <row r="329" spans="1:8">
      <c r="A329" s="1115"/>
      <c r="B329" s="1116"/>
      <c r="C329" s="1117"/>
      <c r="D329" s="1118"/>
      <c r="E329" s="1118"/>
      <c r="F329" s="1118"/>
      <c r="G329" s="1118"/>
      <c r="H329" s="1119"/>
    </row>
    <row r="330" spans="1:8">
      <c r="A330" s="1115"/>
      <c r="B330" s="1116"/>
      <c r="C330" s="1117"/>
      <c r="D330" s="1118"/>
      <c r="E330" s="1118"/>
      <c r="F330" s="1118"/>
      <c r="G330" s="1118"/>
      <c r="H330" s="1119"/>
    </row>
    <row r="331" spans="1:8">
      <c r="A331" s="1115"/>
      <c r="B331" s="1116"/>
      <c r="C331" s="1117"/>
      <c r="D331" s="1118"/>
      <c r="E331" s="1118"/>
      <c r="F331" s="1118"/>
      <c r="G331" s="1118"/>
      <c r="H331" s="1119"/>
    </row>
    <row r="332" spans="1:8">
      <c r="A332" s="1115"/>
      <c r="B332" s="1116"/>
      <c r="C332" s="1117"/>
      <c r="D332" s="1118"/>
      <c r="E332" s="1118"/>
      <c r="F332" s="1118"/>
      <c r="G332" s="1118"/>
      <c r="H332" s="1119"/>
    </row>
    <row r="333" spans="1:8">
      <c r="A333" s="1115"/>
      <c r="B333" s="1116"/>
      <c r="C333" s="1117"/>
      <c r="D333" s="1118"/>
      <c r="E333" s="1118"/>
      <c r="F333" s="1118"/>
      <c r="G333" s="1118"/>
      <c r="H333" s="1119"/>
    </row>
    <row r="334" spans="1:8">
      <c r="A334" s="1115"/>
      <c r="B334" s="1116"/>
      <c r="C334" s="1117"/>
      <c r="D334" s="1118"/>
      <c r="E334" s="1118"/>
      <c r="F334" s="1118"/>
      <c r="G334" s="1118"/>
      <c r="H334" s="1119"/>
    </row>
    <row r="335" spans="1:8">
      <c r="A335" s="1115"/>
      <c r="B335" s="1116"/>
      <c r="C335" s="1117"/>
      <c r="D335" s="1118"/>
      <c r="E335" s="1118"/>
      <c r="F335" s="1118"/>
      <c r="G335" s="1118"/>
      <c r="H335" s="1119"/>
    </row>
    <row r="336" spans="1:8">
      <c r="A336" s="1115"/>
      <c r="B336" s="1116"/>
      <c r="C336" s="1117"/>
      <c r="D336" s="1118"/>
      <c r="E336" s="1118"/>
      <c r="F336" s="1118"/>
      <c r="G336" s="1118"/>
      <c r="H336" s="1119"/>
    </row>
    <row r="337" spans="1:8">
      <c r="A337" s="1115"/>
      <c r="B337" s="1116"/>
      <c r="C337" s="1117"/>
      <c r="D337" s="1118"/>
      <c r="E337" s="1118"/>
      <c r="F337" s="1118"/>
      <c r="G337" s="1118"/>
      <c r="H337" s="1119"/>
    </row>
    <row r="338" spans="1:8">
      <c r="A338" s="1115"/>
      <c r="B338" s="1116"/>
      <c r="C338" s="1117"/>
      <c r="D338" s="1118"/>
      <c r="E338" s="1118"/>
      <c r="F338" s="1118"/>
      <c r="G338" s="1118"/>
      <c r="H338" s="1119"/>
    </row>
    <row r="339" spans="1:8">
      <c r="A339" s="1115"/>
      <c r="B339" s="1116"/>
      <c r="C339" s="1117"/>
      <c r="D339" s="1118"/>
      <c r="E339" s="1118"/>
      <c r="F339" s="1118"/>
      <c r="G339" s="1118"/>
      <c r="H339" s="1119"/>
    </row>
    <row r="340" spans="1:8">
      <c r="A340" s="1115"/>
      <c r="B340" s="1116"/>
      <c r="C340" s="1117"/>
      <c r="D340" s="1118"/>
      <c r="E340" s="1118"/>
      <c r="F340" s="1118"/>
      <c r="G340" s="1118"/>
      <c r="H340" s="1119"/>
    </row>
    <row r="341" spans="1:8">
      <c r="A341" s="1115"/>
      <c r="B341" s="1116"/>
      <c r="C341" s="1117"/>
      <c r="D341" s="1118"/>
      <c r="E341" s="1118"/>
      <c r="F341" s="1118"/>
      <c r="G341" s="1118"/>
      <c r="H341" s="1119"/>
    </row>
    <row r="342" spans="1:8">
      <c r="A342" s="1115"/>
      <c r="B342" s="1116"/>
      <c r="C342" s="1117"/>
      <c r="D342" s="1118"/>
      <c r="E342" s="1118"/>
      <c r="F342" s="1118"/>
      <c r="G342" s="1118"/>
      <c r="H342" s="1119"/>
    </row>
    <row r="343" spans="1:8">
      <c r="A343" s="1115"/>
      <c r="B343" s="1116"/>
      <c r="C343" s="1117"/>
      <c r="D343" s="1118"/>
      <c r="E343" s="1118"/>
      <c r="F343" s="1118"/>
      <c r="G343" s="1118"/>
      <c r="H343" s="1119"/>
    </row>
    <row r="344" spans="1:8">
      <c r="A344" s="1115"/>
      <c r="B344" s="1116"/>
      <c r="C344" s="1117"/>
      <c r="D344" s="1118"/>
      <c r="E344" s="1118"/>
      <c r="F344" s="1118"/>
      <c r="G344" s="1118"/>
      <c r="H344" s="1119"/>
    </row>
    <row r="345" spans="1:8">
      <c r="A345" s="1115"/>
      <c r="B345" s="1116"/>
      <c r="C345" s="1117"/>
      <c r="D345" s="1118"/>
      <c r="E345" s="1118"/>
      <c r="F345" s="1118"/>
      <c r="G345" s="1118"/>
      <c r="H345" s="1119"/>
    </row>
    <row r="346" spans="1:8">
      <c r="A346" s="1115"/>
      <c r="B346" s="1116"/>
      <c r="C346" s="1117"/>
      <c r="D346" s="1118"/>
      <c r="E346" s="1118"/>
      <c r="F346" s="1118"/>
      <c r="G346" s="1118"/>
      <c r="H346" s="1119"/>
    </row>
    <row r="347" spans="1:8">
      <c r="A347" s="1115"/>
      <c r="B347" s="1116"/>
      <c r="C347" s="1117"/>
      <c r="D347" s="1118"/>
      <c r="E347" s="1118"/>
      <c r="F347" s="1118"/>
      <c r="G347" s="1118"/>
      <c r="H347" s="1119"/>
    </row>
    <row r="348" spans="1:8">
      <c r="A348" s="1115"/>
      <c r="B348" s="1116"/>
      <c r="C348" s="1117"/>
      <c r="D348" s="1118"/>
      <c r="E348" s="1118"/>
      <c r="F348" s="1118"/>
      <c r="G348" s="80"/>
      <c r="H348" s="1119"/>
    </row>
    <row r="349" spans="1:8">
      <c r="A349" s="1115"/>
      <c r="B349" s="1116"/>
      <c r="C349" s="1117"/>
      <c r="D349" s="1118"/>
      <c r="E349" s="1118"/>
      <c r="F349" s="1118"/>
      <c r="G349" s="80"/>
      <c r="H349" s="1119"/>
    </row>
    <row r="350" spans="1:8">
      <c r="A350" s="1115"/>
      <c r="B350" s="1116"/>
      <c r="C350" s="1117"/>
      <c r="D350" s="1118"/>
      <c r="E350" s="1118"/>
      <c r="F350" s="1118"/>
      <c r="G350" s="1118"/>
      <c r="H350" s="1119"/>
    </row>
    <row r="351" spans="1:8">
      <c r="A351" s="1115"/>
      <c r="B351" s="1116"/>
      <c r="C351" s="1117"/>
      <c r="D351" s="1118"/>
      <c r="E351" s="1118"/>
      <c r="F351" s="1118"/>
      <c r="G351" s="1118"/>
      <c r="H351" s="1119"/>
    </row>
    <row r="352" spans="1:8">
      <c r="A352" s="1115"/>
      <c r="B352" s="1116"/>
      <c r="C352" s="1117"/>
      <c r="D352" s="1118"/>
      <c r="E352" s="1118"/>
      <c r="F352" s="1118"/>
      <c r="G352" s="80"/>
      <c r="H352" s="1119"/>
    </row>
    <row r="353" spans="1:8">
      <c r="A353" s="1115"/>
      <c r="B353" s="1116"/>
      <c r="C353" s="1117"/>
      <c r="D353" s="1118"/>
      <c r="E353" s="1118"/>
      <c r="F353" s="1118"/>
      <c r="G353" s="1118"/>
      <c r="H353" s="1119"/>
    </row>
    <row r="354" spans="1:8">
      <c r="A354" s="1115"/>
      <c r="B354" s="1116"/>
      <c r="C354" s="1117"/>
      <c r="D354" s="1118"/>
      <c r="E354" s="1118"/>
      <c r="F354" s="1118"/>
      <c r="G354" s="1118"/>
      <c r="H354" s="1119"/>
    </row>
    <row r="355" spans="1:8">
      <c r="A355" s="1115"/>
      <c r="B355" s="1116"/>
      <c r="C355" s="1117"/>
      <c r="D355" s="1118"/>
      <c r="E355" s="1118"/>
      <c r="F355" s="1118"/>
      <c r="G355" s="1118"/>
      <c r="H355" s="1119"/>
    </row>
    <row r="356" spans="1:8">
      <c r="A356" s="1115"/>
      <c r="B356" s="1116"/>
      <c r="C356" s="1117"/>
      <c r="D356" s="1118"/>
      <c r="E356" s="1118"/>
      <c r="F356" s="1118"/>
      <c r="G356" s="1118"/>
      <c r="H356" s="1119"/>
    </row>
    <row r="357" spans="1:8">
      <c r="A357" s="1115"/>
      <c r="B357" s="1116"/>
      <c r="C357" s="1117"/>
      <c r="D357" s="1118"/>
      <c r="E357" s="1118"/>
      <c r="F357" s="1118"/>
      <c r="G357" s="1118"/>
      <c r="H357" s="1119"/>
    </row>
    <row r="358" spans="1:8">
      <c r="A358" s="1115"/>
      <c r="B358" s="1116"/>
      <c r="C358" s="1117"/>
      <c r="D358" s="1118"/>
      <c r="E358" s="1118"/>
      <c r="F358" s="1118"/>
      <c r="G358" s="1118"/>
      <c r="H358" s="1119"/>
    </row>
    <row r="359" spans="1:8">
      <c r="A359" s="1115"/>
      <c r="B359" s="1116"/>
      <c r="C359" s="1117"/>
      <c r="D359" s="1118"/>
      <c r="E359" s="1118"/>
      <c r="F359" s="1118"/>
      <c r="G359" s="80"/>
      <c r="H359" s="1119"/>
    </row>
    <row r="360" spans="1:8">
      <c r="A360" s="1115"/>
      <c r="B360" s="1116"/>
      <c r="C360" s="1117"/>
      <c r="D360" s="1118"/>
      <c r="E360" s="1118"/>
      <c r="F360" s="1118"/>
      <c r="G360" s="1118"/>
      <c r="H360" s="1119"/>
    </row>
    <row r="361" spans="1:8">
      <c r="A361" s="1115"/>
      <c r="B361" s="1116"/>
      <c r="C361" s="1117"/>
      <c r="D361" s="1118"/>
      <c r="E361" s="1118"/>
      <c r="F361" s="1118"/>
      <c r="G361" s="1118"/>
      <c r="H361" s="1119"/>
    </row>
    <row r="362" spans="1:8">
      <c r="A362" s="1115"/>
      <c r="B362" s="1116"/>
      <c r="C362" s="1117"/>
      <c r="D362" s="1118"/>
      <c r="E362" s="1118"/>
      <c r="F362" s="1118"/>
      <c r="G362" s="80"/>
      <c r="H362" s="1119"/>
    </row>
    <row r="363" spans="1:8">
      <c r="A363" s="1115"/>
      <c r="B363" s="1116"/>
      <c r="C363" s="1117"/>
      <c r="D363" s="1118"/>
      <c r="E363" s="1118"/>
      <c r="F363" s="1118"/>
      <c r="G363" s="1118"/>
      <c r="H363" s="1119"/>
    </row>
    <row r="364" spans="1:8">
      <c r="A364" s="1115"/>
      <c r="B364" s="1116"/>
      <c r="C364" s="1117"/>
      <c r="D364" s="1118"/>
      <c r="E364" s="1118"/>
      <c r="F364" s="1118"/>
      <c r="G364" s="1118"/>
      <c r="H364" s="1119"/>
    </row>
    <row r="365" spans="1:8">
      <c r="A365" s="1115"/>
      <c r="B365" s="1116"/>
      <c r="C365" s="1117"/>
      <c r="D365" s="1118"/>
      <c r="E365" s="1118"/>
      <c r="F365" s="1118"/>
      <c r="G365" s="1118"/>
      <c r="H365" s="1119"/>
    </row>
    <row r="366" spans="1:8">
      <c r="A366" s="1115"/>
      <c r="B366" s="1116"/>
      <c r="C366" s="1117"/>
      <c r="D366" s="1118"/>
      <c r="E366" s="1118"/>
      <c r="F366" s="1118"/>
      <c r="G366" s="1118"/>
      <c r="H366" s="1119"/>
    </row>
    <row r="367" spans="1:8">
      <c r="A367" s="1115"/>
      <c r="B367" s="1116"/>
      <c r="C367" s="1117"/>
      <c r="D367" s="1118"/>
      <c r="E367" s="1118"/>
      <c r="F367" s="1118"/>
      <c r="G367" s="1118"/>
      <c r="H367" s="1119"/>
    </row>
    <row r="368" spans="1:8">
      <c r="A368" s="1115"/>
      <c r="B368" s="1116"/>
      <c r="C368" s="1117"/>
      <c r="D368" s="1118"/>
      <c r="E368" s="1118"/>
      <c r="F368" s="1118"/>
      <c r="G368" s="80"/>
      <c r="H368" s="1119"/>
    </row>
    <row r="369" spans="1:8">
      <c r="A369" s="1115"/>
      <c r="B369" s="1116"/>
      <c r="C369" s="1117"/>
      <c r="D369" s="1118"/>
      <c r="E369" s="1118"/>
      <c r="F369" s="1118"/>
      <c r="G369" s="1118"/>
      <c r="H369" s="1119"/>
    </row>
    <row r="370" spans="1:8">
      <c r="A370" s="1115"/>
      <c r="B370" s="1116"/>
      <c r="C370" s="1117"/>
      <c r="D370" s="1118"/>
      <c r="E370" s="1118"/>
      <c r="F370" s="1118"/>
      <c r="G370" s="1118"/>
      <c r="H370" s="1119"/>
    </row>
    <row r="371" spans="1:8">
      <c r="A371" s="1115"/>
      <c r="B371" s="1116"/>
      <c r="C371" s="1117"/>
      <c r="D371" s="1118"/>
      <c r="E371" s="1118"/>
      <c r="F371" s="1118"/>
      <c r="G371" s="1118"/>
      <c r="H371" s="1119"/>
    </row>
    <row r="372" spans="1:8">
      <c r="A372" s="1115"/>
      <c r="B372" s="1116"/>
      <c r="C372" s="1117"/>
      <c r="D372" s="1118"/>
      <c r="E372" s="1118"/>
      <c r="F372" s="1118"/>
      <c r="G372" s="80"/>
      <c r="H372" s="1119"/>
    </row>
    <row r="373" spans="1:8">
      <c r="A373" s="1115"/>
      <c r="B373" s="1116"/>
      <c r="C373" s="1117"/>
      <c r="D373" s="1118"/>
      <c r="E373" s="1118"/>
      <c r="F373" s="1118"/>
      <c r="G373" s="1118"/>
      <c r="H373" s="1119"/>
    </row>
    <row r="374" spans="1:8">
      <c r="A374" s="1115"/>
      <c r="B374" s="1116"/>
      <c r="C374" s="1117"/>
      <c r="D374" s="1118"/>
      <c r="E374" s="1118"/>
      <c r="F374" s="1118"/>
      <c r="G374" s="1118"/>
      <c r="H374" s="1119"/>
    </row>
    <row r="375" spans="1:8">
      <c r="A375" s="1115"/>
      <c r="B375" s="1116"/>
      <c r="C375" s="1117"/>
      <c r="D375" s="1118"/>
      <c r="E375" s="1118"/>
      <c r="F375" s="1118"/>
      <c r="G375" s="1118"/>
      <c r="H375" s="1119"/>
    </row>
    <row r="376" spans="1:8">
      <c r="A376" s="1115"/>
      <c r="B376" s="1116"/>
      <c r="C376" s="1117"/>
      <c r="D376" s="1118"/>
      <c r="E376" s="1118"/>
      <c r="F376" s="1118"/>
      <c r="G376" s="1118"/>
      <c r="H376" s="1119"/>
    </row>
    <row r="377" spans="1:8">
      <c r="A377" s="1115"/>
      <c r="B377" s="1116"/>
      <c r="C377" s="1117"/>
      <c r="D377" s="1118"/>
      <c r="E377" s="1118"/>
      <c r="F377" s="1118"/>
      <c r="G377" s="1118"/>
      <c r="H377" s="1119"/>
    </row>
    <row r="378" spans="1:8">
      <c r="A378" s="1115"/>
      <c r="B378" s="1116"/>
      <c r="C378" s="1117"/>
      <c r="D378" s="1118"/>
      <c r="E378" s="1118"/>
      <c r="F378" s="1118"/>
      <c r="G378" s="80"/>
      <c r="H378" s="1119"/>
    </row>
    <row r="379" spans="1:8">
      <c r="A379" s="1115"/>
      <c r="B379" s="1116"/>
      <c r="C379" s="1117"/>
      <c r="D379" s="1118"/>
      <c r="E379" s="1118"/>
      <c r="F379" s="1118"/>
      <c r="G379" s="1118"/>
      <c r="H379" s="1119"/>
    </row>
    <row r="380" spans="1:8">
      <c r="A380" s="1115"/>
      <c r="B380" s="1116"/>
      <c r="C380" s="1117"/>
      <c r="D380" s="1118"/>
      <c r="E380" s="1118"/>
      <c r="F380" s="1118"/>
      <c r="G380" s="1118"/>
      <c r="H380" s="1119"/>
    </row>
    <row r="381" spans="1:8">
      <c r="A381" s="1115"/>
      <c r="B381" s="1116"/>
      <c r="C381" s="1117"/>
      <c r="D381" s="1118"/>
      <c r="E381" s="1118"/>
      <c r="F381" s="1118"/>
      <c r="G381" s="1118"/>
      <c r="H381" s="1119"/>
    </row>
    <row r="382" spans="1:8">
      <c r="A382" s="1115"/>
      <c r="B382" s="1116"/>
      <c r="C382" s="1117"/>
      <c r="D382" s="1118"/>
      <c r="E382" s="1118"/>
      <c r="F382" s="1118"/>
      <c r="G382" s="80"/>
      <c r="H382" s="1119"/>
    </row>
    <row r="383" spans="1:8">
      <c r="A383" s="1115"/>
      <c r="B383" s="1116"/>
      <c r="C383" s="1117"/>
      <c r="D383" s="1118"/>
      <c r="E383" s="1118"/>
      <c r="F383" s="1118"/>
      <c r="G383" s="1118"/>
      <c r="H383" s="1119"/>
    </row>
    <row r="384" spans="1:8">
      <c r="A384" s="1115"/>
      <c r="B384" s="1116"/>
      <c r="C384" s="1117"/>
      <c r="D384" s="1118"/>
      <c r="E384" s="1118"/>
      <c r="F384" s="1118"/>
      <c r="G384" s="80"/>
      <c r="H384" s="1119"/>
    </row>
    <row r="385" spans="1:8">
      <c r="A385" s="1115"/>
      <c r="B385" s="1116"/>
      <c r="C385" s="1117"/>
      <c r="D385" s="1118"/>
      <c r="E385" s="1118"/>
      <c r="F385" s="1118"/>
      <c r="G385" s="1118"/>
      <c r="H385" s="1119"/>
    </row>
    <row r="386" spans="1:8">
      <c r="A386" s="1115"/>
      <c r="B386" s="1116"/>
      <c r="C386" s="1117"/>
      <c r="D386" s="1118"/>
      <c r="E386" s="1118"/>
      <c r="F386" s="1118"/>
      <c r="G386" s="1118"/>
      <c r="H386" s="1119"/>
    </row>
    <row r="387" spans="1:8">
      <c r="A387" s="1115"/>
      <c r="B387" s="1116"/>
      <c r="C387" s="1117"/>
      <c r="D387" s="1118"/>
      <c r="E387" s="1118"/>
      <c r="F387" s="1118"/>
      <c r="G387" s="80"/>
      <c r="H387" s="1119"/>
    </row>
    <row r="388" spans="1:8">
      <c r="A388" s="1115"/>
      <c r="B388" s="1116"/>
      <c r="C388" s="1117"/>
      <c r="D388" s="1118"/>
      <c r="E388" s="1118"/>
      <c r="F388" s="1118"/>
      <c r="G388" s="1118"/>
      <c r="H388" s="1119"/>
    </row>
    <row r="389" spans="1:8">
      <c r="A389" s="1115"/>
      <c r="B389" s="1116"/>
      <c r="C389" s="1117"/>
      <c r="D389" s="1118"/>
      <c r="E389" s="1118"/>
      <c r="F389" s="1118"/>
      <c r="G389" s="1118"/>
      <c r="H389" s="1119"/>
    </row>
    <row r="390" spans="1:8">
      <c r="A390" s="1115"/>
      <c r="B390" s="1116"/>
      <c r="C390" s="1117"/>
      <c r="D390" s="1118"/>
      <c r="E390" s="1118"/>
      <c r="F390" s="1118"/>
      <c r="G390" s="80"/>
      <c r="H390" s="1119"/>
    </row>
    <row r="391" spans="1:8">
      <c r="A391" s="1115"/>
      <c r="B391" s="1116"/>
      <c r="C391" s="1117"/>
      <c r="D391" s="1118"/>
      <c r="E391" s="1118"/>
      <c r="F391" s="1118"/>
      <c r="G391" s="80"/>
      <c r="H391" s="1119"/>
    </row>
    <row r="392" spans="1:8">
      <c r="A392" s="1115"/>
      <c r="B392" s="1116"/>
      <c r="C392" s="1117"/>
      <c r="D392" s="1118"/>
      <c r="E392" s="1118"/>
      <c r="F392" s="1118"/>
      <c r="G392" s="1118"/>
      <c r="H392" s="1119"/>
    </row>
    <row r="393" spans="1:8">
      <c r="A393" s="1115"/>
      <c r="B393" s="1116"/>
      <c r="C393" s="1117"/>
      <c r="D393" s="1118"/>
      <c r="E393" s="1118"/>
      <c r="F393" s="1118"/>
      <c r="G393" s="1118"/>
      <c r="H393" s="1119"/>
    </row>
    <row r="394" spans="1:8">
      <c r="A394" s="1115"/>
      <c r="B394" s="1116"/>
      <c r="C394" s="1117"/>
      <c r="D394" s="1118"/>
      <c r="E394" s="1118"/>
      <c r="F394" s="1118"/>
      <c r="G394" s="80"/>
      <c r="H394" s="1119"/>
    </row>
    <row r="395" spans="1:8">
      <c r="A395" s="1115"/>
      <c r="B395" s="1116"/>
      <c r="C395" s="1117"/>
      <c r="D395" s="1118"/>
      <c r="E395" s="1118"/>
      <c r="F395" s="1118"/>
      <c r="G395" s="1118"/>
      <c r="H395" s="1119"/>
    </row>
    <row r="396" spans="1:8">
      <c r="A396" s="1115"/>
      <c r="B396" s="1116"/>
      <c r="C396" s="1117"/>
      <c r="D396" s="1118"/>
      <c r="E396" s="1118"/>
      <c r="F396" s="1118"/>
      <c r="G396" s="80"/>
      <c r="H396" s="1119"/>
    </row>
    <row r="397" spans="1:8">
      <c r="A397" s="1115"/>
      <c r="B397" s="1116"/>
      <c r="C397" s="1117"/>
      <c r="D397" s="1118"/>
      <c r="E397" s="1118"/>
      <c r="F397" s="1118"/>
      <c r="G397" s="1118"/>
      <c r="H397" s="1119"/>
    </row>
    <row r="398" spans="1:8">
      <c r="A398" s="1115"/>
      <c r="B398" s="1116"/>
      <c r="C398" s="1117"/>
      <c r="D398" s="1118"/>
      <c r="E398" s="1118"/>
      <c r="F398" s="1118"/>
      <c r="G398" s="80"/>
      <c r="H398" s="1119"/>
    </row>
    <row r="399" spans="1:8">
      <c r="A399" s="1115"/>
      <c r="B399" s="1116"/>
      <c r="C399" s="1117"/>
      <c r="D399" s="1118"/>
      <c r="E399" s="1118"/>
      <c r="F399" s="1118"/>
      <c r="G399" s="1118"/>
      <c r="H399" s="1119"/>
    </row>
    <row r="400" spans="1:8">
      <c r="A400" s="1115"/>
      <c r="B400" s="1116"/>
      <c r="C400" s="1117"/>
      <c r="D400" s="1118"/>
      <c r="E400" s="1118"/>
      <c r="F400" s="1118"/>
      <c r="G400" s="1118"/>
      <c r="H400" s="1119"/>
    </row>
    <row r="401" spans="1:8">
      <c r="A401" s="1115"/>
      <c r="B401" s="1116"/>
      <c r="C401" s="1117"/>
      <c r="D401" s="1118"/>
      <c r="E401" s="1118"/>
      <c r="F401" s="1118"/>
      <c r="G401" s="80"/>
      <c r="H401" s="1119"/>
    </row>
    <row r="402" spans="1:8">
      <c r="A402" s="1115"/>
      <c r="B402" s="1116"/>
      <c r="C402" s="1117"/>
      <c r="D402" s="1118"/>
      <c r="E402" s="1118"/>
      <c r="F402" s="1118"/>
      <c r="G402" s="1118"/>
      <c r="H402" s="1119"/>
    </row>
    <row r="403" spans="1:8">
      <c r="A403" s="1115"/>
      <c r="B403" s="1116"/>
      <c r="C403" s="1117"/>
      <c r="D403" s="1118"/>
      <c r="E403" s="1118"/>
      <c r="F403" s="1118"/>
      <c r="G403" s="1118"/>
      <c r="H403" s="1119"/>
    </row>
    <row r="404" spans="1:8">
      <c r="A404" s="1115"/>
      <c r="B404" s="1116"/>
      <c r="C404" s="1117"/>
      <c r="D404" s="1118"/>
      <c r="E404" s="1118"/>
      <c r="F404" s="1118"/>
      <c r="G404" s="80"/>
      <c r="H404" s="1119"/>
    </row>
    <row r="405" spans="1:8">
      <c r="A405" s="1115"/>
      <c r="B405" s="1116"/>
      <c r="C405" s="1117"/>
      <c r="D405" s="1118"/>
      <c r="E405" s="1118"/>
      <c r="F405" s="1118"/>
      <c r="G405" s="80"/>
      <c r="H405" s="1119"/>
    </row>
    <row r="406" spans="1:8">
      <c r="A406" s="1115"/>
      <c r="B406" s="1116"/>
      <c r="C406" s="1117"/>
      <c r="D406" s="1118"/>
      <c r="E406" s="1118"/>
      <c r="F406" s="1118"/>
      <c r="G406" s="1118"/>
      <c r="H406" s="1119"/>
    </row>
    <row r="407" spans="1:8">
      <c r="A407" s="1115"/>
      <c r="B407" s="1116"/>
      <c r="C407" s="1117"/>
      <c r="D407" s="1118"/>
      <c r="E407" s="1118"/>
      <c r="F407" s="1118"/>
      <c r="G407" s="1118"/>
      <c r="H407" s="1119"/>
    </row>
    <row r="408" spans="1:8">
      <c r="A408" s="1115"/>
      <c r="B408" s="1116"/>
      <c r="C408" s="1117"/>
      <c r="D408" s="1118"/>
      <c r="E408" s="1118"/>
      <c r="F408" s="1118"/>
      <c r="G408" s="80"/>
      <c r="H408" s="1119"/>
    </row>
    <row r="409" spans="1:8">
      <c r="A409" s="1115"/>
      <c r="B409" s="1116"/>
      <c r="C409" s="1117"/>
      <c r="D409" s="1118"/>
      <c r="E409" s="1118"/>
      <c r="F409" s="1118"/>
      <c r="G409" s="1118"/>
      <c r="H409" s="1119"/>
    </row>
    <row r="410" spans="1:8">
      <c r="A410" s="1115"/>
      <c r="B410" s="1116"/>
      <c r="C410" s="1117"/>
      <c r="D410" s="1118"/>
      <c r="E410" s="1118"/>
      <c r="F410" s="1118"/>
      <c r="G410" s="80"/>
      <c r="H410" s="1119"/>
    </row>
    <row r="411" spans="1:8">
      <c r="A411" s="1115"/>
      <c r="B411" s="1116"/>
      <c r="C411" s="1117"/>
      <c r="D411" s="1118"/>
      <c r="E411" s="1118"/>
      <c r="F411" s="1118"/>
      <c r="G411" s="1118"/>
      <c r="H411" s="1119"/>
    </row>
    <row r="412" spans="1:8">
      <c r="A412" s="1115"/>
      <c r="B412" s="1116"/>
      <c r="C412" s="1117"/>
      <c r="D412" s="1118"/>
      <c r="E412" s="1118"/>
      <c r="F412" s="1118"/>
      <c r="G412" s="1118"/>
      <c r="H412" s="1119"/>
    </row>
    <row r="413" spans="1:8">
      <c r="A413" s="1115"/>
      <c r="B413" s="1116"/>
      <c r="C413" s="1117"/>
      <c r="D413" s="1118"/>
      <c r="E413" s="1118"/>
      <c r="F413" s="1118"/>
      <c r="G413" s="80"/>
      <c r="H413" s="1119"/>
    </row>
    <row r="414" spans="1:8">
      <c r="A414" s="1115"/>
      <c r="B414" s="1116"/>
      <c r="C414" s="1117"/>
      <c r="D414" s="1118"/>
      <c r="E414" s="1118"/>
      <c r="F414" s="1118"/>
      <c r="G414" s="1118"/>
      <c r="H414" s="1119"/>
    </row>
    <row r="415" spans="1:8">
      <c r="A415" s="1115"/>
      <c r="B415" s="1116"/>
      <c r="C415" s="1117"/>
      <c r="D415" s="1118"/>
      <c r="E415" s="1118"/>
      <c r="F415" s="1118"/>
      <c r="G415" s="1118"/>
      <c r="H415" s="1119"/>
    </row>
    <row r="416" spans="1:8">
      <c r="A416" s="1115"/>
      <c r="B416" s="1116"/>
      <c r="C416" s="1117"/>
      <c r="D416" s="1118"/>
      <c r="E416" s="1118"/>
      <c r="F416" s="1118"/>
      <c r="G416" s="80"/>
      <c r="H416" s="1119"/>
    </row>
    <row r="417" spans="1:8">
      <c r="A417" s="1115"/>
      <c r="B417" s="1116"/>
      <c r="C417" s="1117"/>
      <c r="D417" s="1118"/>
      <c r="E417" s="1118"/>
      <c r="F417" s="1118"/>
      <c r="G417" s="80"/>
      <c r="H417" s="1119"/>
    </row>
    <row r="418" spans="1:8">
      <c r="A418" s="1115"/>
      <c r="B418" s="1116"/>
      <c r="C418" s="1117"/>
      <c r="D418" s="1118"/>
      <c r="E418" s="1118"/>
      <c r="F418" s="1118"/>
      <c r="G418" s="1118"/>
      <c r="H418" s="1119"/>
    </row>
    <row r="419" spans="1:8">
      <c r="A419" s="1115"/>
      <c r="B419" s="1116"/>
      <c r="C419" s="1117"/>
      <c r="D419" s="1118"/>
      <c r="E419" s="1118"/>
      <c r="F419" s="1118"/>
      <c r="G419" s="1118"/>
      <c r="H419" s="1119"/>
    </row>
    <row r="420" spans="1:8">
      <c r="A420" s="1115"/>
      <c r="B420" s="1116"/>
      <c r="C420" s="1117"/>
      <c r="D420" s="1118"/>
      <c r="E420" s="1118"/>
      <c r="F420" s="1118"/>
      <c r="G420" s="80"/>
      <c r="H420" s="1119"/>
    </row>
    <row r="421" spans="1:8">
      <c r="A421" s="1115"/>
      <c r="B421" s="1116"/>
      <c r="C421" s="1117"/>
      <c r="D421" s="1118"/>
      <c r="E421" s="1118"/>
      <c r="F421" s="1118"/>
      <c r="G421" s="1118"/>
      <c r="H421" s="1119"/>
    </row>
    <row r="422" spans="1:8">
      <c r="A422" s="1115"/>
      <c r="B422" s="1116"/>
      <c r="C422" s="1117"/>
      <c r="D422" s="1118"/>
      <c r="E422" s="1118"/>
      <c r="F422" s="1118"/>
      <c r="G422" s="80"/>
      <c r="H422" s="1119"/>
    </row>
    <row r="423" spans="1:8">
      <c r="A423" s="1115"/>
      <c r="B423" s="1116"/>
      <c r="C423" s="1117"/>
      <c r="D423" s="1118"/>
      <c r="E423" s="1118"/>
      <c r="F423" s="1118"/>
      <c r="G423" s="1118"/>
      <c r="H423" s="1119"/>
    </row>
    <row r="424" spans="1:8">
      <c r="A424" s="1115"/>
      <c r="B424" s="1116"/>
      <c r="C424" s="1117"/>
      <c r="D424" s="1118"/>
      <c r="E424" s="1118"/>
      <c r="F424" s="1118"/>
      <c r="G424" s="80"/>
      <c r="H424" s="1119"/>
    </row>
    <row r="425" spans="1:8">
      <c r="A425" s="1115"/>
      <c r="B425" s="1116"/>
      <c r="C425" s="1117"/>
      <c r="D425" s="1118"/>
      <c r="E425" s="1118"/>
      <c r="F425" s="1118"/>
      <c r="G425" s="1118"/>
      <c r="H425" s="1119"/>
    </row>
    <row r="426" spans="1:8">
      <c r="A426" s="1115"/>
      <c r="B426" s="1116"/>
      <c r="C426" s="1117"/>
      <c r="D426" s="1118"/>
      <c r="E426" s="1118"/>
      <c r="F426" s="1118"/>
      <c r="G426" s="1118"/>
      <c r="H426" s="1119"/>
    </row>
    <row r="427" spans="1:8">
      <c r="A427" s="1115"/>
      <c r="B427" s="1116"/>
      <c r="C427" s="1117"/>
      <c r="D427" s="1118"/>
      <c r="E427" s="1118"/>
      <c r="F427" s="1118"/>
      <c r="G427" s="80"/>
      <c r="H427" s="1119"/>
    </row>
    <row r="428" spans="1:8">
      <c r="A428" s="1115"/>
      <c r="B428" s="1116"/>
      <c r="C428" s="1117"/>
      <c r="D428" s="1118"/>
      <c r="E428" s="1118"/>
      <c r="F428" s="1118"/>
      <c r="G428" s="1118"/>
      <c r="H428" s="1119"/>
    </row>
    <row r="429" spans="1:8">
      <c r="A429" s="1115"/>
      <c r="B429" s="1116"/>
      <c r="C429" s="1117"/>
      <c r="D429" s="1118"/>
      <c r="E429" s="1118"/>
      <c r="F429" s="1118"/>
      <c r="G429" s="1118"/>
      <c r="H429" s="1119"/>
    </row>
    <row r="430" spans="1:8">
      <c r="A430" s="1115"/>
      <c r="B430" s="1116"/>
      <c r="C430" s="1117"/>
      <c r="D430" s="1118"/>
      <c r="E430" s="1118"/>
      <c r="F430" s="1118"/>
      <c r="G430" s="80"/>
      <c r="H430" s="1119"/>
    </row>
    <row r="431" spans="1:8">
      <c r="A431" s="1115"/>
      <c r="B431" s="1116"/>
      <c r="C431" s="1117"/>
      <c r="D431" s="1118"/>
      <c r="E431" s="1118"/>
      <c r="F431" s="1118"/>
      <c r="G431" s="80"/>
      <c r="H431" s="1119"/>
    </row>
    <row r="432" spans="1:8">
      <c r="A432" s="1115"/>
      <c r="B432" s="1116"/>
      <c r="C432" s="1117"/>
      <c r="D432" s="1118"/>
      <c r="E432" s="1118"/>
      <c r="F432" s="1118"/>
      <c r="G432" s="1118"/>
      <c r="H432" s="1119"/>
    </row>
    <row r="433" spans="1:8">
      <c r="A433" s="1115"/>
      <c r="B433" s="1116"/>
      <c r="C433" s="1117"/>
      <c r="D433" s="1118"/>
      <c r="E433" s="1118"/>
      <c r="F433" s="1118"/>
      <c r="G433" s="1118"/>
      <c r="H433" s="1119"/>
    </row>
    <row r="434" spans="1:8">
      <c r="A434" s="1115"/>
      <c r="B434" s="1116"/>
      <c r="C434" s="1117"/>
      <c r="D434" s="1118"/>
      <c r="E434" s="1118"/>
      <c r="F434" s="1118"/>
      <c r="G434" s="80"/>
      <c r="H434" s="1119"/>
    </row>
    <row r="435" spans="1:8">
      <c r="A435" s="1115"/>
      <c r="B435" s="1116"/>
      <c r="C435" s="1117"/>
      <c r="D435" s="1118"/>
      <c r="E435" s="1118"/>
      <c r="F435" s="1118"/>
      <c r="G435" s="1118"/>
      <c r="H435" s="1119"/>
    </row>
    <row r="436" spans="1:8">
      <c r="A436" s="1115"/>
      <c r="B436" s="1116"/>
      <c r="C436" s="1117"/>
      <c r="D436" s="1118"/>
      <c r="E436" s="1118"/>
      <c r="F436" s="1118"/>
      <c r="G436" s="80"/>
      <c r="H436" s="1119"/>
    </row>
    <row r="437" spans="1:8">
      <c r="A437" s="1115"/>
      <c r="B437" s="1116"/>
      <c r="C437" s="1117"/>
      <c r="D437" s="1118"/>
      <c r="E437" s="1118"/>
      <c r="F437" s="1118"/>
      <c r="G437" s="1118"/>
      <c r="H437" s="1119"/>
    </row>
    <row r="438" spans="1:8">
      <c r="A438" s="1115"/>
      <c r="B438" s="1116"/>
      <c r="C438" s="1117"/>
      <c r="D438" s="1118"/>
      <c r="E438" s="1118"/>
      <c r="F438" s="1118"/>
      <c r="G438" s="1118"/>
      <c r="H438" s="1119"/>
    </row>
    <row r="439" spans="1:8">
      <c r="A439" s="1115"/>
      <c r="B439" s="1116"/>
      <c r="C439" s="1117"/>
      <c r="D439" s="1118"/>
      <c r="E439" s="1118"/>
      <c r="F439" s="1118"/>
      <c r="G439" s="80"/>
      <c r="H439" s="1119"/>
    </row>
    <row r="440" spans="1:8">
      <c r="A440" s="1115"/>
      <c r="B440" s="1116"/>
      <c r="C440" s="1117"/>
      <c r="D440" s="1118"/>
      <c r="E440" s="1118"/>
      <c r="F440" s="1118"/>
      <c r="G440" s="1118"/>
      <c r="H440" s="1119"/>
    </row>
    <row r="441" spans="1:8">
      <c r="A441" s="1115"/>
      <c r="B441" s="1116"/>
      <c r="C441" s="1117"/>
      <c r="D441" s="1118"/>
      <c r="E441" s="1118"/>
      <c r="F441" s="1118"/>
      <c r="G441" s="1118"/>
      <c r="H441" s="1119"/>
    </row>
    <row r="442" spans="1:8">
      <c r="A442" s="1115"/>
      <c r="B442" s="1116"/>
      <c r="C442" s="1117"/>
      <c r="D442" s="1118"/>
      <c r="E442" s="1118"/>
      <c r="F442" s="1118"/>
      <c r="G442" s="80"/>
      <c r="H442" s="1119"/>
    </row>
    <row r="443" spans="1:8">
      <c r="A443" s="1115"/>
      <c r="B443" s="1116"/>
      <c r="C443" s="1117"/>
      <c r="D443" s="1118"/>
      <c r="E443" s="1118"/>
      <c r="F443" s="1118"/>
      <c r="G443" s="80"/>
      <c r="H443" s="1119"/>
    </row>
    <row r="444" spans="1:8">
      <c r="A444" s="1115"/>
      <c r="B444" s="1116"/>
      <c r="C444" s="1117"/>
      <c r="D444" s="1118"/>
      <c r="E444" s="1118"/>
      <c r="F444" s="1118"/>
      <c r="G444" s="1118"/>
      <c r="H444" s="1119"/>
    </row>
    <row r="445" spans="1:8">
      <c r="A445" s="1115"/>
      <c r="B445" s="1116"/>
      <c r="C445" s="1117"/>
      <c r="D445" s="1118"/>
      <c r="E445" s="1118"/>
      <c r="F445" s="1118"/>
      <c r="G445" s="1118"/>
      <c r="H445" s="1119"/>
    </row>
    <row r="446" spans="1:8">
      <c r="A446" s="1115"/>
      <c r="B446" s="1116"/>
      <c r="C446" s="1117"/>
      <c r="D446" s="1118"/>
      <c r="E446" s="1118"/>
      <c r="F446" s="1118"/>
      <c r="G446" s="80"/>
      <c r="H446" s="1119"/>
    </row>
    <row r="447" spans="1:8">
      <c r="A447" s="1115"/>
      <c r="B447" s="1116"/>
      <c r="C447" s="1117"/>
      <c r="D447" s="1118"/>
      <c r="E447" s="1118"/>
      <c r="F447" s="1118"/>
      <c r="G447" s="1118"/>
      <c r="H447" s="1119"/>
    </row>
    <row r="448" spans="1:8">
      <c r="A448" s="1115"/>
      <c r="B448" s="1116"/>
      <c r="C448" s="1117"/>
      <c r="D448" s="1118"/>
      <c r="E448" s="1118"/>
      <c r="F448" s="1118"/>
      <c r="G448" s="80"/>
      <c r="H448" s="1119"/>
    </row>
    <row r="449" spans="1:8">
      <c r="A449" s="1115"/>
      <c r="B449" s="1116"/>
      <c r="C449" s="1117"/>
      <c r="D449" s="1118"/>
      <c r="E449" s="1118"/>
      <c r="F449" s="1118"/>
      <c r="G449" s="1118"/>
      <c r="H449" s="1119"/>
    </row>
    <row r="450" spans="1:8">
      <c r="A450" s="1115"/>
      <c r="B450" s="1116"/>
      <c r="C450" s="1117"/>
      <c r="D450" s="1118"/>
      <c r="E450" s="1118"/>
      <c r="F450" s="1118"/>
      <c r="G450" s="80"/>
      <c r="H450" s="1119"/>
    </row>
    <row r="451" spans="1:8">
      <c r="A451" s="1115"/>
      <c r="B451" s="1116"/>
      <c r="C451" s="1117"/>
      <c r="D451" s="1118"/>
      <c r="E451" s="1118"/>
      <c r="F451" s="1118"/>
      <c r="G451" s="1118"/>
      <c r="H451" s="1119"/>
    </row>
    <row r="452" spans="1:8">
      <c r="A452" s="1115"/>
      <c r="B452" s="1116"/>
      <c r="C452" s="1117"/>
      <c r="D452" s="1118"/>
      <c r="E452" s="1118"/>
      <c r="F452" s="1118"/>
      <c r="G452" s="1118"/>
      <c r="H452" s="1119"/>
    </row>
    <row r="453" spans="1:8">
      <c r="A453" s="1115"/>
      <c r="B453" s="1116"/>
      <c r="C453" s="1117"/>
      <c r="D453" s="1118"/>
      <c r="E453" s="1118"/>
      <c r="F453" s="1118"/>
      <c r="G453" s="80"/>
      <c r="H453" s="1119"/>
    </row>
    <row r="454" spans="1:8">
      <c r="A454" s="1115"/>
      <c r="B454" s="1116"/>
      <c r="C454" s="1117"/>
      <c r="D454" s="1118"/>
      <c r="E454" s="1118"/>
      <c r="F454" s="1118"/>
      <c r="G454" s="1118"/>
      <c r="H454" s="1119"/>
    </row>
    <row r="455" spans="1:8">
      <c r="A455" s="1115"/>
      <c r="B455" s="1116"/>
      <c r="C455" s="1117"/>
      <c r="D455" s="1118"/>
      <c r="E455" s="1118"/>
      <c r="F455" s="1118"/>
      <c r="G455" s="1118"/>
      <c r="H455" s="1119"/>
    </row>
    <row r="456" spans="1:8">
      <c r="A456" s="1115"/>
      <c r="B456" s="1116"/>
      <c r="C456" s="1117"/>
      <c r="D456" s="1118"/>
      <c r="E456" s="1118"/>
      <c r="F456" s="1118"/>
      <c r="G456" s="80"/>
      <c r="H456" s="1119"/>
    </row>
    <row r="457" spans="1:8">
      <c r="A457" s="1115"/>
      <c r="B457" s="1116"/>
      <c r="C457" s="1117"/>
      <c r="D457" s="1118"/>
      <c r="E457" s="1118"/>
      <c r="F457" s="1118"/>
      <c r="G457" s="80"/>
      <c r="H457" s="1119"/>
    </row>
    <row r="458" spans="1:8">
      <c r="A458" s="1115"/>
      <c r="B458" s="1116"/>
      <c r="C458" s="1117"/>
      <c r="D458" s="1118"/>
      <c r="E458" s="1118"/>
      <c r="F458" s="1118"/>
      <c r="G458" s="1118"/>
      <c r="H458" s="1119"/>
    </row>
    <row r="459" spans="1:8">
      <c r="A459" s="1115"/>
      <c r="B459" s="1116"/>
      <c r="C459" s="1117"/>
      <c r="D459" s="1118"/>
      <c r="E459" s="1118"/>
      <c r="F459" s="1118"/>
      <c r="G459" s="1118"/>
      <c r="H459" s="1119"/>
    </row>
    <row r="460" spans="1:8">
      <c r="A460" s="1115"/>
      <c r="B460" s="1116"/>
      <c r="C460" s="1117"/>
      <c r="D460" s="1118"/>
      <c r="E460" s="1118"/>
      <c r="F460" s="1118"/>
      <c r="G460" s="80"/>
      <c r="H460" s="1119"/>
    </row>
    <row r="461" spans="1:8">
      <c r="A461" s="1115"/>
      <c r="B461" s="1116"/>
      <c r="C461" s="1117"/>
      <c r="D461" s="1118"/>
      <c r="E461" s="1118"/>
      <c r="F461" s="1118"/>
      <c r="G461" s="1118"/>
      <c r="H461" s="1119"/>
    </row>
    <row r="462" spans="1:8">
      <c r="A462" s="1115"/>
      <c r="B462" s="1116"/>
      <c r="C462" s="1117"/>
      <c r="D462" s="1118"/>
      <c r="E462" s="1118"/>
      <c r="F462" s="1118"/>
      <c r="G462" s="80"/>
      <c r="H462" s="1119"/>
    </row>
    <row r="463" spans="1:8">
      <c r="A463" s="1115"/>
      <c r="B463" s="1116"/>
      <c r="C463" s="1117"/>
      <c r="D463" s="1118"/>
      <c r="E463" s="1118"/>
      <c r="F463" s="1118"/>
      <c r="G463" s="1118"/>
      <c r="H463" s="1119"/>
    </row>
    <row r="464" spans="1:8">
      <c r="A464" s="1115"/>
      <c r="B464" s="1116"/>
      <c r="C464" s="1117"/>
      <c r="D464" s="1118"/>
      <c r="E464" s="1118"/>
      <c r="F464" s="1118"/>
      <c r="G464" s="1118"/>
      <c r="H464" s="1119"/>
    </row>
    <row r="465" spans="1:8">
      <c r="A465" s="1115"/>
      <c r="B465" s="1116"/>
      <c r="C465" s="1117"/>
      <c r="D465" s="1118"/>
      <c r="E465" s="1118"/>
      <c r="F465" s="1118"/>
      <c r="G465" s="80"/>
      <c r="H465" s="1119"/>
    </row>
    <row r="466" spans="1:8">
      <c r="A466" s="1115"/>
      <c r="B466" s="1116"/>
      <c r="C466" s="1117"/>
      <c r="D466" s="1118"/>
      <c r="E466" s="1118"/>
      <c r="F466" s="1118"/>
      <c r="G466" s="1118"/>
      <c r="H466" s="1119"/>
    </row>
    <row r="467" spans="1:8">
      <c r="A467" s="1115"/>
      <c r="B467" s="1116"/>
      <c r="C467" s="1117"/>
      <c r="D467" s="1118"/>
      <c r="E467" s="1118"/>
      <c r="F467" s="1118"/>
      <c r="G467" s="1118"/>
      <c r="H467" s="1119"/>
    </row>
    <row r="468" spans="1:8">
      <c r="A468" s="1115"/>
      <c r="B468" s="1116"/>
      <c r="C468" s="1117"/>
      <c r="D468" s="1118"/>
      <c r="E468" s="1118"/>
      <c r="F468" s="1118"/>
      <c r="G468" s="80"/>
      <c r="H468" s="1119"/>
    </row>
    <row r="469" spans="1:8">
      <c r="A469" s="1115"/>
      <c r="B469" s="1116"/>
      <c r="C469" s="1117"/>
      <c r="D469" s="1118"/>
      <c r="E469" s="1118"/>
      <c r="F469" s="1118"/>
      <c r="G469" s="80"/>
      <c r="H469" s="1119"/>
    </row>
    <row r="470" spans="1:8">
      <c r="A470" s="1115"/>
      <c r="B470" s="1116"/>
      <c r="C470" s="1117"/>
      <c r="D470" s="1118"/>
      <c r="E470" s="1118"/>
      <c r="F470" s="1118"/>
      <c r="G470" s="1118"/>
      <c r="H470" s="1119"/>
    </row>
    <row r="471" spans="1:8">
      <c r="A471" s="1115"/>
      <c r="B471" s="1116"/>
      <c r="C471" s="1117"/>
      <c r="D471" s="1118"/>
      <c r="E471" s="1118"/>
      <c r="F471" s="1118"/>
      <c r="G471" s="1118"/>
      <c r="H471" s="1119"/>
    </row>
    <row r="472" spans="1:8">
      <c r="A472" s="1115"/>
      <c r="B472" s="1116"/>
      <c r="C472" s="1117"/>
      <c r="D472" s="1118"/>
      <c r="E472" s="1118"/>
      <c r="F472" s="1118"/>
      <c r="G472" s="1118"/>
      <c r="H472" s="1119"/>
    </row>
    <row r="473" spans="1:8">
      <c r="A473" s="1115"/>
      <c r="B473" s="1116"/>
      <c r="C473" s="1117"/>
      <c r="D473" s="1118"/>
      <c r="E473" s="1118"/>
      <c r="F473" s="1118"/>
      <c r="G473" s="80"/>
      <c r="H473" s="1119"/>
    </row>
    <row r="474" spans="1:8">
      <c r="A474" s="1115"/>
      <c r="B474" s="1116"/>
      <c r="C474" s="1117"/>
      <c r="D474" s="1118"/>
      <c r="E474" s="1118"/>
      <c r="F474" s="1118"/>
      <c r="G474" s="1118"/>
      <c r="H474" s="1119"/>
    </row>
    <row r="475" spans="1:8">
      <c r="A475" s="1115"/>
      <c r="B475" s="1116"/>
      <c r="C475" s="1117"/>
      <c r="D475" s="1118"/>
      <c r="E475" s="1118"/>
      <c r="F475" s="1118"/>
      <c r="G475" s="80"/>
      <c r="H475" s="1119"/>
    </row>
    <row r="476" spans="1:8">
      <c r="A476" s="1115"/>
      <c r="B476" s="1116"/>
      <c r="C476" s="1117"/>
      <c r="D476" s="1118"/>
      <c r="E476" s="1118"/>
      <c r="F476" s="1118"/>
      <c r="G476" s="80"/>
      <c r="H476" s="1119"/>
    </row>
    <row r="477" spans="1:8">
      <c r="A477" s="1115"/>
      <c r="B477" s="1116"/>
      <c r="C477" s="1117"/>
      <c r="D477" s="1118"/>
      <c r="E477" s="1118"/>
      <c r="F477" s="1118"/>
      <c r="G477" s="80"/>
      <c r="H477" s="1119"/>
    </row>
    <row r="478" spans="1:8">
      <c r="A478" s="1115"/>
      <c r="B478" s="1116"/>
      <c r="C478" s="1117"/>
      <c r="D478" s="1118"/>
      <c r="E478" s="1118"/>
      <c r="F478" s="1118"/>
      <c r="G478" s="80"/>
      <c r="H478" s="1119"/>
    </row>
    <row r="479" spans="1:8">
      <c r="A479" s="1115"/>
      <c r="B479" s="1116"/>
      <c r="C479" s="1117"/>
      <c r="D479" s="1118"/>
      <c r="E479" s="1118"/>
      <c r="F479" s="1118"/>
      <c r="G479" s="80"/>
      <c r="H479" s="1119"/>
    </row>
    <row r="480" spans="1:8">
      <c r="A480" s="1115"/>
      <c r="B480" s="1116"/>
      <c r="C480" s="1117"/>
      <c r="D480" s="1118"/>
      <c r="E480" s="1118"/>
      <c r="F480" s="1118"/>
      <c r="G480" s="80"/>
      <c r="H480" s="1119"/>
    </row>
    <row r="481" spans="1:8">
      <c r="A481" s="1115"/>
      <c r="B481" s="1116"/>
      <c r="C481" s="1117"/>
      <c r="D481" s="1118"/>
      <c r="E481" s="1118"/>
      <c r="F481" s="1118"/>
      <c r="G481" s="80"/>
      <c r="H481" s="1119"/>
    </row>
    <row r="482" spans="1:8">
      <c r="A482" s="1115"/>
      <c r="B482" s="1116"/>
      <c r="C482" s="1117"/>
      <c r="D482" s="1118"/>
      <c r="E482" s="1118"/>
      <c r="F482" s="1118"/>
      <c r="G482" s="80"/>
      <c r="H482" s="1119"/>
    </row>
    <row r="483" spans="1:8">
      <c r="A483" s="1115"/>
      <c r="B483" s="1116"/>
      <c r="C483" s="1117"/>
      <c r="D483" s="1118"/>
      <c r="E483" s="1118"/>
      <c r="F483" s="1118"/>
      <c r="G483" s="80"/>
      <c r="H483" s="1119"/>
    </row>
    <row r="484" spans="1:8">
      <c r="A484" s="1115"/>
      <c r="B484" s="1116"/>
      <c r="C484" s="1117"/>
      <c r="D484" s="1118"/>
      <c r="E484" s="1118"/>
      <c r="F484" s="1118"/>
      <c r="G484" s="80"/>
      <c r="H484" s="1119"/>
    </row>
    <row r="485" spans="1:8">
      <c r="A485" s="1115"/>
      <c r="B485" s="1116"/>
      <c r="C485" s="1117"/>
      <c r="D485" s="1118"/>
      <c r="E485" s="1118"/>
      <c r="F485" s="1118"/>
      <c r="G485" s="1118"/>
      <c r="H485" s="1119"/>
    </row>
    <row r="486" spans="1:8">
      <c r="A486" s="1115"/>
      <c r="B486" s="1116"/>
      <c r="C486" s="1117"/>
      <c r="D486" s="1118"/>
      <c r="E486" s="1118"/>
      <c r="F486" s="1118"/>
      <c r="G486" s="1118"/>
      <c r="H486" s="1119"/>
    </row>
    <row r="487" spans="1:8">
      <c r="A487" s="1115"/>
      <c r="B487" s="1116"/>
      <c r="C487" s="1117"/>
      <c r="D487" s="1118"/>
      <c r="E487" s="1118"/>
      <c r="F487" s="1118"/>
      <c r="G487" s="1118"/>
      <c r="H487" s="1119"/>
    </row>
    <row r="488" spans="1:8">
      <c r="A488" s="1115"/>
      <c r="B488" s="1116"/>
      <c r="C488" s="1117"/>
      <c r="D488" s="1118"/>
      <c r="E488" s="1118"/>
      <c r="F488" s="1118"/>
      <c r="G488" s="80"/>
      <c r="H488" s="1119"/>
    </row>
    <row r="489" spans="1:8">
      <c r="A489" s="1115"/>
      <c r="B489" s="1116"/>
      <c r="C489" s="1117"/>
      <c r="D489" s="1118"/>
      <c r="E489" s="1118"/>
      <c r="F489" s="1118"/>
      <c r="G489" s="80"/>
      <c r="H489" s="1119"/>
    </row>
    <row r="490" spans="1:8">
      <c r="A490" s="1115"/>
      <c r="B490" s="1116"/>
      <c r="C490" s="1117"/>
      <c r="D490" s="1118"/>
      <c r="E490" s="1118"/>
      <c r="F490" s="1118"/>
      <c r="G490" s="80"/>
      <c r="H490" s="1119"/>
    </row>
    <row r="491" spans="1:8">
      <c r="A491" s="1115"/>
      <c r="B491" s="1116"/>
      <c r="C491" s="1117"/>
      <c r="D491" s="1118"/>
      <c r="E491" s="1118"/>
      <c r="F491" s="1118"/>
      <c r="G491" s="1118"/>
      <c r="H491" s="1119"/>
    </row>
    <row r="492" spans="1:8">
      <c r="A492" s="1115"/>
      <c r="B492" s="1116"/>
      <c r="C492" s="1117"/>
      <c r="D492" s="1118"/>
      <c r="E492" s="1118"/>
      <c r="F492" s="1118"/>
      <c r="G492" s="1118"/>
      <c r="H492" s="1119"/>
    </row>
    <row r="493" spans="1:8">
      <c r="A493" s="1115"/>
      <c r="B493" s="1116"/>
      <c r="C493" s="1117"/>
      <c r="D493" s="1118"/>
      <c r="E493" s="1118"/>
      <c r="F493" s="1118"/>
      <c r="G493" s="1118"/>
      <c r="H493" s="1119"/>
    </row>
    <row r="494" spans="1:8">
      <c r="A494" s="1115"/>
      <c r="B494" s="1116"/>
      <c r="C494" s="1117"/>
      <c r="D494" s="1118"/>
      <c r="E494" s="1118"/>
      <c r="F494" s="1118"/>
      <c r="G494" s="80"/>
      <c r="H494" s="1119"/>
    </row>
    <row r="495" spans="1:8">
      <c r="A495" s="1115"/>
      <c r="B495" s="1116"/>
      <c r="C495" s="1117"/>
      <c r="D495" s="1118"/>
      <c r="E495" s="1118"/>
      <c r="F495" s="1118"/>
      <c r="G495" s="1118"/>
      <c r="H495" s="1119"/>
    </row>
    <row r="496" spans="1:8">
      <c r="A496" s="1115"/>
      <c r="B496" s="1116"/>
      <c r="C496" s="1117"/>
      <c r="D496" s="1118"/>
      <c r="E496" s="1118"/>
      <c r="F496" s="1118"/>
      <c r="G496" s="1118"/>
      <c r="H496" s="1119"/>
    </row>
    <row r="497" spans="1:8">
      <c r="A497" s="1115"/>
      <c r="B497" s="1116"/>
      <c r="C497" s="1117"/>
      <c r="D497" s="1118"/>
      <c r="E497" s="1118"/>
      <c r="F497" s="1118"/>
      <c r="G497" s="80"/>
      <c r="H497" s="1119"/>
    </row>
    <row r="498" spans="1:8">
      <c r="A498" s="1115"/>
      <c r="B498" s="1116"/>
      <c r="C498" s="1117"/>
      <c r="D498" s="1118"/>
      <c r="E498" s="1118"/>
      <c r="F498" s="1118"/>
      <c r="G498" s="1118"/>
      <c r="H498" s="1119"/>
    </row>
    <row r="499" spans="1:8">
      <c r="A499" s="1115"/>
      <c r="B499" s="1116"/>
      <c r="C499" s="1117"/>
      <c r="D499" s="1118"/>
      <c r="E499" s="1118"/>
      <c r="F499" s="1118"/>
      <c r="G499" s="1118"/>
      <c r="H499" s="1119"/>
    </row>
    <row r="500" spans="1:8">
      <c r="A500" s="1115"/>
      <c r="B500" s="1116"/>
      <c r="C500" s="1117"/>
      <c r="D500" s="1118"/>
      <c r="E500" s="1118"/>
      <c r="F500" s="1118"/>
      <c r="G500" s="80"/>
      <c r="H500" s="1119"/>
    </row>
    <row r="501" spans="1:8">
      <c r="A501" s="1115"/>
      <c r="B501" s="1116"/>
      <c r="C501" s="1117"/>
      <c r="D501" s="1118"/>
      <c r="E501" s="1118"/>
      <c r="F501" s="1118"/>
      <c r="G501" s="80"/>
      <c r="H501" s="1119"/>
    </row>
    <row r="502" spans="1:8">
      <c r="A502" s="1115"/>
      <c r="B502" s="1116"/>
      <c r="C502" s="1117"/>
      <c r="D502" s="1118"/>
      <c r="E502" s="1118"/>
      <c r="F502" s="1118"/>
      <c r="G502" s="1118"/>
      <c r="H502" s="1119"/>
    </row>
    <row r="503" spans="1:8">
      <c r="A503" s="1115"/>
      <c r="B503" s="1116"/>
      <c r="C503" s="1117"/>
      <c r="D503" s="1118"/>
      <c r="E503" s="1118"/>
      <c r="F503" s="1118"/>
      <c r="G503" s="1118"/>
      <c r="H503" s="1119"/>
    </row>
    <row r="504" spans="1:8">
      <c r="A504" s="1115"/>
      <c r="B504" s="1116"/>
      <c r="C504" s="1117"/>
      <c r="D504" s="1118"/>
      <c r="E504" s="1118"/>
      <c r="F504" s="1118"/>
      <c r="G504" s="80"/>
      <c r="H504" s="1119"/>
    </row>
    <row r="505" spans="1:8">
      <c r="A505" s="1115"/>
      <c r="B505" s="1116"/>
      <c r="C505" s="1117"/>
      <c r="D505" s="1118"/>
      <c r="E505" s="1118"/>
      <c r="F505" s="1118"/>
      <c r="G505" s="1118"/>
      <c r="H505" s="1119"/>
    </row>
    <row r="506" spans="1:8">
      <c r="A506" s="1115"/>
      <c r="B506" s="1116"/>
      <c r="C506" s="1117"/>
      <c r="D506" s="1118"/>
      <c r="E506" s="1118"/>
      <c r="F506" s="1118"/>
      <c r="G506" s="1118"/>
      <c r="H506" s="1119"/>
    </row>
    <row r="507" spans="1:8">
      <c r="A507" s="1115"/>
      <c r="B507" s="1116"/>
      <c r="C507" s="1117"/>
      <c r="D507" s="1118"/>
      <c r="E507" s="1118"/>
      <c r="F507" s="1118"/>
      <c r="G507" s="80"/>
      <c r="H507" s="1119"/>
    </row>
    <row r="508" spans="1:8">
      <c r="A508" s="1115"/>
      <c r="B508" s="1116"/>
      <c r="C508" s="1117"/>
      <c r="D508" s="1118"/>
      <c r="E508" s="1118"/>
      <c r="F508" s="1118"/>
      <c r="G508" s="1118"/>
      <c r="H508" s="1119"/>
    </row>
    <row r="509" spans="1:8">
      <c r="A509" s="1115"/>
      <c r="B509" s="1116"/>
      <c r="C509" s="1117"/>
      <c r="D509" s="1118"/>
      <c r="E509" s="1118"/>
      <c r="F509" s="1118"/>
      <c r="G509" s="1118"/>
      <c r="H509" s="1119"/>
    </row>
    <row r="510" spans="1:8">
      <c r="A510" s="1115"/>
      <c r="B510" s="1116"/>
      <c r="C510" s="1117"/>
      <c r="D510" s="1118"/>
      <c r="E510" s="1118"/>
      <c r="F510" s="1118"/>
      <c r="G510" s="80"/>
      <c r="H510" s="1119"/>
    </row>
    <row r="511" spans="1:8">
      <c r="A511" s="1115"/>
      <c r="B511" s="1116"/>
      <c r="C511" s="1117"/>
      <c r="D511" s="1118"/>
      <c r="E511" s="1118"/>
      <c r="F511" s="1118"/>
      <c r="G511" s="80"/>
      <c r="H511" s="1119"/>
    </row>
    <row r="512" spans="1:8">
      <c r="A512" s="1115"/>
      <c r="B512" s="1116"/>
      <c r="C512" s="1117"/>
      <c r="D512" s="1118"/>
      <c r="E512" s="1118"/>
      <c r="F512" s="1118"/>
      <c r="G512" s="1118"/>
      <c r="H512" s="1119"/>
    </row>
    <row r="513" spans="1:8">
      <c r="A513" s="1115"/>
      <c r="B513" s="1116"/>
      <c r="C513" s="1117"/>
      <c r="D513" s="1118"/>
      <c r="E513" s="1118"/>
      <c r="F513" s="1118"/>
      <c r="G513" s="1118"/>
      <c r="H513" s="1119"/>
    </row>
    <row r="514" spans="1:8">
      <c r="A514" s="1115"/>
      <c r="B514" s="1116"/>
      <c r="C514" s="1117"/>
      <c r="D514" s="1118"/>
      <c r="E514" s="1118"/>
      <c r="F514" s="1118"/>
      <c r="G514" s="1118"/>
      <c r="H514" s="1119"/>
    </row>
    <row r="515" spans="1:8">
      <c r="A515" s="1115"/>
      <c r="B515" s="1116"/>
      <c r="C515" s="1117"/>
      <c r="D515" s="1118"/>
      <c r="E515" s="1118"/>
      <c r="F515" s="1118"/>
      <c r="G515" s="80"/>
      <c r="H515" s="1119"/>
    </row>
    <row r="516" spans="1:8">
      <c r="A516" s="1115"/>
      <c r="B516" s="1116"/>
      <c r="C516" s="1117"/>
      <c r="D516" s="1118"/>
      <c r="E516" s="1118"/>
      <c r="F516" s="1118"/>
      <c r="G516" s="80"/>
      <c r="H516" s="1119"/>
    </row>
    <row r="517" spans="1:8">
      <c r="A517" s="1115"/>
      <c r="B517" s="1116"/>
      <c r="C517" s="1117"/>
      <c r="D517" s="1118"/>
      <c r="E517" s="1118"/>
      <c r="F517" s="1118"/>
      <c r="G517" s="1118"/>
      <c r="H517" s="1119"/>
    </row>
    <row r="518" spans="1:8">
      <c r="A518" s="1115"/>
      <c r="B518" s="1116"/>
      <c r="C518" s="1117"/>
      <c r="D518" s="1118"/>
      <c r="E518" s="1118"/>
      <c r="F518" s="1118"/>
      <c r="G518" s="1118"/>
      <c r="H518" s="1119"/>
    </row>
    <row r="519" spans="1:8">
      <c r="A519" s="1115"/>
      <c r="B519" s="1116"/>
      <c r="C519" s="1117"/>
      <c r="D519" s="1118"/>
      <c r="E519" s="1118"/>
      <c r="F519" s="1118"/>
      <c r="G519" s="80"/>
      <c r="H519" s="1119"/>
    </row>
    <row r="520" spans="1:8">
      <c r="A520" s="1115"/>
      <c r="B520" s="1116"/>
      <c r="C520" s="1117"/>
      <c r="D520" s="1118"/>
      <c r="E520" s="1118"/>
      <c r="F520" s="1118"/>
      <c r="G520" s="1118"/>
      <c r="H520" s="1119"/>
    </row>
    <row r="521" spans="1:8">
      <c r="A521" s="1115"/>
      <c r="B521" s="1116"/>
      <c r="C521" s="1117"/>
      <c r="D521" s="1118"/>
      <c r="E521" s="1118"/>
      <c r="F521" s="1118"/>
      <c r="G521" s="80"/>
      <c r="H521" s="1119"/>
    </row>
    <row r="522" spans="1:8">
      <c r="A522" s="1115"/>
      <c r="B522" s="1116"/>
      <c r="C522" s="1117"/>
      <c r="D522" s="1118"/>
      <c r="E522" s="1118"/>
      <c r="F522" s="1118"/>
      <c r="G522" s="1118"/>
      <c r="H522" s="1119"/>
    </row>
    <row r="523" spans="1:8">
      <c r="A523" s="1115"/>
      <c r="B523" s="1116"/>
      <c r="C523" s="1117"/>
      <c r="D523" s="1118"/>
      <c r="E523" s="1118"/>
      <c r="F523" s="1118"/>
      <c r="G523" s="80"/>
      <c r="H523" s="1119"/>
    </row>
    <row r="524" spans="1:8">
      <c r="A524" s="1115"/>
      <c r="B524" s="1116"/>
      <c r="C524" s="1117"/>
      <c r="D524" s="1118"/>
      <c r="E524" s="1118"/>
      <c r="F524" s="1118"/>
      <c r="G524" s="80"/>
      <c r="H524" s="1119"/>
    </row>
    <row r="525" spans="1:8">
      <c r="A525" s="1115"/>
      <c r="B525" s="1116"/>
      <c r="C525" s="1117"/>
      <c r="D525" s="1118"/>
      <c r="E525" s="1118"/>
      <c r="F525" s="1118"/>
      <c r="G525" s="80"/>
      <c r="H525" s="1119"/>
    </row>
    <row r="526" spans="1:8">
      <c r="A526" s="1115"/>
      <c r="B526" s="1116"/>
      <c r="C526" s="1117"/>
      <c r="D526" s="1118"/>
      <c r="E526" s="1118"/>
      <c r="F526" s="1118"/>
      <c r="G526" s="1118"/>
      <c r="H526" s="1119"/>
    </row>
    <row r="527" spans="1:8">
      <c r="A527" s="1115"/>
      <c r="B527" s="1116"/>
      <c r="C527" s="1117"/>
      <c r="D527" s="1118"/>
      <c r="E527" s="1118"/>
      <c r="F527" s="1118"/>
      <c r="G527" s="1118"/>
      <c r="H527" s="1119"/>
    </row>
    <row r="528" spans="1:8">
      <c r="A528" s="1115"/>
      <c r="B528" s="1116"/>
      <c r="C528" s="1117"/>
      <c r="D528" s="1118"/>
      <c r="E528" s="1118"/>
      <c r="F528" s="1118"/>
      <c r="G528" s="80"/>
      <c r="H528" s="1119"/>
    </row>
    <row r="529" spans="1:6">
      <c r="A529" s="977"/>
      <c r="B529" s="978"/>
      <c r="C529" s="979"/>
      <c r="D529" s="980"/>
      <c r="E529" s="980"/>
      <c r="F529" s="980"/>
    </row>
  </sheetData>
  <mergeCells count="2">
    <mergeCell ref="A1:F1"/>
    <mergeCell ref="A2:F2"/>
  </mergeCells>
  <pageMargins left="0.7" right="0.24" top="0.27" bottom="0.2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7">
    <tabColor rgb="FFFFFF00"/>
  </sheetPr>
  <dimension ref="A1:F787"/>
  <sheetViews>
    <sheetView showGridLines="0" tabSelected="1" defaultGridColor="0" colorId="9" workbookViewId="0">
      <pane xSplit="5" ySplit="3" topLeftCell="F148" activePane="bottomRight" state="frozen"/>
      <selection activeCell="D9" sqref="D9"/>
      <selection pane="topRight" activeCell="D9" sqref="D9"/>
      <selection pane="bottomLeft" activeCell="D9" sqref="D9"/>
      <selection pane="bottomRight" activeCell="B158" sqref="B158"/>
    </sheetView>
  </sheetViews>
  <sheetFormatPr defaultColWidth="0" defaultRowHeight="16.5"/>
  <cols>
    <col min="1" max="1" width="13.109375" style="77" customWidth="1"/>
    <col min="2" max="2" width="64.88671875" style="84" customWidth="1"/>
    <col min="3" max="3" width="9.44140625" style="177" customWidth="1"/>
    <col min="4" max="4" width="31.109375" style="29" customWidth="1"/>
    <col min="5" max="5" width="2.5546875" style="29" customWidth="1"/>
    <col min="6" max="16384" width="8.88671875" style="29" hidden="1"/>
  </cols>
  <sheetData>
    <row r="1" spans="1:6">
      <c r="A1" s="1447" t="str">
        <f>Nhattrinh!E1</f>
        <v xml:space="preserve">     Công trình: Gia cố nâng cấp kênh Bà Xoài từ K0+300÷K0+600 - Hệ thống thủy lợi Nha Trinh, huyện Ninh Hải, tỉnh Ninh Thuận</v>
      </c>
      <c r="B1" s="1447"/>
      <c r="C1" s="175"/>
      <c r="D1" s="175"/>
    </row>
    <row r="2" spans="1:6">
      <c r="A2" s="1447" t="str">
        <f>Nhattrinh!E2</f>
        <v xml:space="preserve">     Địa điểm XD: Huyện Ninh Hải - Tỉnh Ninh Thuận</v>
      </c>
      <c r="B2" s="1447"/>
      <c r="C2" s="175"/>
      <c r="D2" s="175"/>
    </row>
    <row r="3" spans="1:6" ht="28.5">
      <c r="A3" s="82" t="s">
        <v>22</v>
      </c>
      <c r="B3" s="83" t="s">
        <v>23</v>
      </c>
      <c r="C3" s="176" t="s">
        <v>425</v>
      </c>
      <c r="D3" s="83" t="s">
        <v>1098</v>
      </c>
    </row>
    <row r="4" spans="1:6">
      <c r="A4" s="1274" t="s">
        <v>169</v>
      </c>
      <c r="B4" s="1275" t="s">
        <v>4242</v>
      </c>
      <c r="C4" s="1279">
        <v>43954</v>
      </c>
      <c r="D4" s="1280"/>
      <c r="E4" s="185"/>
      <c r="F4" s="185"/>
    </row>
    <row r="5" spans="1:6">
      <c r="A5" s="1274" t="s">
        <v>267</v>
      </c>
      <c r="B5" s="1276" t="s">
        <v>6252</v>
      </c>
      <c r="C5" s="1282">
        <v>43954</v>
      </c>
      <c r="D5" s="1283"/>
      <c r="E5" s="185"/>
      <c r="F5" s="185"/>
    </row>
    <row r="6" spans="1:6">
      <c r="A6" s="1274" t="s">
        <v>367</v>
      </c>
      <c r="B6" s="1277" t="s">
        <v>5905</v>
      </c>
      <c r="C6" s="1282">
        <v>43954</v>
      </c>
      <c r="D6" s="1283"/>
      <c r="E6" s="185"/>
      <c r="F6" s="185"/>
    </row>
    <row r="7" spans="1:6">
      <c r="A7" s="1274" t="s">
        <v>169</v>
      </c>
      <c r="B7" s="1275" t="s">
        <v>5906</v>
      </c>
      <c r="C7" s="1282">
        <v>43955</v>
      </c>
      <c r="D7" s="1283"/>
      <c r="E7" s="185"/>
      <c r="F7" s="185"/>
    </row>
    <row r="8" spans="1:6">
      <c r="A8" s="1274" t="s">
        <v>169</v>
      </c>
      <c r="B8" s="1275" t="s">
        <v>5906</v>
      </c>
      <c r="C8" s="1282">
        <v>43956</v>
      </c>
      <c r="D8" s="1283"/>
      <c r="E8" s="185"/>
      <c r="F8" s="185"/>
    </row>
    <row r="9" spans="1:6">
      <c r="A9" s="1274" t="s">
        <v>169</v>
      </c>
      <c r="B9" s="1275" t="s">
        <v>5906</v>
      </c>
      <c r="C9" s="1282">
        <v>43957</v>
      </c>
      <c r="D9" s="1283"/>
      <c r="E9" s="185"/>
      <c r="F9" s="185"/>
    </row>
    <row r="10" spans="1:6">
      <c r="A10" s="1274" t="s">
        <v>267</v>
      </c>
      <c r="B10" s="1276" t="s">
        <v>6251</v>
      </c>
      <c r="C10" s="1282">
        <v>43957</v>
      </c>
      <c r="D10" s="1283"/>
      <c r="E10" s="185"/>
      <c r="F10" s="185"/>
    </row>
    <row r="11" spans="1:6">
      <c r="A11" s="1274" t="s">
        <v>311</v>
      </c>
      <c r="B11" s="1276" t="s">
        <v>6250</v>
      </c>
      <c r="C11" s="1282">
        <v>43957</v>
      </c>
      <c r="D11" s="1283"/>
      <c r="E11" s="185"/>
      <c r="F11" s="185"/>
    </row>
    <row r="12" spans="1:6">
      <c r="A12" s="1274" t="s">
        <v>169</v>
      </c>
      <c r="B12" s="1275" t="s">
        <v>5909</v>
      </c>
      <c r="C12" s="1282">
        <v>43957</v>
      </c>
      <c r="D12" s="1283"/>
      <c r="E12" s="185"/>
      <c r="F12" s="185"/>
    </row>
    <row r="13" spans="1:6">
      <c r="A13" s="1274" t="s">
        <v>169</v>
      </c>
      <c r="B13" s="1275" t="s">
        <v>5909</v>
      </c>
      <c r="C13" s="1282">
        <v>43958</v>
      </c>
      <c r="D13" s="1283"/>
      <c r="E13" s="185"/>
      <c r="F13" s="185"/>
    </row>
    <row r="14" spans="1:6">
      <c r="A14" s="1274" t="s">
        <v>282</v>
      </c>
      <c r="B14" s="1275" t="s">
        <v>5909</v>
      </c>
      <c r="C14" s="1282">
        <v>43958</v>
      </c>
      <c r="D14" s="1283"/>
      <c r="E14" s="185"/>
      <c r="F14" s="185"/>
    </row>
    <row r="15" spans="1:6">
      <c r="A15" s="1274" t="s">
        <v>282</v>
      </c>
      <c r="B15" s="1276" t="s">
        <v>6271</v>
      </c>
      <c r="C15" s="1282">
        <v>43958</v>
      </c>
      <c r="D15" s="1283"/>
      <c r="E15" s="185"/>
      <c r="F15" s="185"/>
    </row>
    <row r="16" spans="1:6" ht="33">
      <c r="A16" s="1274" t="s">
        <v>346</v>
      </c>
      <c r="B16" s="1275" t="s">
        <v>6006</v>
      </c>
      <c r="C16" s="1282">
        <v>43958</v>
      </c>
      <c r="D16" s="1283"/>
      <c r="E16" s="185"/>
      <c r="F16" s="185"/>
    </row>
    <row r="17" spans="1:6" ht="33">
      <c r="A17" s="1274" t="s">
        <v>346</v>
      </c>
      <c r="B17" s="1275" t="s">
        <v>6007</v>
      </c>
      <c r="C17" s="1282">
        <v>43959</v>
      </c>
      <c r="D17" s="1283"/>
      <c r="E17" s="185"/>
      <c r="F17" s="185"/>
    </row>
    <row r="18" spans="1:6" ht="33">
      <c r="A18" s="1274" t="s">
        <v>346</v>
      </c>
      <c r="B18" s="1276" t="s">
        <v>6270</v>
      </c>
      <c r="C18" s="1282">
        <v>43959</v>
      </c>
      <c r="D18" s="1283"/>
      <c r="E18" s="185"/>
      <c r="F18" s="185"/>
    </row>
    <row r="19" spans="1:6">
      <c r="A19" s="1274" t="s">
        <v>1240</v>
      </c>
      <c r="B19" s="1275" t="s">
        <v>6008</v>
      </c>
      <c r="C19" s="1282">
        <v>43959</v>
      </c>
      <c r="D19" s="1283" t="s">
        <v>3867</v>
      </c>
      <c r="E19" s="185"/>
      <c r="F19" s="185"/>
    </row>
    <row r="20" spans="1:6">
      <c r="A20" s="1274" t="s">
        <v>1240</v>
      </c>
      <c r="B20" s="1275" t="s">
        <v>6008</v>
      </c>
      <c r="C20" s="1282">
        <v>43960</v>
      </c>
      <c r="D20" s="1283" t="s">
        <v>3867</v>
      </c>
      <c r="E20" s="185"/>
      <c r="F20" s="185"/>
    </row>
    <row r="21" spans="1:6" ht="33">
      <c r="A21" s="1274" t="s">
        <v>210</v>
      </c>
      <c r="B21" s="1276" t="s">
        <v>6249</v>
      </c>
      <c r="C21" s="1282">
        <v>43960</v>
      </c>
      <c r="D21" s="1283"/>
      <c r="E21" s="185"/>
      <c r="F21" s="185"/>
    </row>
    <row r="22" spans="1:6">
      <c r="A22" s="1274" t="s">
        <v>1240</v>
      </c>
      <c r="B22" s="1275" t="s">
        <v>6008</v>
      </c>
      <c r="C22" s="1282">
        <v>43961</v>
      </c>
      <c r="D22" s="1283"/>
      <c r="E22" s="185"/>
      <c r="F22" s="185"/>
    </row>
    <row r="23" spans="1:6">
      <c r="A23" s="1274" t="s">
        <v>1240</v>
      </c>
      <c r="B23" s="1276" t="s">
        <v>6269</v>
      </c>
      <c r="C23" s="1282">
        <v>43961</v>
      </c>
      <c r="D23" s="1283"/>
      <c r="E23" s="185"/>
      <c r="F23" s="185"/>
    </row>
    <row r="24" spans="1:6">
      <c r="A24" s="1274" t="s">
        <v>1864</v>
      </c>
      <c r="B24" s="1275" t="s">
        <v>6010</v>
      </c>
      <c r="C24" s="1282">
        <v>43961</v>
      </c>
      <c r="D24" s="1283" t="s">
        <v>3859</v>
      </c>
      <c r="E24" s="185"/>
      <c r="F24" s="185"/>
    </row>
    <row r="25" spans="1:6">
      <c r="A25" s="1274" t="s">
        <v>402</v>
      </c>
      <c r="B25" s="1277" t="s">
        <v>6011</v>
      </c>
      <c r="C25" s="1282">
        <v>43961</v>
      </c>
      <c r="D25" s="1283"/>
      <c r="E25" s="185"/>
      <c r="F25" s="185"/>
    </row>
    <row r="26" spans="1:6">
      <c r="A26" s="1274" t="s">
        <v>1240</v>
      </c>
      <c r="B26" s="1275" t="s">
        <v>6035</v>
      </c>
      <c r="C26" s="1282">
        <v>43961</v>
      </c>
      <c r="D26" s="1283" t="s">
        <v>3867</v>
      </c>
      <c r="E26" s="185"/>
      <c r="F26" s="185"/>
    </row>
    <row r="27" spans="1:6">
      <c r="A27" s="1274" t="s">
        <v>254</v>
      </c>
      <c r="B27" s="1275" t="s">
        <v>6012</v>
      </c>
      <c r="C27" s="1282">
        <v>43962</v>
      </c>
      <c r="D27" s="1283"/>
      <c r="E27" s="185"/>
      <c r="F27" s="185"/>
    </row>
    <row r="28" spans="1:6">
      <c r="A28" s="1274" t="s">
        <v>1240</v>
      </c>
      <c r="B28" s="1275" t="s">
        <v>6035</v>
      </c>
      <c r="C28" s="1282">
        <v>43962</v>
      </c>
      <c r="D28" s="1283" t="s">
        <v>3867</v>
      </c>
      <c r="E28" s="185"/>
      <c r="F28" s="185"/>
    </row>
    <row r="29" spans="1:6" ht="33">
      <c r="A29" s="1274" t="s">
        <v>210</v>
      </c>
      <c r="B29" s="1276" t="s">
        <v>6114</v>
      </c>
      <c r="C29" s="1282">
        <v>43962</v>
      </c>
      <c r="D29" s="1283"/>
      <c r="E29" s="185"/>
      <c r="F29" s="185"/>
    </row>
    <row r="30" spans="1:6">
      <c r="A30" s="1274" t="s">
        <v>254</v>
      </c>
      <c r="B30" s="1275" t="s">
        <v>6012</v>
      </c>
      <c r="C30" s="1282">
        <v>43963</v>
      </c>
      <c r="D30" s="1283"/>
      <c r="E30" s="185"/>
      <c r="F30" s="185"/>
    </row>
    <row r="31" spans="1:6">
      <c r="A31" s="1274" t="s">
        <v>1240</v>
      </c>
      <c r="B31" s="1275" t="s">
        <v>6035</v>
      </c>
      <c r="C31" s="1282">
        <v>43963</v>
      </c>
      <c r="D31" s="1283"/>
      <c r="E31" s="185"/>
      <c r="F31" s="185"/>
    </row>
    <row r="32" spans="1:6">
      <c r="A32" s="1274" t="s">
        <v>1240</v>
      </c>
      <c r="B32" s="1276" t="s">
        <v>6113</v>
      </c>
      <c r="C32" s="1282">
        <v>43963</v>
      </c>
      <c r="D32" s="1283"/>
      <c r="E32" s="185"/>
      <c r="F32" s="185"/>
    </row>
    <row r="33" spans="1:6">
      <c r="A33" s="1274" t="s">
        <v>1864</v>
      </c>
      <c r="B33" s="1275" t="s">
        <v>6037</v>
      </c>
      <c r="C33" s="1282">
        <v>43963</v>
      </c>
      <c r="D33" s="1283" t="s">
        <v>3859</v>
      </c>
      <c r="E33" s="185"/>
      <c r="F33" s="185"/>
    </row>
    <row r="34" spans="1:6">
      <c r="A34" s="1274" t="s">
        <v>402</v>
      </c>
      <c r="B34" s="1277" t="s">
        <v>6038</v>
      </c>
      <c r="C34" s="1282">
        <v>43963</v>
      </c>
      <c r="D34" s="1283"/>
      <c r="E34" s="185"/>
      <c r="F34" s="185"/>
    </row>
    <row r="35" spans="1:6">
      <c r="A35" s="1274" t="s">
        <v>1240</v>
      </c>
      <c r="B35" s="1275" t="s">
        <v>6062</v>
      </c>
      <c r="C35" s="1282">
        <v>43963</v>
      </c>
      <c r="D35" s="1283" t="s">
        <v>3867</v>
      </c>
      <c r="E35" s="185"/>
      <c r="F35" s="185"/>
    </row>
    <row r="36" spans="1:6">
      <c r="A36" s="1274" t="s">
        <v>254</v>
      </c>
      <c r="B36" s="1275" t="s">
        <v>6012</v>
      </c>
      <c r="C36" s="1282">
        <v>43964</v>
      </c>
      <c r="D36" s="1283"/>
      <c r="E36" s="185"/>
      <c r="F36" s="185"/>
    </row>
    <row r="37" spans="1:6">
      <c r="A37" s="1274" t="s">
        <v>254</v>
      </c>
      <c r="B37" s="1275" t="s">
        <v>6039</v>
      </c>
      <c r="C37" s="1282">
        <v>43964</v>
      </c>
      <c r="D37" s="1283"/>
      <c r="E37" s="185"/>
      <c r="F37" s="185"/>
    </row>
    <row r="38" spans="1:6">
      <c r="A38" s="1274" t="s">
        <v>1240</v>
      </c>
      <c r="B38" s="1275" t="s">
        <v>6062</v>
      </c>
      <c r="C38" s="1282">
        <v>43964</v>
      </c>
      <c r="D38" s="1283" t="s">
        <v>3867</v>
      </c>
      <c r="E38" s="185"/>
      <c r="F38" s="185"/>
    </row>
    <row r="39" spans="1:6" ht="33">
      <c r="A39" s="1274" t="s">
        <v>210</v>
      </c>
      <c r="B39" s="1276" t="s">
        <v>6248</v>
      </c>
      <c r="C39" s="1282">
        <v>43964</v>
      </c>
      <c r="D39" s="1283"/>
      <c r="E39" s="185"/>
      <c r="F39" s="185"/>
    </row>
    <row r="40" spans="1:6">
      <c r="A40" s="1274" t="s">
        <v>254</v>
      </c>
      <c r="B40" s="1275" t="s">
        <v>6039</v>
      </c>
      <c r="C40" s="1282">
        <v>43965</v>
      </c>
      <c r="D40" s="1283"/>
      <c r="E40" s="185"/>
      <c r="F40" s="185"/>
    </row>
    <row r="41" spans="1:6">
      <c r="A41" s="1274" t="s">
        <v>1240</v>
      </c>
      <c r="B41" s="1275" t="s">
        <v>6062</v>
      </c>
      <c r="C41" s="1282">
        <v>43965</v>
      </c>
      <c r="D41" s="1283"/>
      <c r="E41" s="185"/>
      <c r="F41" s="185"/>
    </row>
    <row r="42" spans="1:6">
      <c r="A42" s="1274" t="s">
        <v>1240</v>
      </c>
      <c r="B42" s="1276" t="s">
        <v>6268</v>
      </c>
      <c r="C42" s="1282">
        <v>43965</v>
      </c>
      <c r="D42" s="1283"/>
      <c r="E42" s="185"/>
      <c r="F42" s="185"/>
    </row>
    <row r="43" spans="1:6">
      <c r="A43" s="1274" t="s">
        <v>1864</v>
      </c>
      <c r="B43" s="1275" t="s">
        <v>6064</v>
      </c>
      <c r="C43" s="1282">
        <v>43965</v>
      </c>
      <c r="D43" s="1283" t="s">
        <v>3859</v>
      </c>
      <c r="E43" s="185"/>
      <c r="F43" s="185"/>
    </row>
    <row r="44" spans="1:6">
      <c r="A44" s="1274" t="s">
        <v>402</v>
      </c>
      <c r="B44" s="1277" t="s">
        <v>6065</v>
      </c>
      <c r="C44" s="1282">
        <v>43965</v>
      </c>
      <c r="D44" s="1283"/>
      <c r="E44" s="185"/>
      <c r="F44" s="185"/>
    </row>
    <row r="45" spans="1:6">
      <c r="A45" s="1274" t="s">
        <v>254</v>
      </c>
      <c r="B45" s="1275" t="s">
        <v>6039</v>
      </c>
      <c r="C45" s="1282">
        <v>43966</v>
      </c>
      <c r="D45" s="1283"/>
      <c r="E45" s="185"/>
      <c r="F45" s="185"/>
    </row>
    <row r="46" spans="1:6">
      <c r="A46" s="1274" t="s">
        <v>254</v>
      </c>
      <c r="B46" s="1275" t="s">
        <v>6066</v>
      </c>
      <c r="C46" s="1282">
        <v>43966</v>
      </c>
      <c r="D46" s="1283"/>
      <c r="E46" s="185"/>
      <c r="F46" s="185"/>
    </row>
    <row r="47" spans="1:6">
      <c r="A47" s="1274" t="s">
        <v>254</v>
      </c>
      <c r="B47" s="1275" t="s">
        <v>6066</v>
      </c>
      <c r="C47" s="1282">
        <v>43967</v>
      </c>
      <c r="D47" s="1283"/>
      <c r="E47" s="185"/>
      <c r="F47" s="185"/>
    </row>
    <row r="48" spans="1:6">
      <c r="A48" s="1274" t="s">
        <v>254</v>
      </c>
      <c r="B48" s="1275" t="s">
        <v>6066</v>
      </c>
      <c r="C48" s="1282">
        <v>43968</v>
      </c>
      <c r="D48" s="1283"/>
      <c r="E48" s="185"/>
      <c r="F48" s="185"/>
    </row>
    <row r="49" spans="1:6">
      <c r="A49" s="1274" t="s">
        <v>1864</v>
      </c>
      <c r="B49" s="1275" t="s">
        <v>6013</v>
      </c>
      <c r="C49" s="1282">
        <v>43969</v>
      </c>
      <c r="D49" s="1283"/>
      <c r="E49" s="185"/>
      <c r="F49" s="185"/>
    </row>
    <row r="50" spans="1:6">
      <c r="A50" s="1274" t="s">
        <v>1864</v>
      </c>
      <c r="B50" s="1276" t="s">
        <v>6267</v>
      </c>
      <c r="C50" s="1282">
        <v>43969</v>
      </c>
      <c r="D50" s="1283"/>
      <c r="E50" s="185"/>
      <c r="F50" s="185"/>
    </row>
    <row r="51" spans="1:6">
      <c r="A51" s="1274" t="s">
        <v>1728</v>
      </c>
      <c r="B51" s="1275" t="s">
        <v>6014</v>
      </c>
      <c r="C51" s="1282">
        <v>43969</v>
      </c>
      <c r="D51" s="1283" t="s">
        <v>3878</v>
      </c>
      <c r="E51" s="185"/>
      <c r="F51" s="185"/>
    </row>
    <row r="52" spans="1:6">
      <c r="A52" s="1274" t="s">
        <v>266</v>
      </c>
      <c r="B52" s="1276" t="s">
        <v>6112</v>
      </c>
      <c r="C52" s="1282">
        <v>43969</v>
      </c>
      <c r="D52" s="1283"/>
      <c r="E52" s="185"/>
      <c r="F52" s="185"/>
    </row>
    <row r="53" spans="1:6">
      <c r="A53" s="1274" t="s">
        <v>1728</v>
      </c>
      <c r="B53" s="1275" t="s">
        <v>6014</v>
      </c>
      <c r="C53" s="1282">
        <v>43970</v>
      </c>
      <c r="D53" s="1283"/>
      <c r="E53" s="185"/>
      <c r="F53" s="185"/>
    </row>
    <row r="54" spans="1:6">
      <c r="A54" s="1274" t="s">
        <v>1728</v>
      </c>
      <c r="B54" s="1276" t="s">
        <v>6111</v>
      </c>
      <c r="C54" s="1282">
        <v>43970</v>
      </c>
      <c r="D54" s="1283"/>
      <c r="E54" s="185"/>
      <c r="F54" s="185"/>
    </row>
    <row r="55" spans="1:6">
      <c r="A55" s="1274" t="s">
        <v>1765</v>
      </c>
      <c r="B55" s="1275" t="s">
        <v>6016</v>
      </c>
      <c r="C55" s="1282">
        <v>43970</v>
      </c>
      <c r="D55" s="1283" t="s">
        <v>5497</v>
      </c>
      <c r="E55" s="185"/>
      <c r="F55" s="185"/>
    </row>
    <row r="56" spans="1:6">
      <c r="A56" s="1274" t="s">
        <v>211</v>
      </c>
      <c r="B56" s="1276" t="s">
        <v>6110</v>
      </c>
      <c r="C56" s="1282">
        <v>43970</v>
      </c>
      <c r="D56" s="1283"/>
      <c r="E56" s="185"/>
      <c r="F56" s="185"/>
    </row>
    <row r="57" spans="1:6">
      <c r="A57" s="1274" t="s">
        <v>1765</v>
      </c>
      <c r="B57" s="1275" t="s">
        <v>6016</v>
      </c>
      <c r="C57" s="1282">
        <v>43971</v>
      </c>
      <c r="D57" s="1283"/>
      <c r="E57" s="185"/>
      <c r="F57" s="185"/>
    </row>
    <row r="58" spans="1:6">
      <c r="A58" s="1274" t="s">
        <v>1765</v>
      </c>
      <c r="B58" s="1276" t="s">
        <v>6109</v>
      </c>
      <c r="C58" s="1282">
        <v>43971</v>
      </c>
      <c r="D58" s="1283"/>
      <c r="E58" s="185"/>
      <c r="F58" s="185"/>
    </row>
    <row r="59" spans="1:6">
      <c r="A59" s="1274" t="s">
        <v>1714</v>
      </c>
      <c r="B59" s="1275" t="s">
        <v>6018</v>
      </c>
      <c r="C59" s="1282">
        <v>43971</v>
      </c>
      <c r="D59" s="1283" t="s">
        <v>5496</v>
      </c>
      <c r="E59" s="185"/>
      <c r="F59" s="185"/>
    </row>
    <row r="60" spans="1:6">
      <c r="A60" s="1274" t="s">
        <v>311</v>
      </c>
      <c r="B60" s="1276" t="s">
        <v>6108</v>
      </c>
      <c r="C60" s="1282">
        <v>43971</v>
      </c>
      <c r="D60" s="1283"/>
      <c r="E60" s="185"/>
      <c r="F60" s="185"/>
    </row>
    <row r="61" spans="1:6">
      <c r="A61" s="1274" t="s">
        <v>3841</v>
      </c>
      <c r="B61" s="1275" t="s">
        <v>6020</v>
      </c>
      <c r="C61" s="1282">
        <v>43971</v>
      </c>
      <c r="D61" s="1283"/>
      <c r="E61" s="185"/>
      <c r="F61" s="185"/>
    </row>
    <row r="62" spans="1:6" ht="33">
      <c r="A62" s="1274" t="s">
        <v>401</v>
      </c>
      <c r="B62" s="1277" t="s">
        <v>6021</v>
      </c>
      <c r="C62" s="1282">
        <v>43971</v>
      </c>
      <c r="D62" s="1283"/>
      <c r="E62" s="185"/>
      <c r="F62" s="185"/>
    </row>
    <row r="63" spans="1:6">
      <c r="A63" s="1274" t="s">
        <v>1864</v>
      </c>
      <c r="B63" s="1275" t="s">
        <v>6040</v>
      </c>
      <c r="C63" s="1282">
        <v>43971</v>
      </c>
      <c r="D63" s="1283"/>
      <c r="E63" s="185"/>
      <c r="F63" s="185"/>
    </row>
    <row r="64" spans="1:6">
      <c r="A64" s="1274" t="s">
        <v>1864</v>
      </c>
      <c r="B64" s="1276" t="s">
        <v>6266</v>
      </c>
      <c r="C64" s="1282">
        <v>43971</v>
      </c>
      <c r="D64" s="1283"/>
      <c r="E64" s="185"/>
      <c r="F64" s="185"/>
    </row>
    <row r="65" spans="1:6">
      <c r="A65" s="1274" t="s">
        <v>1728</v>
      </c>
      <c r="B65" s="1275" t="s">
        <v>6041</v>
      </c>
      <c r="C65" s="1282">
        <v>43971</v>
      </c>
      <c r="D65" s="1283" t="s">
        <v>3878</v>
      </c>
      <c r="E65" s="185"/>
      <c r="F65" s="185"/>
    </row>
    <row r="66" spans="1:6">
      <c r="A66" s="1274" t="s">
        <v>266</v>
      </c>
      <c r="B66" s="1276" t="s">
        <v>6247</v>
      </c>
      <c r="C66" s="1282">
        <v>43971</v>
      </c>
      <c r="D66" s="1283"/>
      <c r="E66" s="185"/>
      <c r="F66" s="185"/>
    </row>
    <row r="67" spans="1:6">
      <c r="A67" s="1274" t="s">
        <v>254</v>
      </c>
      <c r="B67" s="1275" t="s">
        <v>6022</v>
      </c>
      <c r="C67" s="1282">
        <v>43972</v>
      </c>
      <c r="D67" s="1283"/>
      <c r="E67" s="185"/>
      <c r="F67" s="185"/>
    </row>
    <row r="68" spans="1:6">
      <c r="A68" s="1274" t="s">
        <v>1728</v>
      </c>
      <c r="B68" s="1275" t="s">
        <v>6041</v>
      </c>
      <c r="C68" s="1282">
        <v>43972</v>
      </c>
      <c r="D68" s="1283"/>
      <c r="E68" s="185"/>
      <c r="F68" s="185"/>
    </row>
    <row r="69" spans="1:6">
      <c r="A69" s="1274" t="s">
        <v>1728</v>
      </c>
      <c r="B69" s="1276" t="s">
        <v>6107</v>
      </c>
      <c r="C69" s="1282">
        <v>43972</v>
      </c>
      <c r="D69" s="1283"/>
      <c r="E69" s="185"/>
      <c r="F69" s="185"/>
    </row>
    <row r="70" spans="1:6">
      <c r="A70" s="1274" t="s">
        <v>1765</v>
      </c>
      <c r="B70" s="1275" t="s">
        <v>6043</v>
      </c>
      <c r="C70" s="1282">
        <v>43972</v>
      </c>
      <c r="D70" s="1283" t="s">
        <v>5497</v>
      </c>
      <c r="E70" s="185"/>
      <c r="F70" s="185"/>
    </row>
    <row r="71" spans="1:6">
      <c r="A71" s="1274" t="s">
        <v>211</v>
      </c>
      <c r="B71" s="1276" t="s">
        <v>6106</v>
      </c>
      <c r="C71" s="1282">
        <v>43972</v>
      </c>
      <c r="D71" s="1283"/>
      <c r="E71" s="185"/>
      <c r="F71" s="185"/>
    </row>
    <row r="72" spans="1:6">
      <c r="A72" s="1274" t="s">
        <v>254</v>
      </c>
      <c r="B72" s="1275" t="s">
        <v>6022</v>
      </c>
      <c r="C72" s="1282">
        <v>43973</v>
      </c>
      <c r="D72" s="1283"/>
      <c r="E72" s="185"/>
      <c r="F72" s="185"/>
    </row>
    <row r="73" spans="1:6">
      <c r="A73" s="1274" t="s">
        <v>1765</v>
      </c>
      <c r="B73" s="1275" t="s">
        <v>6043</v>
      </c>
      <c r="C73" s="1282">
        <v>43973</v>
      </c>
      <c r="D73" s="1283"/>
      <c r="E73" s="185"/>
      <c r="F73" s="185"/>
    </row>
    <row r="74" spans="1:6">
      <c r="A74" s="1274" t="s">
        <v>1765</v>
      </c>
      <c r="B74" s="1276" t="s">
        <v>6265</v>
      </c>
      <c r="C74" s="1282">
        <v>43973</v>
      </c>
      <c r="D74" s="1283"/>
      <c r="E74" s="185"/>
      <c r="F74" s="185"/>
    </row>
    <row r="75" spans="1:6">
      <c r="A75" s="1274" t="s">
        <v>1714</v>
      </c>
      <c r="B75" s="1275" t="s">
        <v>6045</v>
      </c>
      <c r="C75" s="1282">
        <v>43973</v>
      </c>
      <c r="D75" s="1283" t="s">
        <v>5496</v>
      </c>
      <c r="E75" s="185"/>
      <c r="F75" s="185"/>
    </row>
    <row r="76" spans="1:6">
      <c r="A76" s="1274" t="s">
        <v>311</v>
      </c>
      <c r="B76" s="1276" t="s">
        <v>6105</v>
      </c>
      <c r="C76" s="1282">
        <v>43973</v>
      </c>
      <c r="D76" s="1283"/>
      <c r="E76" s="185"/>
      <c r="F76" s="185"/>
    </row>
    <row r="77" spans="1:6">
      <c r="A77" s="1274" t="s">
        <v>3841</v>
      </c>
      <c r="B77" s="1275" t="s">
        <v>6047</v>
      </c>
      <c r="C77" s="1282">
        <v>43973</v>
      </c>
      <c r="D77" s="1283"/>
      <c r="E77" s="185"/>
      <c r="F77" s="185"/>
    </row>
    <row r="78" spans="1:6" ht="33">
      <c r="A78" s="1274" t="s">
        <v>401</v>
      </c>
      <c r="B78" s="1277" t="s">
        <v>6048</v>
      </c>
      <c r="C78" s="1282">
        <v>43973</v>
      </c>
      <c r="D78" s="1283"/>
      <c r="E78" s="185"/>
      <c r="F78" s="185"/>
    </row>
    <row r="79" spans="1:6">
      <c r="A79" s="1274" t="s">
        <v>1864</v>
      </c>
      <c r="B79" s="1275" t="s">
        <v>6067</v>
      </c>
      <c r="C79" s="1282">
        <v>43973</v>
      </c>
      <c r="D79" s="1283"/>
      <c r="E79" s="185"/>
      <c r="F79" s="185"/>
    </row>
    <row r="80" spans="1:6">
      <c r="A80" s="1274" t="s">
        <v>1864</v>
      </c>
      <c r="B80" s="1276" t="s">
        <v>6104</v>
      </c>
      <c r="C80" s="1282">
        <v>43973</v>
      </c>
      <c r="D80" s="1283"/>
      <c r="E80" s="185"/>
      <c r="F80" s="185"/>
    </row>
    <row r="81" spans="1:6">
      <c r="A81" s="1274" t="s">
        <v>1728</v>
      </c>
      <c r="B81" s="1275" t="s">
        <v>6068</v>
      </c>
      <c r="C81" s="1282">
        <v>43973</v>
      </c>
      <c r="D81" s="1283" t="s">
        <v>3878</v>
      </c>
      <c r="E81" s="185"/>
      <c r="F81" s="185"/>
    </row>
    <row r="82" spans="1:6">
      <c r="A82" s="1274" t="s">
        <v>266</v>
      </c>
      <c r="B82" s="1276" t="s">
        <v>6103</v>
      </c>
      <c r="C82" s="1282">
        <v>43973</v>
      </c>
      <c r="D82" s="1283"/>
      <c r="E82" s="185"/>
      <c r="F82" s="185"/>
    </row>
    <row r="83" spans="1:6">
      <c r="A83" s="1274" t="s">
        <v>254</v>
      </c>
      <c r="B83" s="1275" t="s">
        <v>6022</v>
      </c>
      <c r="C83" s="1282">
        <v>43974</v>
      </c>
      <c r="D83" s="1283"/>
      <c r="E83" s="185"/>
      <c r="F83" s="185"/>
    </row>
    <row r="84" spans="1:6">
      <c r="A84" s="1274" t="s">
        <v>254</v>
      </c>
      <c r="B84" s="1275" t="s">
        <v>6049</v>
      </c>
      <c r="C84" s="1282">
        <v>43974</v>
      </c>
      <c r="D84" s="1283"/>
      <c r="E84" s="185"/>
      <c r="F84" s="185"/>
    </row>
    <row r="85" spans="1:6">
      <c r="A85" s="1274" t="s">
        <v>1728</v>
      </c>
      <c r="B85" s="1275" t="s">
        <v>6068</v>
      </c>
      <c r="C85" s="1282">
        <v>43974</v>
      </c>
      <c r="D85" s="1283"/>
      <c r="E85" s="185"/>
      <c r="F85" s="185"/>
    </row>
    <row r="86" spans="1:6">
      <c r="A86" s="1274" t="s">
        <v>1728</v>
      </c>
      <c r="B86" s="1276" t="s">
        <v>6102</v>
      </c>
      <c r="C86" s="1282">
        <v>43974</v>
      </c>
      <c r="D86" s="1283"/>
      <c r="E86" s="185"/>
      <c r="F86" s="185"/>
    </row>
    <row r="87" spans="1:6">
      <c r="A87" s="1274" t="s">
        <v>1765</v>
      </c>
      <c r="B87" s="1275" t="s">
        <v>6070</v>
      </c>
      <c r="C87" s="1282">
        <v>43974</v>
      </c>
      <c r="D87" s="1283" t="s">
        <v>5497</v>
      </c>
      <c r="E87" s="185"/>
      <c r="F87" s="185"/>
    </row>
    <row r="88" spans="1:6">
      <c r="A88" s="1274" t="s">
        <v>211</v>
      </c>
      <c r="B88" s="1276" t="s">
        <v>6246</v>
      </c>
      <c r="C88" s="1282">
        <v>43974</v>
      </c>
      <c r="D88" s="1283"/>
      <c r="E88" s="185"/>
      <c r="F88" s="185"/>
    </row>
    <row r="89" spans="1:6">
      <c r="A89" s="1274" t="s">
        <v>254</v>
      </c>
      <c r="B89" s="1275" t="s">
        <v>6022</v>
      </c>
      <c r="C89" s="1282">
        <v>43975</v>
      </c>
      <c r="D89" s="1283"/>
      <c r="E89" s="185"/>
      <c r="F89" s="185"/>
    </row>
    <row r="90" spans="1:6">
      <c r="A90" s="1274" t="s">
        <v>254</v>
      </c>
      <c r="B90" s="1275" t="s">
        <v>6049</v>
      </c>
      <c r="C90" s="1282">
        <v>43975</v>
      </c>
      <c r="D90" s="1283"/>
      <c r="E90" s="185"/>
      <c r="F90" s="185"/>
    </row>
    <row r="91" spans="1:6">
      <c r="A91" s="1274" t="s">
        <v>1765</v>
      </c>
      <c r="B91" s="1275" t="s">
        <v>6070</v>
      </c>
      <c r="C91" s="1282">
        <v>43975</v>
      </c>
      <c r="D91" s="1283"/>
      <c r="E91" s="185"/>
      <c r="F91" s="185"/>
    </row>
    <row r="92" spans="1:6">
      <c r="A92" s="1274" t="s">
        <v>1765</v>
      </c>
      <c r="B92" s="1276" t="s">
        <v>6101</v>
      </c>
      <c r="C92" s="1282">
        <v>43975</v>
      </c>
      <c r="D92" s="1283"/>
      <c r="E92" s="185"/>
      <c r="F92" s="185"/>
    </row>
    <row r="93" spans="1:6">
      <c r="A93" s="1274" t="s">
        <v>1714</v>
      </c>
      <c r="B93" s="1275" t="s">
        <v>6072</v>
      </c>
      <c r="C93" s="1282">
        <v>43975</v>
      </c>
      <c r="D93" s="1283" t="s">
        <v>5496</v>
      </c>
      <c r="E93" s="185"/>
      <c r="F93" s="185"/>
    </row>
    <row r="94" spans="1:6">
      <c r="A94" s="1274" t="s">
        <v>311</v>
      </c>
      <c r="B94" s="1276" t="s">
        <v>6100</v>
      </c>
      <c r="C94" s="1282">
        <v>43975</v>
      </c>
      <c r="D94" s="1283"/>
      <c r="E94" s="185"/>
      <c r="F94" s="185"/>
    </row>
    <row r="95" spans="1:6">
      <c r="A95" s="1274" t="s">
        <v>3841</v>
      </c>
      <c r="B95" s="1275" t="s">
        <v>6074</v>
      </c>
      <c r="C95" s="1282">
        <v>43975</v>
      </c>
      <c r="D95" s="1283"/>
      <c r="E95" s="185"/>
      <c r="F95" s="185"/>
    </row>
    <row r="96" spans="1:6" ht="33">
      <c r="A96" s="1274" t="s">
        <v>401</v>
      </c>
      <c r="B96" s="1277" t="s">
        <v>6075</v>
      </c>
      <c r="C96" s="1282">
        <v>43975</v>
      </c>
      <c r="D96" s="1283"/>
      <c r="E96" s="185"/>
      <c r="F96" s="185"/>
    </row>
    <row r="97" spans="1:6">
      <c r="A97" s="1274" t="s">
        <v>254</v>
      </c>
      <c r="B97" s="1275" t="s">
        <v>6049</v>
      </c>
      <c r="C97" s="1282">
        <v>43976</v>
      </c>
      <c r="D97" s="1283"/>
      <c r="E97" s="185"/>
      <c r="F97" s="185"/>
    </row>
    <row r="98" spans="1:6">
      <c r="A98" s="1274" t="s">
        <v>254</v>
      </c>
      <c r="B98" s="1275" t="s">
        <v>6076</v>
      </c>
      <c r="C98" s="1282">
        <v>43976</v>
      </c>
      <c r="D98" s="1283"/>
      <c r="E98" s="185"/>
      <c r="F98" s="185"/>
    </row>
    <row r="99" spans="1:6">
      <c r="A99" s="1274" t="s">
        <v>254</v>
      </c>
      <c r="B99" s="1275" t="s">
        <v>6049</v>
      </c>
      <c r="C99" s="1282">
        <v>43977</v>
      </c>
      <c r="D99" s="1283"/>
      <c r="E99" s="185"/>
      <c r="F99" s="185"/>
    </row>
    <row r="100" spans="1:6">
      <c r="A100" s="1274" t="s">
        <v>254</v>
      </c>
      <c r="B100" s="1275" t="s">
        <v>6076</v>
      </c>
      <c r="C100" s="1282">
        <v>43977</v>
      </c>
      <c r="D100" s="1283"/>
      <c r="E100" s="185"/>
      <c r="F100" s="185"/>
    </row>
    <row r="101" spans="1:6" ht="33">
      <c r="A101" s="1274" t="s">
        <v>3846</v>
      </c>
      <c r="B101" s="1276" t="s">
        <v>6245</v>
      </c>
      <c r="C101" s="1282">
        <v>43978</v>
      </c>
      <c r="D101" s="1283"/>
      <c r="E101" s="185"/>
      <c r="F101" s="185"/>
    </row>
    <row r="102" spans="1:6" ht="33">
      <c r="A102" s="1274" t="s">
        <v>4228</v>
      </c>
      <c r="B102" s="1276" t="s">
        <v>6099</v>
      </c>
      <c r="C102" s="1282">
        <v>43978</v>
      </c>
      <c r="D102" s="1283"/>
      <c r="E102" s="185"/>
      <c r="F102" s="185"/>
    </row>
    <row r="103" spans="1:6">
      <c r="A103" s="1274" t="s">
        <v>254</v>
      </c>
      <c r="B103" s="1275" t="s">
        <v>6076</v>
      </c>
      <c r="C103" s="1282">
        <v>43978</v>
      </c>
      <c r="D103" s="1283"/>
      <c r="E103" s="185"/>
      <c r="F103" s="185"/>
    </row>
    <row r="104" spans="1:6">
      <c r="A104" s="1274" t="s">
        <v>1714</v>
      </c>
      <c r="B104" s="1275" t="s">
        <v>6025</v>
      </c>
      <c r="C104" s="1282">
        <v>43979</v>
      </c>
      <c r="D104" s="1283"/>
      <c r="E104" s="185"/>
      <c r="F104" s="185"/>
    </row>
    <row r="105" spans="1:6">
      <c r="A105" s="1274" t="s">
        <v>1714</v>
      </c>
      <c r="B105" s="1276" t="s">
        <v>6264</v>
      </c>
      <c r="C105" s="1282">
        <v>43979</v>
      </c>
      <c r="D105" s="1283"/>
      <c r="E105" s="185"/>
      <c r="F105" s="185"/>
    </row>
    <row r="106" spans="1:6">
      <c r="A106" s="1274" t="s">
        <v>1338</v>
      </c>
      <c r="B106" s="1275" t="s">
        <v>6026</v>
      </c>
      <c r="C106" s="1282">
        <v>43979</v>
      </c>
      <c r="D106" s="1283" t="s">
        <v>3871</v>
      </c>
      <c r="E106" s="185"/>
      <c r="F106" s="185"/>
    </row>
    <row r="107" spans="1:6">
      <c r="A107" s="1274" t="s">
        <v>254</v>
      </c>
      <c r="B107" s="1275" t="s">
        <v>6076</v>
      </c>
      <c r="C107" s="1282">
        <v>43979</v>
      </c>
      <c r="D107" s="1283"/>
      <c r="E107" s="185"/>
      <c r="F107" s="185"/>
    </row>
    <row r="108" spans="1:6">
      <c r="A108" s="1274" t="s">
        <v>1338</v>
      </c>
      <c r="B108" s="1275" t="s">
        <v>6026</v>
      </c>
      <c r="C108" s="1282">
        <v>43980</v>
      </c>
      <c r="D108" s="1283" t="s">
        <v>3871</v>
      </c>
      <c r="E108" s="185"/>
      <c r="F108" s="185"/>
    </row>
    <row r="109" spans="1:6" ht="33">
      <c r="A109" s="1274" t="s">
        <v>382</v>
      </c>
      <c r="B109" s="1277" t="s">
        <v>6027</v>
      </c>
      <c r="C109" s="1282">
        <v>43980</v>
      </c>
      <c r="D109" s="1283"/>
      <c r="E109" s="185"/>
      <c r="F109" s="185"/>
    </row>
    <row r="110" spans="1:6">
      <c r="A110" s="1274" t="s">
        <v>1338</v>
      </c>
      <c r="B110" s="1275" t="s">
        <v>6028</v>
      </c>
      <c r="C110" s="1282">
        <v>43980</v>
      </c>
      <c r="D110" s="1283" t="s">
        <v>3871</v>
      </c>
      <c r="E110" s="185"/>
      <c r="F110" s="185"/>
    </row>
    <row r="111" spans="1:6" ht="33">
      <c r="A111" s="1274" t="s">
        <v>3846</v>
      </c>
      <c r="B111" s="1276" t="s">
        <v>6098</v>
      </c>
      <c r="C111" s="1282">
        <v>43980</v>
      </c>
      <c r="D111" s="1283"/>
      <c r="E111" s="185"/>
      <c r="F111" s="185"/>
    </row>
    <row r="112" spans="1:6" ht="33">
      <c r="A112" s="1274" t="s">
        <v>4228</v>
      </c>
      <c r="B112" s="1276" t="s">
        <v>6244</v>
      </c>
      <c r="C112" s="1282">
        <v>43980</v>
      </c>
      <c r="D112" s="1283"/>
      <c r="E112" s="185"/>
      <c r="F112" s="185"/>
    </row>
    <row r="113" spans="1:6">
      <c r="A113" s="1274" t="s">
        <v>1338</v>
      </c>
      <c r="B113" s="1275" t="s">
        <v>6028</v>
      </c>
      <c r="C113" s="1282">
        <v>43981</v>
      </c>
      <c r="D113" s="1283" t="s">
        <v>3871</v>
      </c>
      <c r="E113" s="185"/>
      <c r="F113" s="185"/>
    </row>
    <row r="114" spans="1:6" ht="33">
      <c r="A114" s="1274" t="s">
        <v>382</v>
      </c>
      <c r="B114" s="1277" t="s">
        <v>6029</v>
      </c>
      <c r="C114" s="1282">
        <v>43981</v>
      </c>
      <c r="D114" s="1283"/>
      <c r="E114" s="185"/>
      <c r="F114" s="185"/>
    </row>
    <row r="115" spans="1:6">
      <c r="A115" s="1274" t="s">
        <v>1338</v>
      </c>
      <c r="B115" s="1275" t="s">
        <v>6030</v>
      </c>
      <c r="C115" s="1282">
        <v>43981</v>
      </c>
      <c r="D115" s="1283" t="s">
        <v>3871</v>
      </c>
      <c r="E115" s="185"/>
      <c r="F115" s="185"/>
    </row>
    <row r="116" spans="1:6">
      <c r="A116" s="1274" t="s">
        <v>1714</v>
      </c>
      <c r="B116" s="1275" t="s">
        <v>6052</v>
      </c>
      <c r="C116" s="1282">
        <v>43981</v>
      </c>
      <c r="D116" s="1283"/>
      <c r="E116" s="185"/>
      <c r="F116" s="185"/>
    </row>
    <row r="117" spans="1:6">
      <c r="A117" s="1274" t="s">
        <v>1714</v>
      </c>
      <c r="B117" s="1276" t="s">
        <v>6097</v>
      </c>
      <c r="C117" s="1282">
        <v>43981</v>
      </c>
      <c r="D117" s="1283"/>
      <c r="E117" s="185"/>
      <c r="F117" s="185"/>
    </row>
    <row r="118" spans="1:6">
      <c r="A118" s="1274" t="s">
        <v>1338</v>
      </c>
      <c r="B118" s="1275" t="s">
        <v>6053</v>
      </c>
      <c r="C118" s="1282">
        <v>43981</v>
      </c>
      <c r="D118" s="1283" t="s">
        <v>3871</v>
      </c>
      <c r="E118" s="185"/>
      <c r="F118" s="185"/>
    </row>
    <row r="119" spans="1:6">
      <c r="A119" s="1274" t="s">
        <v>1338</v>
      </c>
      <c r="B119" s="1275" t="s">
        <v>6030</v>
      </c>
      <c r="C119" s="1282">
        <v>43982</v>
      </c>
      <c r="D119" s="1283" t="s">
        <v>3871</v>
      </c>
      <c r="E119" s="185"/>
      <c r="F119" s="185"/>
    </row>
    <row r="120" spans="1:6" ht="33">
      <c r="A120" s="1274" t="s">
        <v>382</v>
      </c>
      <c r="B120" s="1277" t="s">
        <v>6031</v>
      </c>
      <c r="C120" s="1282">
        <v>43982</v>
      </c>
      <c r="D120" s="1283"/>
      <c r="E120" s="185"/>
      <c r="F120" s="185"/>
    </row>
    <row r="121" spans="1:6">
      <c r="A121" s="1274" t="s">
        <v>1338</v>
      </c>
      <c r="B121" s="1275" t="s">
        <v>6032</v>
      </c>
      <c r="C121" s="1282">
        <v>43982</v>
      </c>
      <c r="D121" s="1283" t="s">
        <v>3871</v>
      </c>
      <c r="E121" s="185"/>
      <c r="F121" s="185"/>
    </row>
    <row r="122" spans="1:6">
      <c r="A122" s="1274" t="s">
        <v>1338</v>
      </c>
      <c r="B122" s="1275" t="s">
        <v>6053</v>
      </c>
      <c r="C122" s="1282">
        <v>43982</v>
      </c>
      <c r="D122" s="1283" t="s">
        <v>3871</v>
      </c>
      <c r="E122" s="185"/>
      <c r="F122" s="185"/>
    </row>
    <row r="123" spans="1:6" ht="33">
      <c r="A123" s="1274" t="s">
        <v>382</v>
      </c>
      <c r="B123" s="1277" t="s">
        <v>6054</v>
      </c>
      <c r="C123" s="1282">
        <v>43982</v>
      </c>
      <c r="D123" s="1283"/>
      <c r="E123" s="185"/>
      <c r="F123" s="185"/>
    </row>
    <row r="124" spans="1:6">
      <c r="A124" s="1274" t="s">
        <v>1338</v>
      </c>
      <c r="B124" s="1275" t="s">
        <v>6055</v>
      </c>
      <c r="C124" s="1282">
        <v>43982</v>
      </c>
      <c r="D124" s="1283" t="s">
        <v>3871</v>
      </c>
      <c r="E124" s="185"/>
      <c r="F124" s="185"/>
    </row>
    <row r="125" spans="1:6" ht="33">
      <c r="A125" s="1274" t="s">
        <v>3846</v>
      </c>
      <c r="B125" s="1276" t="s">
        <v>6096</v>
      </c>
      <c r="C125" s="1282">
        <v>43982</v>
      </c>
      <c r="D125" s="1283"/>
      <c r="E125" s="185"/>
      <c r="F125" s="185"/>
    </row>
    <row r="126" spans="1:6" ht="33">
      <c r="A126" s="1274" t="s">
        <v>4228</v>
      </c>
      <c r="B126" s="1276" t="s">
        <v>6095</v>
      </c>
      <c r="C126" s="1282">
        <v>43982</v>
      </c>
      <c r="D126" s="1283"/>
      <c r="E126" s="185"/>
      <c r="F126" s="185"/>
    </row>
    <row r="127" spans="1:6">
      <c r="A127" s="1274" t="s">
        <v>1338</v>
      </c>
      <c r="B127" s="1275" t="s">
        <v>6032</v>
      </c>
      <c r="C127" s="1282">
        <v>43983</v>
      </c>
      <c r="D127" s="1283" t="s">
        <v>3871</v>
      </c>
      <c r="E127" s="185"/>
      <c r="F127" s="185"/>
    </row>
    <row r="128" spans="1:6" ht="33">
      <c r="A128" s="1274" t="s">
        <v>382</v>
      </c>
      <c r="B128" s="1277" t="s">
        <v>6033</v>
      </c>
      <c r="C128" s="1282">
        <v>43983</v>
      </c>
      <c r="D128" s="1283"/>
      <c r="E128" s="185"/>
      <c r="F128" s="185"/>
    </row>
    <row r="129" spans="1:6">
      <c r="A129" s="1274" t="s">
        <v>1338</v>
      </c>
      <c r="B129" s="1275" t="s">
        <v>6055</v>
      </c>
      <c r="C129" s="1282">
        <v>43983</v>
      </c>
      <c r="D129" s="1283" t="s">
        <v>3871</v>
      </c>
      <c r="E129" s="185"/>
      <c r="F129" s="185"/>
    </row>
    <row r="130" spans="1:6" ht="33">
      <c r="A130" s="1274" t="s">
        <v>382</v>
      </c>
      <c r="B130" s="1277" t="s">
        <v>6056</v>
      </c>
      <c r="C130" s="1282">
        <v>43983</v>
      </c>
      <c r="D130" s="1283"/>
      <c r="E130" s="185"/>
      <c r="F130" s="185"/>
    </row>
    <row r="131" spans="1:6">
      <c r="A131" s="1274" t="s">
        <v>1338</v>
      </c>
      <c r="B131" s="1275" t="s">
        <v>6057</v>
      </c>
      <c r="C131" s="1282">
        <v>43983</v>
      </c>
      <c r="D131" s="1283" t="s">
        <v>3871</v>
      </c>
      <c r="E131" s="185"/>
      <c r="F131" s="185"/>
    </row>
    <row r="132" spans="1:6">
      <c r="A132" s="1274" t="s">
        <v>1714</v>
      </c>
      <c r="B132" s="1275" t="s">
        <v>6079</v>
      </c>
      <c r="C132" s="1282">
        <v>43983</v>
      </c>
      <c r="D132" s="1283"/>
      <c r="E132" s="185"/>
      <c r="F132" s="185"/>
    </row>
    <row r="133" spans="1:6">
      <c r="A133" s="1274" t="s">
        <v>1714</v>
      </c>
      <c r="B133" s="1276" t="s">
        <v>6094</v>
      </c>
      <c r="C133" s="1282">
        <v>43983</v>
      </c>
      <c r="D133" s="1283"/>
      <c r="E133" s="185"/>
      <c r="F133" s="185"/>
    </row>
    <row r="134" spans="1:6">
      <c r="A134" s="1274" t="s">
        <v>1338</v>
      </c>
      <c r="B134" s="1275" t="s">
        <v>6080</v>
      </c>
      <c r="C134" s="1282">
        <v>43983</v>
      </c>
      <c r="D134" s="1283" t="s">
        <v>3871</v>
      </c>
      <c r="E134" s="185"/>
      <c r="F134" s="185"/>
    </row>
    <row r="135" spans="1:6">
      <c r="A135" s="1274" t="s">
        <v>1338</v>
      </c>
      <c r="B135" s="1275" t="s">
        <v>6034</v>
      </c>
      <c r="C135" s="1282">
        <v>43984</v>
      </c>
      <c r="D135" s="1283"/>
      <c r="E135" s="185"/>
      <c r="F135" s="185"/>
    </row>
    <row r="136" spans="1:6" ht="33">
      <c r="A136" s="1274" t="s">
        <v>1338</v>
      </c>
      <c r="B136" s="1276" t="s">
        <v>6093</v>
      </c>
      <c r="C136" s="1282">
        <v>43984</v>
      </c>
      <c r="D136" s="1283"/>
      <c r="E136" s="185"/>
      <c r="F136" s="185"/>
    </row>
    <row r="137" spans="1:6">
      <c r="A137" s="1274" t="s">
        <v>1338</v>
      </c>
      <c r="B137" s="1275" t="s">
        <v>6057</v>
      </c>
      <c r="C137" s="1282">
        <v>43984</v>
      </c>
      <c r="D137" s="1283" t="s">
        <v>3871</v>
      </c>
      <c r="E137" s="185"/>
      <c r="F137" s="185"/>
    </row>
    <row r="138" spans="1:6" ht="33">
      <c r="A138" s="1274" t="s">
        <v>382</v>
      </c>
      <c r="B138" s="1277" t="s">
        <v>6058</v>
      </c>
      <c r="C138" s="1282">
        <v>43984</v>
      </c>
      <c r="D138" s="1283"/>
      <c r="E138" s="185"/>
      <c r="F138" s="185"/>
    </row>
    <row r="139" spans="1:6">
      <c r="A139" s="1274" t="s">
        <v>1338</v>
      </c>
      <c r="B139" s="1275" t="s">
        <v>6059</v>
      </c>
      <c r="C139" s="1282">
        <v>43984</v>
      </c>
      <c r="D139" s="1283" t="s">
        <v>3871</v>
      </c>
      <c r="E139" s="185"/>
      <c r="F139" s="185"/>
    </row>
    <row r="140" spans="1:6">
      <c r="A140" s="1274" t="s">
        <v>1338</v>
      </c>
      <c r="B140" s="1275" t="s">
        <v>6080</v>
      </c>
      <c r="C140" s="1282">
        <v>43984</v>
      </c>
      <c r="D140" s="1283" t="s">
        <v>3871</v>
      </c>
      <c r="E140" s="185"/>
      <c r="F140" s="185"/>
    </row>
    <row r="141" spans="1:6" ht="33">
      <c r="A141" s="1274" t="s">
        <v>382</v>
      </c>
      <c r="B141" s="1277" t="s">
        <v>6081</v>
      </c>
      <c r="C141" s="1282">
        <v>43984</v>
      </c>
      <c r="D141" s="1283"/>
      <c r="E141" s="185"/>
      <c r="F141" s="185"/>
    </row>
    <row r="142" spans="1:6">
      <c r="A142" s="1274" t="s">
        <v>1338</v>
      </c>
      <c r="B142" s="1275" t="s">
        <v>6082</v>
      </c>
      <c r="C142" s="1282">
        <v>43984</v>
      </c>
      <c r="D142" s="1283" t="s">
        <v>3871</v>
      </c>
      <c r="E142" s="185"/>
      <c r="F142" s="185"/>
    </row>
    <row r="143" spans="1:6">
      <c r="A143" s="1274" t="s">
        <v>1338</v>
      </c>
      <c r="B143" s="1275" t="s">
        <v>6059</v>
      </c>
      <c r="C143" s="1282">
        <v>43985</v>
      </c>
      <c r="D143" s="1283" t="s">
        <v>3871</v>
      </c>
      <c r="E143" s="185"/>
      <c r="F143" s="185"/>
    </row>
    <row r="144" spans="1:6" ht="33">
      <c r="A144" s="1274" t="s">
        <v>382</v>
      </c>
      <c r="B144" s="1277" t="s">
        <v>6060</v>
      </c>
      <c r="C144" s="1282">
        <v>43985</v>
      </c>
      <c r="D144" s="1283"/>
      <c r="E144" s="185"/>
      <c r="F144" s="185"/>
    </row>
    <row r="145" spans="1:6">
      <c r="A145" s="1274" t="s">
        <v>1338</v>
      </c>
      <c r="B145" s="1275" t="s">
        <v>6082</v>
      </c>
      <c r="C145" s="1282">
        <v>43985</v>
      </c>
      <c r="D145" s="1283" t="s">
        <v>3871</v>
      </c>
      <c r="E145" s="185"/>
      <c r="F145" s="185"/>
    </row>
    <row r="146" spans="1:6" ht="33">
      <c r="A146" s="1274" t="s">
        <v>382</v>
      </c>
      <c r="B146" s="1277" t="s">
        <v>6083</v>
      </c>
      <c r="C146" s="1282">
        <v>43985</v>
      </c>
      <c r="D146" s="1283"/>
      <c r="E146" s="185"/>
      <c r="F146" s="185"/>
    </row>
    <row r="147" spans="1:6">
      <c r="A147" s="1274" t="s">
        <v>1338</v>
      </c>
      <c r="B147" s="1275" t="s">
        <v>6084</v>
      </c>
      <c r="C147" s="1282">
        <v>43985</v>
      </c>
      <c r="D147" s="1283" t="s">
        <v>3871</v>
      </c>
      <c r="E147" s="185"/>
      <c r="F147" s="185"/>
    </row>
    <row r="148" spans="1:6">
      <c r="A148" s="1274" t="s">
        <v>1338</v>
      </c>
      <c r="B148" s="1275" t="s">
        <v>6061</v>
      </c>
      <c r="C148" s="1282">
        <v>43986</v>
      </c>
      <c r="D148" s="1283"/>
      <c r="E148" s="185"/>
      <c r="F148" s="185"/>
    </row>
    <row r="149" spans="1:6" ht="33">
      <c r="A149" s="1274" t="s">
        <v>1338</v>
      </c>
      <c r="B149" s="1276" t="s">
        <v>6092</v>
      </c>
      <c r="C149" s="1282">
        <v>43986</v>
      </c>
      <c r="D149" s="1283"/>
      <c r="E149" s="185"/>
      <c r="F149" s="185"/>
    </row>
    <row r="150" spans="1:6">
      <c r="A150" s="1274" t="s">
        <v>1338</v>
      </c>
      <c r="B150" s="1275" t="s">
        <v>6084</v>
      </c>
      <c r="C150" s="1282">
        <v>43986</v>
      </c>
      <c r="D150" s="1283" t="s">
        <v>3871</v>
      </c>
      <c r="E150" s="185"/>
      <c r="F150" s="185"/>
    </row>
    <row r="151" spans="1:6" ht="33">
      <c r="A151" s="1274" t="s">
        <v>382</v>
      </c>
      <c r="B151" s="1277" t="s">
        <v>6085</v>
      </c>
      <c r="C151" s="1282">
        <v>43986</v>
      </c>
      <c r="D151" s="1283"/>
      <c r="E151" s="185"/>
      <c r="F151" s="185"/>
    </row>
    <row r="152" spans="1:6">
      <c r="A152" s="1274" t="s">
        <v>1338</v>
      </c>
      <c r="B152" s="1275" t="s">
        <v>6086</v>
      </c>
      <c r="C152" s="1282">
        <v>43986</v>
      </c>
      <c r="D152" s="1283" t="s">
        <v>3871</v>
      </c>
      <c r="E152" s="185"/>
      <c r="F152" s="185"/>
    </row>
    <row r="153" spans="1:6">
      <c r="A153" s="1274" t="s">
        <v>1338</v>
      </c>
      <c r="B153" s="1275" t="s">
        <v>6086</v>
      </c>
      <c r="C153" s="1282">
        <v>43987</v>
      </c>
      <c r="D153" s="1283" t="s">
        <v>3871</v>
      </c>
      <c r="E153" s="185"/>
      <c r="F153" s="185"/>
    </row>
    <row r="154" spans="1:6" ht="33">
      <c r="A154" s="1274" t="s">
        <v>382</v>
      </c>
      <c r="B154" s="1277" t="s">
        <v>6087</v>
      </c>
      <c r="C154" s="1282">
        <v>43987</v>
      </c>
      <c r="D154" s="1283"/>
      <c r="E154" s="185"/>
      <c r="F154" s="185"/>
    </row>
    <row r="155" spans="1:6">
      <c r="A155" s="1274" t="s">
        <v>1338</v>
      </c>
      <c r="B155" s="1275" t="s">
        <v>6088</v>
      </c>
      <c r="C155" s="1282">
        <v>43988</v>
      </c>
      <c r="D155" s="1283"/>
      <c r="E155" s="185"/>
      <c r="F155" s="185"/>
    </row>
    <row r="156" spans="1:6" ht="33">
      <c r="A156" s="1278" t="s">
        <v>1338</v>
      </c>
      <c r="B156" s="1287" t="s">
        <v>6091</v>
      </c>
      <c r="C156" s="1282">
        <v>43988</v>
      </c>
      <c r="D156" s="1283"/>
      <c r="E156" s="185"/>
      <c r="F156" s="185"/>
    </row>
    <row r="157" spans="1:6">
      <c r="A157" s="1281" t="s">
        <v>407</v>
      </c>
      <c r="B157" s="1310" t="s">
        <v>6089</v>
      </c>
      <c r="C157" s="1282">
        <v>43989</v>
      </c>
      <c r="D157" s="1283"/>
      <c r="E157" s="185"/>
      <c r="F157" s="185"/>
    </row>
    <row r="158" spans="1:6">
      <c r="A158" s="1284" t="s">
        <v>407</v>
      </c>
      <c r="B158" s="1311" t="s">
        <v>6090</v>
      </c>
      <c r="C158" s="1285">
        <v>43989</v>
      </c>
      <c r="D158" s="1286"/>
      <c r="E158" s="185"/>
      <c r="F158" s="185"/>
    </row>
    <row r="159" spans="1:6">
      <c r="A159" s="1120"/>
      <c r="B159" s="1121"/>
      <c r="C159" s="1122"/>
      <c r="D159" s="1123"/>
      <c r="E159" s="185"/>
      <c r="F159" s="185"/>
    </row>
    <row r="160" spans="1:6">
      <c r="A160" s="1120"/>
      <c r="B160" s="1121"/>
      <c r="C160" s="1122"/>
      <c r="D160" s="1123"/>
      <c r="E160" s="185"/>
      <c r="F160" s="185"/>
    </row>
    <row r="161" spans="1:6">
      <c r="A161" s="1120"/>
      <c r="B161" s="1121"/>
      <c r="C161" s="1122"/>
      <c r="D161" s="1123"/>
      <c r="E161" s="185"/>
      <c r="F161" s="185"/>
    </row>
    <row r="162" spans="1:6">
      <c r="A162" s="1120"/>
      <c r="B162" s="1125"/>
      <c r="C162" s="1122"/>
      <c r="D162" s="1123"/>
      <c r="E162" s="185"/>
      <c r="F162" s="185"/>
    </row>
    <row r="163" spans="1:6">
      <c r="A163" s="1120"/>
      <c r="B163" s="1124"/>
      <c r="C163" s="1122"/>
      <c r="D163" s="1123"/>
      <c r="E163" s="185"/>
      <c r="F163" s="185"/>
    </row>
    <row r="164" spans="1:6">
      <c r="A164" s="1120"/>
      <c r="B164" s="1124"/>
      <c r="C164" s="1122"/>
      <c r="D164" s="1123"/>
      <c r="E164" s="185"/>
      <c r="F164" s="185"/>
    </row>
    <row r="165" spans="1:6">
      <c r="A165" s="1120"/>
      <c r="B165" s="1121"/>
      <c r="C165" s="1122"/>
      <c r="D165" s="1123"/>
      <c r="E165" s="185"/>
      <c r="F165" s="185"/>
    </row>
    <row r="166" spans="1:6">
      <c r="A166" s="1120"/>
      <c r="B166" s="1125"/>
      <c r="C166" s="1122"/>
      <c r="D166" s="1123"/>
      <c r="E166" s="185"/>
      <c r="F166" s="185"/>
    </row>
    <row r="167" spans="1:6">
      <c r="A167" s="1120"/>
      <c r="B167" s="1124"/>
      <c r="C167" s="1122"/>
      <c r="D167" s="1123"/>
      <c r="E167" s="185"/>
      <c r="F167" s="185"/>
    </row>
    <row r="168" spans="1:6">
      <c r="A168" s="1120"/>
      <c r="B168" s="1124"/>
      <c r="C168" s="1122"/>
      <c r="D168" s="1123"/>
      <c r="E168" s="185"/>
      <c r="F168" s="185"/>
    </row>
    <row r="169" spans="1:6">
      <c r="A169" s="1120"/>
      <c r="B169" s="1121"/>
      <c r="C169" s="1122"/>
      <c r="D169" s="1123"/>
      <c r="E169" s="185"/>
      <c r="F169" s="185"/>
    </row>
    <row r="170" spans="1:6">
      <c r="A170" s="1120"/>
      <c r="B170" s="1125"/>
      <c r="C170" s="1122"/>
      <c r="D170" s="1123"/>
      <c r="E170" s="185"/>
      <c r="F170" s="185"/>
    </row>
    <row r="171" spans="1:6">
      <c r="A171" s="1120"/>
      <c r="B171" s="1124"/>
      <c r="C171" s="1122"/>
      <c r="D171" s="1123"/>
      <c r="E171" s="185"/>
      <c r="F171" s="185"/>
    </row>
    <row r="172" spans="1:6">
      <c r="A172" s="1120"/>
      <c r="B172" s="1121"/>
      <c r="C172" s="1122"/>
      <c r="D172" s="1123"/>
      <c r="E172" s="185"/>
      <c r="F172" s="185"/>
    </row>
    <row r="173" spans="1:6">
      <c r="A173" s="1120"/>
      <c r="B173" s="1125"/>
      <c r="C173" s="1122"/>
      <c r="D173" s="1123"/>
      <c r="E173" s="185"/>
      <c r="F173" s="185"/>
    </row>
    <row r="174" spans="1:6">
      <c r="A174" s="1120"/>
      <c r="B174" s="1121"/>
      <c r="C174" s="1122"/>
      <c r="D174" s="1123"/>
      <c r="E174" s="185"/>
      <c r="F174" s="185"/>
    </row>
    <row r="175" spans="1:6">
      <c r="A175" s="1120"/>
      <c r="B175" s="1125"/>
      <c r="C175" s="1122"/>
      <c r="D175" s="1123"/>
      <c r="E175" s="185"/>
      <c r="F175" s="185"/>
    </row>
    <row r="176" spans="1:6">
      <c r="A176" s="1120"/>
      <c r="B176" s="1124"/>
      <c r="C176" s="1122"/>
      <c r="D176" s="1123"/>
      <c r="E176" s="185"/>
      <c r="F176" s="185"/>
    </row>
    <row r="177" spans="1:6">
      <c r="A177" s="1120"/>
      <c r="B177" s="1124"/>
      <c r="C177" s="1122"/>
      <c r="D177" s="1123"/>
      <c r="E177" s="185"/>
      <c r="F177" s="185"/>
    </row>
    <row r="178" spans="1:6">
      <c r="A178" s="1120"/>
      <c r="B178" s="1121"/>
      <c r="C178" s="1122"/>
      <c r="D178" s="1123"/>
      <c r="E178" s="185"/>
      <c r="F178" s="185"/>
    </row>
    <row r="179" spans="1:6">
      <c r="A179" s="1120"/>
      <c r="B179" s="1125"/>
      <c r="C179" s="1122"/>
      <c r="D179" s="1123"/>
      <c r="E179" s="185"/>
      <c r="F179" s="185"/>
    </row>
    <row r="180" spans="1:6">
      <c r="A180" s="1120"/>
      <c r="B180" s="1124"/>
      <c r="C180" s="1122"/>
      <c r="D180" s="1123"/>
      <c r="E180" s="185"/>
      <c r="F180" s="185"/>
    </row>
    <row r="181" spans="1:6">
      <c r="A181" s="1120"/>
      <c r="B181" s="1124"/>
      <c r="C181" s="1122"/>
      <c r="D181" s="1123"/>
      <c r="E181" s="185"/>
      <c r="F181" s="185"/>
    </row>
    <row r="182" spans="1:6">
      <c r="A182" s="1120"/>
      <c r="B182" s="1121"/>
      <c r="C182" s="1122"/>
      <c r="D182" s="1123"/>
      <c r="E182" s="185"/>
      <c r="F182" s="185"/>
    </row>
    <row r="183" spans="1:6">
      <c r="A183" s="1120"/>
      <c r="B183" s="1125"/>
      <c r="C183" s="1122"/>
      <c r="D183" s="1123"/>
      <c r="E183" s="185"/>
      <c r="F183" s="185"/>
    </row>
    <row r="184" spans="1:6">
      <c r="A184" s="1120"/>
      <c r="B184" s="1124"/>
      <c r="C184" s="1122"/>
      <c r="D184" s="1123"/>
      <c r="E184" s="185"/>
      <c r="F184" s="185"/>
    </row>
    <row r="185" spans="1:6">
      <c r="A185" s="1120"/>
      <c r="B185" s="1121"/>
      <c r="C185" s="1122"/>
      <c r="D185" s="1123"/>
      <c r="E185" s="185"/>
      <c r="F185" s="185"/>
    </row>
    <row r="186" spans="1:6">
      <c r="A186" s="1120"/>
      <c r="B186" s="1125"/>
      <c r="C186" s="1122"/>
      <c r="D186" s="1123"/>
      <c r="E186" s="185"/>
      <c r="F186" s="185"/>
    </row>
    <row r="187" spans="1:6">
      <c r="A187" s="1120"/>
      <c r="B187" s="1121"/>
      <c r="C187" s="1122"/>
      <c r="D187" s="1123"/>
      <c r="E187" s="185"/>
      <c r="F187" s="185"/>
    </row>
    <row r="188" spans="1:6">
      <c r="A188" s="1120"/>
      <c r="B188" s="1125"/>
      <c r="C188" s="1122"/>
      <c r="D188" s="1123"/>
      <c r="E188" s="185"/>
      <c r="F188" s="185"/>
    </row>
    <row r="189" spans="1:6">
      <c r="A189" s="1120"/>
      <c r="B189" s="1121"/>
      <c r="C189" s="1122"/>
      <c r="D189" s="1123"/>
      <c r="E189" s="185"/>
      <c r="F189" s="185"/>
    </row>
    <row r="190" spans="1:6">
      <c r="A190" s="1120"/>
      <c r="B190" s="1125"/>
      <c r="C190" s="1122"/>
      <c r="D190" s="1123"/>
      <c r="E190" s="185"/>
      <c r="F190" s="185"/>
    </row>
    <row r="191" spans="1:6">
      <c r="A191" s="1120"/>
      <c r="B191" s="1124"/>
      <c r="C191" s="1122"/>
      <c r="D191" s="1123"/>
      <c r="E191" s="185"/>
      <c r="F191" s="185"/>
    </row>
    <row r="192" spans="1:6">
      <c r="A192" s="1120"/>
      <c r="B192" s="1124"/>
      <c r="C192" s="1122"/>
      <c r="D192" s="1123"/>
      <c r="E192" s="185"/>
      <c r="F192" s="185"/>
    </row>
    <row r="193" spans="1:6">
      <c r="A193" s="1120"/>
      <c r="B193" s="1121"/>
      <c r="C193" s="1122"/>
      <c r="D193" s="1123"/>
      <c r="E193" s="185"/>
      <c r="F193" s="185"/>
    </row>
    <row r="194" spans="1:6">
      <c r="A194" s="1120"/>
      <c r="B194" s="1124"/>
      <c r="C194" s="1122"/>
      <c r="D194" s="1123"/>
      <c r="E194" s="185"/>
      <c r="F194" s="185"/>
    </row>
    <row r="195" spans="1:6">
      <c r="A195" s="1120"/>
      <c r="B195" s="1124"/>
      <c r="C195" s="1122"/>
      <c r="D195" s="1123"/>
      <c r="E195" s="185"/>
      <c r="F195" s="185"/>
    </row>
    <row r="196" spans="1:6">
      <c r="A196" s="1120"/>
      <c r="B196" s="1124"/>
      <c r="C196" s="1122"/>
      <c r="D196" s="1123"/>
      <c r="E196" s="185"/>
      <c r="F196" s="185"/>
    </row>
    <row r="197" spans="1:6">
      <c r="A197" s="1120"/>
      <c r="B197" s="1124"/>
      <c r="C197" s="1122"/>
      <c r="D197" s="1123"/>
      <c r="E197" s="185"/>
      <c r="F197" s="185"/>
    </row>
    <row r="198" spans="1:6">
      <c r="A198" s="1120"/>
      <c r="B198" s="1121"/>
      <c r="C198" s="1122"/>
      <c r="D198" s="1123"/>
      <c r="E198" s="185"/>
      <c r="F198" s="185"/>
    </row>
    <row r="199" spans="1:6">
      <c r="A199" s="1120"/>
      <c r="B199" s="1121"/>
      <c r="C199" s="1122"/>
      <c r="D199" s="1123"/>
      <c r="E199" s="185"/>
      <c r="F199" s="185"/>
    </row>
    <row r="200" spans="1:6">
      <c r="A200" s="1120"/>
      <c r="B200" s="1121"/>
      <c r="C200" s="1122"/>
      <c r="D200" s="1123"/>
      <c r="E200" s="185"/>
      <c r="F200" s="185"/>
    </row>
    <row r="201" spans="1:6">
      <c r="A201" s="1120"/>
      <c r="B201" s="1124"/>
      <c r="C201" s="1122"/>
      <c r="D201" s="1123"/>
      <c r="E201" s="185"/>
      <c r="F201" s="185"/>
    </row>
    <row r="202" spans="1:6">
      <c r="A202" s="1120"/>
      <c r="B202" s="1121"/>
      <c r="C202" s="1122"/>
      <c r="D202" s="1123"/>
      <c r="E202" s="185"/>
      <c r="F202" s="185"/>
    </row>
    <row r="203" spans="1:6">
      <c r="A203" s="1120"/>
      <c r="B203" s="1125"/>
      <c r="C203" s="1122"/>
      <c r="D203" s="1123"/>
      <c r="E203" s="185"/>
      <c r="F203" s="185"/>
    </row>
    <row r="204" spans="1:6">
      <c r="A204" s="1120"/>
      <c r="B204" s="1121"/>
      <c r="C204" s="1122"/>
      <c r="D204" s="1123"/>
      <c r="E204" s="185"/>
      <c r="F204" s="185"/>
    </row>
    <row r="205" spans="1:6">
      <c r="A205" s="1120"/>
      <c r="B205" s="1124"/>
      <c r="C205" s="1122"/>
      <c r="D205" s="1123"/>
      <c r="E205" s="185"/>
      <c r="F205" s="185"/>
    </row>
    <row r="206" spans="1:6">
      <c r="A206" s="1120"/>
      <c r="B206" s="1121"/>
      <c r="C206" s="1122"/>
      <c r="D206" s="1123"/>
      <c r="E206" s="185"/>
      <c r="F206" s="185"/>
    </row>
    <row r="207" spans="1:6">
      <c r="A207" s="1120"/>
      <c r="B207" s="1124"/>
      <c r="C207" s="1122"/>
      <c r="D207" s="1123"/>
      <c r="E207" s="185"/>
      <c r="F207" s="185"/>
    </row>
    <row r="208" spans="1:6">
      <c r="A208" s="1120"/>
      <c r="B208" s="1121"/>
      <c r="C208" s="1122"/>
      <c r="D208" s="1123"/>
      <c r="E208" s="185"/>
      <c r="F208" s="185"/>
    </row>
    <row r="209" spans="1:6">
      <c r="A209" s="1120"/>
      <c r="B209" s="1125"/>
      <c r="C209" s="1122"/>
      <c r="D209" s="1123"/>
      <c r="E209" s="185"/>
      <c r="F209" s="185"/>
    </row>
    <row r="210" spans="1:6">
      <c r="A210" s="1120"/>
      <c r="B210" s="1121"/>
      <c r="C210" s="1122"/>
      <c r="D210" s="1123"/>
      <c r="E210" s="185"/>
      <c r="F210" s="185"/>
    </row>
    <row r="211" spans="1:6">
      <c r="A211" s="1120"/>
      <c r="B211" s="1124"/>
      <c r="C211" s="1122"/>
      <c r="D211" s="1123"/>
      <c r="E211" s="185"/>
      <c r="F211" s="185"/>
    </row>
    <row r="212" spans="1:6">
      <c r="A212" s="1120"/>
      <c r="B212" s="1121"/>
      <c r="C212" s="1122"/>
      <c r="D212" s="1123"/>
      <c r="E212" s="185"/>
      <c r="F212" s="185"/>
    </row>
    <row r="213" spans="1:6">
      <c r="A213" s="1120"/>
      <c r="B213" s="1124"/>
      <c r="C213" s="1122"/>
      <c r="D213" s="1123"/>
      <c r="E213" s="185"/>
      <c r="F213" s="185"/>
    </row>
    <row r="214" spans="1:6">
      <c r="A214" s="1120"/>
      <c r="B214" s="1121"/>
      <c r="C214" s="1122"/>
      <c r="D214" s="1123"/>
      <c r="E214" s="185"/>
      <c r="F214" s="185"/>
    </row>
    <row r="215" spans="1:6">
      <c r="A215" s="1120"/>
      <c r="B215" s="1125"/>
      <c r="C215" s="1122"/>
      <c r="D215" s="1123"/>
      <c r="E215" s="185"/>
      <c r="F215" s="185"/>
    </row>
    <row r="216" spans="1:6">
      <c r="A216" s="1120"/>
      <c r="B216" s="1124"/>
      <c r="C216" s="1122"/>
      <c r="D216" s="1123"/>
      <c r="E216" s="185"/>
      <c r="F216" s="185"/>
    </row>
    <row r="217" spans="1:6">
      <c r="A217" s="1120"/>
      <c r="B217" s="1124"/>
      <c r="C217" s="1122"/>
      <c r="D217" s="1123"/>
      <c r="E217" s="185"/>
      <c r="F217" s="185"/>
    </row>
    <row r="218" spans="1:6">
      <c r="A218" s="1120"/>
      <c r="B218" s="1121"/>
      <c r="C218" s="1122"/>
      <c r="D218" s="1123"/>
      <c r="E218" s="185"/>
      <c r="F218" s="185"/>
    </row>
    <row r="219" spans="1:6">
      <c r="A219" s="1120"/>
      <c r="B219" s="1121"/>
      <c r="C219" s="1122"/>
      <c r="D219" s="1123"/>
      <c r="E219" s="185"/>
      <c r="F219" s="185"/>
    </row>
    <row r="220" spans="1:6">
      <c r="A220" s="1120"/>
      <c r="B220" s="1121"/>
      <c r="C220" s="1122"/>
      <c r="D220" s="1123"/>
      <c r="E220" s="185"/>
      <c r="F220" s="185"/>
    </row>
    <row r="221" spans="1:6">
      <c r="A221" s="1120"/>
      <c r="B221" s="1121"/>
      <c r="C221" s="1122"/>
      <c r="D221" s="1123"/>
      <c r="E221" s="185"/>
      <c r="F221" s="185"/>
    </row>
    <row r="222" spans="1:6">
      <c r="A222" s="1120"/>
      <c r="B222" s="1124"/>
      <c r="C222" s="1122"/>
      <c r="D222" s="1123"/>
      <c r="E222" s="185"/>
      <c r="F222" s="185"/>
    </row>
    <row r="223" spans="1:6">
      <c r="A223" s="1120"/>
      <c r="B223" s="1124"/>
      <c r="C223" s="1122"/>
      <c r="D223" s="1123"/>
      <c r="E223" s="185"/>
      <c r="F223" s="185"/>
    </row>
    <row r="224" spans="1:6">
      <c r="A224" s="1120"/>
      <c r="B224" s="1121"/>
      <c r="C224" s="1122"/>
      <c r="D224" s="1123"/>
      <c r="E224" s="185"/>
      <c r="F224" s="185"/>
    </row>
    <row r="225" spans="1:6">
      <c r="A225" s="1120"/>
      <c r="B225" s="1121"/>
      <c r="C225" s="1122"/>
      <c r="D225" s="1123"/>
      <c r="E225" s="185"/>
      <c r="F225" s="185"/>
    </row>
    <row r="226" spans="1:6">
      <c r="A226" s="1120"/>
      <c r="B226" s="1121"/>
      <c r="C226" s="1122"/>
      <c r="D226" s="1123"/>
      <c r="E226" s="185"/>
      <c r="F226" s="185"/>
    </row>
    <row r="227" spans="1:6">
      <c r="A227" s="1120"/>
      <c r="B227" s="1121"/>
      <c r="C227" s="1122"/>
      <c r="D227" s="1123"/>
      <c r="E227" s="185"/>
      <c r="F227" s="185"/>
    </row>
    <row r="228" spans="1:6">
      <c r="A228" s="1120"/>
      <c r="B228" s="1124"/>
      <c r="C228" s="1122"/>
      <c r="D228" s="1123"/>
      <c r="E228" s="185"/>
      <c r="F228" s="185"/>
    </row>
    <row r="229" spans="1:6">
      <c r="A229" s="1120"/>
      <c r="B229" s="1121"/>
      <c r="C229" s="1122"/>
      <c r="D229" s="1123"/>
      <c r="E229" s="185"/>
      <c r="F229" s="185"/>
    </row>
    <row r="230" spans="1:6">
      <c r="A230" s="1120"/>
      <c r="B230" s="1124"/>
      <c r="C230" s="1122"/>
      <c r="D230" s="1123"/>
      <c r="E230" s="185"/>
      <c r="F230" s="185"/>
    </row>
    <row r="231" spans="1:6">
      <c r="A231" s="1120"/>
      <c r="B231" s="1121"/>
      <c r="C231" s="1122"/>
      <c r="D231" s="1123"/>
      <c r="E231" s="185"/>
      <c r="F231" s="185"/>
    </row>
    <row r="232" spans="1:6">
      <c r="A232" s="1120"/>
      <c r="B232" s="1125"/>
      <c r="C232" s="1122"/>
      <c r="D232" s="1123"/>
      <c r="E232" s="185"/>
      <c r="F232" s="185"/>
    </row>
    <row r="233" spans="1:6">
      <c r="A233" s="1120"/>
      <c r="B233" s="1124"/>
      <c r="C233" s="1122"/>
      <c r="D233" s="1123"/>
      <c r="E233" s="185"/>
      <c r="F233" s="185"/>
    </row>
    <row r="234" spans="1:6">
      <c r="A234" s="1120"/>
      <c r="B234" s="1124"/>
      <c r="C234" s="1122"/>
      <c r="D234" s="1123"/>
      <c r="E234" s="185"/>
      <c r="F234" s="185"/>
    </row>
    <row r="235" spans="1:6">
      <c r="A235" s="1120"/>
      <c r="B235" s="1121"/>
      <c r="C235" s="1122"/>
      <c r="D235" s="1123"/>
      <c r="E235" s="185"/>
      <c r="F235" s="185"/>
    </row>
    <row r="236" spans="1:6">
      <c r="A236" s="1120"/>
      <c r="B236" s="1124"/>
      <c r="C236" s="1122"/>
      <c r="D236" s="1123"/>
      <c r="E236" s="185"/>
      <c r="F236" s="185"/>
    </row>
    <row r="237" spans="1:6">
      <c r="A237" s="1120"/>
      <c r="B237" s="1124"/>
      <c r="C237" s="1122"/>
      <c r="D237" s="1123"/>
      <c r="E237" s="185"/>
      <c r="F237" s="185"/>
    </row>
    <row r="238" spans="1:6">
      <c r="A238" s="1120"/>
      <c r="B238" s="1121"/>
      <c r="C238" s="1122"/>
      <c r="D238" s="1123"/>
      <c r="E238" s="185"/>
      <c r="F238" s="185"/>
    </row>
    <row r="239" spans="1:6">
      <c r="A239" s="1120"/>
      <c r="B239" s="1121"/>
      <c r="C239" s="1122"/>
      <c r="D239" s="1123"/>
      <c r="E239" s="185"/>
      <c r="F239" s="185"/>
    </row>
    <row r="240" spans="1:6">
      <c r="A240" s="1120"/>
      <c r="B240" s="1121"/>
      <c r="C240" s="1122"/>
      <c r="D240" s="1123"/>
      <c r="E240" s="185"/>
      <c r="F240" s="185"/>
    </row>
    <row r="241" spans="1:6">
      <c r="A241" s="1120"/>
      <c r="B241" s="1121"/>
      <c r="C241" s="1122"/>
      <c r="D241" s="1123"/>
      <c r="E241" s="185"/>
      <c r="F241" s="185"/>
    </row>
    <row r="242" spans="1:6">
      <c r="A242" s="1120"/>
      <c r="B242" s="1124"/>
      <c r="C242" s="1122"/>
      <c r="D242" s="1123"/>
      <c r="E242" s="185"/>
      <c r="F242" s="185"/>
    </row>
    <row r="243" spans="1:6">
      <c r="A243" s="1120"/>
      <c r="B243" s="1121"/>
      <c r="C243" s="1122"/>
      <c r="D243" s="1123"/>
      <c r="E243" s="185"/>
      <c r="F243" s="185"/>
    </row>
    <row r="244" spans="1:6">
      <c r="A244" s="1120"/>
      <c r="B244" s="1121"/>
      <c r="C244" s="1122"/>
      <c r="D244" s="1123"/>
      <c r="E244" s="185"/>
      <c r="F244" s="185"/>
    </row>
    <row r="245" spans="1:6">
      <c r="A245" s="1120"/>
      <c r="B245" s="1121"/>
      <c r="C245" s="1122"/>
      <c r="D245" s="1123"/>
      <c r="E245" s="185"/>
      <c r="F245" s="185"/>
    </row>
    <row r="246" spans="1:6">
      <c r="A246" s="1120"/>
      <c r="B246" s="1124"/>
      <c r="C246" s="1122"/>
      <c r="D246" s="1123"/>
      <c r="E246" s="185"/>
      <c r="F246" s="185"/>
    </row>
    <row r="247" spans="1:6">
      <c r="A247" s="1120"/>
      <c r="B247" s="1124"/>
      <c r="C247" s="1122"/>
      <c r="D247" s="1123"/>
      <c r="E247" s="185"/>
      <c r="F247" s="185"/>
    </row>
    <row r="248" spans="1:6">
      <c r="A248" s="1120"/>
      <c r="B248" s="1124"/>
      <c r="C248" s="1122"/>
      <c r="D248" s="1123"/>
      <c r="E248" s="185"/>
      <c r="F248" s="185"/>
    </row>
    <row r="249" spans="1:6">
      <c r="A249" s="1120"/>
      <c r="B249" s="1124"/>
      <c r="C249" s="1122"/>
      <c r="D249" s="1123"/>
      <c r="E249" s="185"/>
      <c r="F249" s="185"/>
    </row>
    <row r="250" spans="1:6">
      <c r="A250" s="1120"/>
      <c r="B250" s="1121"/>
      <c r="C250" s="1122"/>
      <c r="D250" s="1123"/>
      <c r="E250" s="185"/>
      <c r="F250" s="185"/>
    </row>
    <row r="251" spans="1:6">
      <c r="A251" s="1120"/>
      <c r="B251" s="1124"/>
      <c r="C251" s="1122"/>
      <c r="D251" s="1123"/>
      <c r="E251" s="185"/>
      <c r="F251" s="185"/>
    </row>
    <row r="252" spans="1:6">
      <c r="A252" s="1120"/>
      <c r="B252" s="1124"/>
      <c r="C252" s="1122"/>
      <c r="D252" s="1123"/>
      <c r="E252" s="185"/>
      <c r="F252" s="185"/>
    </row>
    <row r="253" spans="1:6">
      <c r="A253" s="1120"/>
      <c r="B253" s="1121"/>
      <c r="C253" s="1122"/>
      <c r="D253" s="1123"/>
      <c r="E253" s="185"/>
      <c r="F253" s="185"/>
    </row>
    <row r="254" spans="1:6">
      <c r="A254" s="1120"/>
      <c r="B254" s="1121"/>
      <c r="C254" s="1122"/>
      <c r="D254" s="1123"/>
      <c r="E254" s="185"/>
      <c r="F254" s="185"/>
    </row>
    <row r="255" spans="1:6">
      <c r="A255" s="1120"/>
      <c r="B255" s="1124"/>
      <c r="C255" s="1122"/>
      <c r="D255" s="1123"/>
      <c r="E255" s="185"/>
      <c r="F255" s="185"/>
    </row>
    <row r="256" spans="1:6">
      <c r="A256" s="1120"/>
      <c r="B256" s="1121"/>
      <c r="C256" s="1122"/>
      <c r="D256" s="1123"/>
      <c r="E256" s="185"/>
      <c r="F256" s="185"/>
    </row>
    <row r="257" spans="1:6">
      <c r="A257" s="1120"/>
      <c r="B257" s="1125"/>
      <c r="C257" s="1122"/>
      <c r="D257" s="1123"/>
      <c r="E257" s="185"/>
      <c r="F257" s="185"/>
    </row>
    <row r="258" spans="1:6">
      <c r="A258" s="1120"/>
      <c r="B258" s="1121"/>
      <c r="C258" s="1122"/>
      <c r="D258" s="1123"/>
      <c r="E258" s="185"/>
      <c r="F258" s="185"/>
    </row>
    <row r="259" spans="1:6">
      <c r="A259" s="1120"/>
      <c r="B259" s="1124"/>
      <c r="C259" s="1122"/>
      <c r="D259" s="1123"/>
      <c r="E259" s="185"/>
      <c r="F259" s="185"/>
    </row>
    <row r="260" spans="1:6">
      <c r="A260" s="1120"/>
      <c r="B260" s="1121"/>
      <c r="C260" s="1122"/>
      <c r="D260" s="1123"/>
      <c r="E260" s="185"/>
      <c r="F260" s="185"/>
    </row>
    <row r="261" spans="1:6">
      <c r="A261" s="1120"/>
      <c r="B261" s="1124"/>
      <c r="C261" s="1122"/>
      <c r="D261" s="1123"/>
      <c r="E261" s="185"/>
      <c r="F261" s="185"/>
    </row>
    <row r="262" spans="1:6">
      <c r="A262" s="1120"/>
      <c r="B262" s="1121"/>
      <c r="C262" s="1122"/>
      <c r="D262" s="1123"/>
      <c r="E262" s="185"/>
      <c r="F262" s="185"/>
    </row>
    <row r="263" spans="1:6">
      <c r="A263" s="1120"/>
      <c r="B263" s="1124"/>
      <c r="C263" s="1122"/>
      <c r="D263" s="1123"/>
      <c r="E263" s="185"/>
      <c r="F263" s="185"/>
    </row>
    <row r="264" spans="1:6">
      <c r="A264" s="1120"/>
      <c r="B264" s="1121"/>
      <c r="C264" s="1122"/>
      <c r="D264" s="1123"/>
      <c r="E264" s="185"/>
      <c r="F264" s="185"/>
    </row>
    <row r="265" spans="1:6">
      <c r="A265" s="1120"/>
      <c r="B265" s="1125"/>
      <c r="C265" s="1122"/>
      <c r="D265" s="1123"/>
      <c r="E265" s="185"/>
      <c r="F265" s="185"/>
    </row>
    <row r="266" spans="1:6">
      <c r="A266" s="1120"/>
      <c r="B266" s="1124"/>
      <c r="C266" s="1122"/>
      <c r="D266" s="1123"/>
      <c r="E266" s="185"/>
      <c r="F266" s="185"/>
    </row>
    <row r="267" spans="1:6">
      <c r="A267" s="1120"/>
      <c r="B267" s="1121"/>
      <c r="C267" s="1122"/>
      <c r="D267" s="1123"/>
      <c r="E267" s="185"/>
      <c r="F267" s="185"/>
    </row>
    <row r="268" spans="1:6">
      <c r="A268" s="1120"/>
      <c r="B268" s="1124"/>
      <c r="C268" s="1122"/>
      <c r="D268" s="1123"/>
      <c r="E268" s="185"/>
      <c r="F268" s="185"/>
    </row>
    <row r="269" spans="1:6">
      <c r="A269" s="1120"/>
      <c r="B269" s="1121"/>
      <c r="C269" s="1122"/>
      <c r="D269" s="1123"/>
      <c r="E269" s="185"/>
      <c r="F269" s="185"/>
    </row>
    <row r="270" spans="1:6">
      <c r="A270" s="1120"/>
      <c r="B270" s="1125"/>
      <c r="C270" s="1122"/>
      <c r="D270" s="1123"/>
      <c r="E270" s="185"/>
      <c r="F270" s="185"/>
    </row>
    <row r="271" spans="1:6">
      <c r="A271" s="1120"/>
      <c r="B271" s="1121"/>
      <c r="C271" s="1122"/>
      <c r="D271" s="1123"/>
      <c r="E271" s="185"/>
      <c r="F271" s="185"/>
    </row>
    <row r="272" spans="1:6">
      <c r="A272" s="1120"/>
      <c r="B272" s="1124"/>
      <c r="C272" s="1122"/>
      <c r="D272" s="1123"/>
      <c r="E272" s="185"/>
      <c r="F272" s="185"/>
    </row>
    <row r="273" spans="1:6">
      <c r="A273" s="1120"/>
      <c r="B273" s="1121"/>
      <c r="C273" s="1122"/>
      <c r="D273" s="1123"/>
      <c r="E273" s="185"/>
      <c r="F273" s="185"/>
    </row>
    <row r="274" spans="1:6">
      <c r="A274" s="1120"/>
      <c r="B274" s="1124"/>
      <c r="C274" s="1122"/>
      <c r="D274" s="1123"/>
      <c r="E274" s="185"/>
      <c r="F274" s="185"/>
    </row>
    <row r="275" spans="1:6">
      <c r="A275" s="1120"/>
      <c r="B275" s="1121"/>
      <c r="C275" s="1122"/>
      <c r="D275" s="1123"/>
      <c r="E275" s="185"/>
      <c r="F275" s="185"/>
    </row>
    <row r="276" spans="1:6">
      <c r="A276" s="1120"/>
      <c r="B276" s="1125"/>
      <c r="C276" s="1122"/>
      <c r="D276" s="1123"/>
      <c r="E276" s="185"/>
      <c r="F276" s="185"/>
    </row>
    <row r="277" spans="1:6">
      <c r="A277" s="1120"/>
      <c r="B277" s="1124"/>
      <c r="C277" s="1122"/>
      <c r="D277" s="1123"/>
      <c r="E277" s="185"/>
      <c r="F277" s="185"/>
    </row>
    <row r="278" spans="1:6">
      <c r="A278" s="1120"/>
      <c r="B278" s="1124"/>
      <c r="C278" s="1122"/>
      <c r="D278" s="1123"/>
      <c r="E278" s="185"/>
      <c r="F278" s="185"/>
    </row>
    <row r="279" spans="1:6">
      <c r="A279" s="1120"/>
      <c r="B279" s="1121"/>
      <c r="C279" s="1122"/>
      <c r="D279" s="1123"/>
      <c r="E279" s="185"/>
      <c r="F279" s="185"/>
    </row>
    <row r="280" spans="1:6">
      <c r="A280" s="1120"/>
      <c r="B280" s="1121"/>
      <c r="C280" s="1122"/>
      <c r="D280" s="1123"/>
      <c r="E280" s="185"/>
      <c r="F280" s="185"/>
    </row>
    <row r="281" spans="1:6">
      <c r="A281" s="1120"/>
      <c r="B281" s="1121"/>
      <c r="C281" s="1122"/>
      <c r="D281" s="1123"/>
      <c r="E281" s="185"/>
      <c r="F281" s="185"/>
    </row>
    <row r="282" spans="1:6">
      <c r="A282" s="1120"/>
      <c r="B282" s="1124"/>
      <c r="C282" s="1122"/>
      <c r="D282" s="1123"/>
      <c r="E282" s="185"/>
      <c r="F282" s="185"/>
    </row>
    <row r="283" spans="1:6">
      <c r="A283" s="1120"/>
      <c r="B283" s="1124"/>
      <c r="C283" s="1122"/>
      <c r="D283" s="1123"/>
      <c r="E283" s="185"/>
      <c r="F283" s="185"/>
    </row>
    <row r="284" spans="1:6">
      <c r="A284" s="1120"/>
      <c r="B284" s="1121"/>
      <c r="C284" s="1122"/>
      <c r="D284" s="1123"/>
      <c r="E284" s="185"/>
      <c r="F284" s="185"/>
    </row>
    <row r="285" spans="1:6">
      <c r="A285" s="1120"/>
      <c r="B285" s="1121"/>
      <c r="C285" s="1122"/>
      <c r="D285" s="1123"/>
      <c r="E285" s="185"/>
      <c r="F285" s="185"/>
    </row>
    <row r="286" spans="1:6">
      <c r="A286" s="1120"/>
      <c r="B286" s="1121"/>
      <c r="C286" s="1122"/>
      <c r="D286" s="1123"/>
      <c r="E286" s="185"/>
      <c r="F286" s="185"/>
    </row>
    <row r="287" spans="1:6">
      <c r="A287" s="1120"/>
      <c r="B287" s="1124"/>
      <c r="C287" s="1122"/>
      <c r="D287" s="1123"/>
      <c r="E287" s="185"/>
      <c r="F287" s="185"/>
    </row>
    <row r="288" spans="1:6">
      <c r="A288" s="1120"/>
      <c r="B288" s="1121"/>
      <c r="C288" s="1122"/>
      <c r="D288" s="1123"/>
      <c r="E288" s="185"/>
      <c r="F288" s="185"/>
    </row>
    <row r="289" spans="1:6">
      <c r="A289" s="1120"/>
      <c r="B289" s="1124"/>
      <c r="C289" s="1122"/>
      <c r="D289" s="1123"/>
      <c r="E289" s="185"/>
      <c r="F289" s="185"/>
    </row>
    <row r="290" spans="1:6">
      <c r="A290" s="1120"/>
      <c r="B290" s="1121"/>
      <c r="C290" s="1122"/>
      <c r="D290" s="1123"/>
      <c r="E290" s="185"/>
      <c r="F290" s="185"/>
    </row>
    <row r="291" spans="1:6">
      <c r="A291" s="1120"/>
      <c r="B291" s="1124"/>
      <c r="C291" s="1122"/>
      <c r="D291" s="1123"/>
      <c r="E291" s="185"/>
      <c r="F291" s="185"/>
    </row>
    <row r="292" spans="1:6">
      <c r="A292" s="1120"/>
      <c r="B292" s="1121"/>
      <c r="C292" s="1122"/>
      <c r="D292" s="1123"/>
      <c r="E292" s="185"/>
      <c r="F292" s="185"/>
    </row>
    <row r="293" spans="1:6">
      <c r="A293" s="1120"/>
      <c r="B293" s="1125"/>
      <c r="C293" s="1122"/>
      <c r="D293" s="1123"/>
      <c r="E293" s="185"/>
      <c r="F293" s="185"/>
    </row>
    <row r="294" spans="1:6">
      <c r="A294" s="1120"/>
      <c r="B294" s="1121"/>
      <c r="C294" s="1122"/>
      <c r="D294" s="1123"/>
      <c r="E294" s="185"/>
      <c r="F294" s="185"/>
    </row>
    <row r="295" spans="1:6">
      <c r="A295" s="1120"/>
      <c r="B295" s="1124"/>
      <c r="C295" s="1122"/>
      <c r="D295" s="1123"/>
      <c r="E295" s="185"/>
      <c r="F295" s="185"/>
    </row>
    <row r="296" spans="1:6">
      <c r="A296" s="1120"/>
      <c r="B296" s="1124"/>
      <c r="C296" s="1122"/>
      <c r="D296" s="1123"/>
      <c r="E296" s="185"/>
      <c r="F296" s="185"/>
    </row>
    <row r="297" spans="1:6">
      <c r="A297" s="1120"/>
      <c r="B297" s="1124"/>
      <c r="C297" s="1122"/>
      <c r="D297" s="1123"/>
      <c r="E297" s="185"/>
      <c r="F297" s="185"/>
    </row>
    <row r="298" spans="1:6">
      <c r="A298" s="1120"/>
      <c r="B298" s="1121"/>
      <c r="C298" s="1122"/>
      <c r="D298" s="1123"/>
      <c r="E298" s="185"/>
      <c r="F298" s="185"/>
    </row>
    <row r="299" spans="1:6">
      <c r="A299" s="1120"/>
      <c r="B299" s="1124"/>
      <c r="C299" s="1122"/>
      <c r="D299" s="1123"/>
      <c r="E299" s="185"/>
      <c r="F299" s="185"/>
    </row>
    <row r="300" spans="1:6">
      <c r="A300" s="1120"/>
      <c r="B300" s="1124"/>
      <c r="C300" s="1122"/>
      <c r="D300" s="1123"/>
      <c r="E300" s="185"/>
      <c r="F300" s="185"/>
    </row>
    <row r="301" spans="1:6">
      <c r="A301" s="1120"/>
      <c r="B301" s="1121"/>
      <c r="C301" s="1122"/>
      <c r="D301" s="1123"/>
      <c r="E301" s="185"/>
      <c r="F301" s="185"/>
    </row>
    <row r="302" spans="1:6">
      <c r="A302" s="1120"/>
      <c r="B302" s="1121"/>
      <c r="C302" s="1122"/>
      <c r="D302" s="1123"/>
      <c r="E302" s="185"/>
      <c r="F302" s="185"/>
    </row>
    <row r="303" spans="1:6">
      <c r="A303" s="1120"/>
      <c r="B303" s="1124"/>
      <c r="C303" s="1122"/>
      <c r="D303" s="1123"/>
      <c r="E303" s="185"/>
      <c r="F303" s="185"/>
    </row>
    <row r="304" spans="1:6">
      <c r="A304" s="1120"/>
      <c r="B304" s="1124"/>
      <c r="C304" s="1122"/>
      <c r="D304" s="1123"/>
      <c r="E304" s="185"/>
      <c r="F304" s="185"/>
    </row>
    <row r="305" spans="1:6">
      <c r="A305" s="1120"/>
      <c r="B305" s="1121"/>
      <c r="C305" s="1122"/>
      <c r="D305" s="1123"/>
      <c r="E305" s="185"/>
      <c r="F305" s="185"/>
    </row>
    <row r="306" spans="1:6">
      <c r="A306" s="1120"/>
      <c r="B306" s="1121"/>
      <c r="C306" s="1122"/>
      <c r="D306" s="1123"/>
      <c r="E306" s="185"/>
      <c r="F306" s="185"/>
    </row>
    <row r="307" spans="1:6">
      <c r="A307" s="1120"/>
      <c r="B307" s="1121"/>
      <c r="C307" s="1122"/>
      <c r="D307" s="1123"/>
      <c r="E307" s="185"/>
      <c r="F307" s="185"/>
    </row>
    <row r="308" spans="1:6">
      <c r="A308" s="1120"/>
      <c r="B308" s="1124"/>
      <c r="C308" s="1122"/>
      <c r="D308" s="1123"/>
      <c r="E308" s="185"/>
      <c r="F308" s="185"/>
    </row>
    <row r="309" spans="1:6">
      <c r="A309" s="1120"/>
      <c r="B309" s="1124"/>
      <c r="C309" s="1122"/>
      <c r="D309" s="1123"/>
      <c r="E309" s="185"/>
      <c r="F309" s="185"/>
    </row>
    <row r="310" spans="1:6">
      <c r="A310" s="1120"/>
      <c r="B310" s="1121"/>
      <c r="C310" s="1122"/>
      <c r="D310" s="1123"/>
      <c r="E310" s="185"/>
      <c r="F310" s="185"/>
    </row>
    <row r="311" spans="1:6">
      <c r="A311" s="1120"/>
      <c r="B311" s="1124"/>
      <c r="C311" s="1122"/>
      <c r="D311" s="1123"/>
      <c r="E311" s="185"/>
      <c r="F311" s="185"/>
    </row>
    <row r="312" spans="1:6">
      <c r="A312" s="1120"/>
      <c r="B312" s="1124"/>
      <c r="C312" s="1122"/>
      <c r="D312" s="1123"/>
      <c r="E312" s="185"/>
      <c r="F312" s="185"/>
    </row>
    <row r="313" spans="1:6">
      <c r="A313" s="1120"/>
      <c r="B313" s="1124"/>
      <c r="C313" s="1122"/>
      <c r="D313" s="1123"/>
      <c r="E313" s="185"/>
      <c r="F313" s="185"/>
    </row>
    <row r="314" spans="1:6">
      <c r="A314" s="1120"/>
      <c r="B314" s="1124"/>
      <c r="C314" s="1122"/>
      <c r="D314" s="1123"/>
      <c r="E314" s="185"/>
      <c r="F314" s="185"/>
    </row>
    <row r="315" spans="1:6">
      <c r="A315" s="1120"/>
      <c r="B315" s="1124"/>
      <c r="C315" s="1122"/>
      <c r="D315" s="1123"/>
      <c r="E315" s="185"/>
      <c r="F315" s="185"/>
    </row>
    <row r="316" spans="1:6">
      <c r="A316" s="1120"/>
      <c r="B316" s="1121"/>
      <c r="C316" s="1122"/>
      <c r="D316" s="1123"/>
      <c r="E316" s="185"/>
      <c r="F316" s="185"/>
    </row>
    <row r="317" spans="1:6">
      <c r="A317" s="1120"/>
      <c r="B317" s="1124"/>
      <c r="C317" s="1122"/>
      <c r="D317" s="1123"/>
      <c r="E317" s="185"/>
      <c r="F317" s="185"/>
    </row>
    <row r="318" spans="1:6">
      <c r="A318" s="1120"/>
      <c r="B318" s="1124"/>
      <c r="C318" s="1122"/>
      <c r="D318" s="1123"/>
      <c r="E318" s="185"/>
      <c r="F318" s="185"/>
    </row>
    <row r="319" spans="1:6">
      <c r="A319" s="1120"/>
      <c r="B319" s="1121"/>
      <c r="C319" s="1122"/>
      <c r="D319" s="1123"/>
      <c r="E319" s="185"/>
      <c r="F319" s="185"/>
    </row>
    <row r="320" spans="1:6">
      <c r="A320" s="1120"/>
      <c r="B320" s="1121"/>
      <c r="C320" s="1122"/>
      <c r="D320" s="1123"/>
      <c r="E320" s="185"/>
      <c r="F320" s="185"/>
    </row>
    <row r="321" spans="1:6">
      <c r="A321" s="1120"/>
      <c r="B321" s="1124"/>
      <c r="C321" s="1122"/>
      <c r="D321" s="1123"/>
      <c r="E321" s="185"/>
      <c r="F321" s="185"/>
    </row>
    <row r="322" spans="1:6">
      <c r="A322" s="1120"/>
      <c r="B322" s="1121"/>
      <c r="C322" s="1122"/>
      <c r="D322" s="1123"/>
      <c r="E322" s="185"/>
      <c r="F322" s="185"/>
    </row>
    <row r="323" spans="1:6">
      <c r="A323" s="1120"/>
      <c r="B323" s="1124"/>
      <c r="C323" s="1122"/>
      <c r="D323" s="1123"/>
      <c r="E323" s="185"/>
      <c r="F323" s="185"/>
    </row>
    <row r="324" spans="1:6">
      <c r="A324" s="1120"/>
      <c r="B324" s="1121"/>
      <c r="C324" s="1122"/>
      <c r="D324" s="1123"/>
      <c r="E324" s="185"/>
      <c r="F324" s="185"/>
    </row>
    <row r="325" spans="1:6">
      <c r="A325" s="1120"/>
      <c r="B325" s="1124"/>
      <c r="C325" s="1122"/>
      <c r="D325" s="1123"/>
      <c r="E325" s="185"/>
      <c r="F325" s="185"/>
    </row>
    <row r="326" spans="1:6">
      <c r="A326" s="1120"/>
      <c r="B326" s="1121"/>
      <c r="C326" s="1122"/>
      <c r="D326" s="1123"/>
      <c r="E326" s="185"/>
      <c r="F326" s="185"/>
    </row>
    <row r="327" spans="1:6">
      <c r="A327" s="1120"/>
      <c r="B327" s="1125"/>
      <c r="C327" s="1122"/>
      <c r="D327" s="1123"/>
      <c r="E327" s="185"/>
      <c r="F327" s="185"/>
    </row>
    <row r="328" spans="1:6">
      <c r="A328" s="1120"/>
      <c r="B328" s="1124"/>
      <c r="C328" s="1122"/>
      <c r="D328" s="1123"/>
      <c r="E328" s="185"/>
      <c r="F328" s="185"/>
    </row>
    <row r="329" spans="1:6">
      <c r="A329" s="1120"/>
      <c r="B329" s="1121"/>
      <c r="C329" s="1122"/>
      <c r="D329" s="1123"/>
      <c r="E329" s="185"/>
      <c r="F329" s="185"/>
    </row>
    <row r="330" spans="1:6">
      <c r="A330" s="1120"/>
      <c r="B330" s="1124"/>
      <c r="C330" s="1122"/>
      <c r="D330" s="1123"/>
      <c r="E330" s="185"/>
      <c r="F330" s="185"/>
    </row>
    <row r="331" spans="1:6">
      <c r="A331" s="1120"/>
      <c r="B331" s="1124"/>
      <c r="C331" s="1122"/>
      <c r="D331" s="1123"/>
      <c r="E331" s="185"/>
      <c r="F331" s="185"/>
    </row>
    <row r="332" spans="1:6">
      <c r="A332" s="1120"/>
      <c r="B332" s="1121"/>
      <c r="C332" s="1122"/>
      <c r="D332" s="1123"/>
      <c r="E332" s="185"/>
      <c r="F332" s="185"/>
    </row>
    <row r="333" spans="1:6">
      <c r="A333" s="1120"/>
      <c r="B333" s="1124"/>
      <c r="C333" s="1122"/>
      <c r="D333" s="1123"/>
      <c r="E333" s="185"/>
      <c r="F333" s="185"/>
    </row>
    <row r="334" spans="1:6">
      <c r="A334" s="1120"/>
      <c r="B334" s="1121"/>
      <c r="C334" s="1122"/>
      <c r="D334" s="1123"/>
      <c r="E334" s="185"/>
      <c r="F334" s="185"/>
    </row>
    <row r="335" spans="1:6">
      <c r="A335" s="1120"/>
      <c r="B335" s="1125"/>
      <c r="C335" s="1122"/>
      <c r="D335" s="1123"/>
      <c r="E335" s="185"/>
      <c r="F335" s="185"/>
    </row>
    <row r="336" spans="1:6">
      <c r="A336" s="1120"/>
      <c r="B336" s="1124"/>
      <c r="C336" s="1122"/>
      <c r="D336" s="1123"/>
      <c r="E336" s="185"/>
      <c r="F336" s="185"/>
    </row>
    <row r="337" spans="1:6">
      <c r="A337" s="1120"/>
      <c r="B337" s="1124"/>
      <c r="C337" s="1122"/>
      <c r="D337" s="1123"/>
      <c r="E337" s="185"/>
      <c r="F337" s="185"/>
    </row>
    <row r="338" spans="1:6">
      <c r="A338" s="1120"/>
      <c r="B338" s="1121"/>
      <c r="C338" s="1122"/>
      <c r="D338" s="1123"/>
      <c r="E338" s="185"/>
      <c r="F338" s="185"/>
    </row>
    <row r="339" spans="1:6">
      <c r="A339" s="1120"/>
      <c r="B339" s="1121"/>
      <c r="C339" s="1122"/>
      <c r="D339" s="1123"/>
      <c r="E339" s="185"/>
      <c r="F339" s="185"/>
    </row>
    <row r="340" spans="1:6">
      <c r="A340" s="1120"/>
      <c r="B340" s="1121"/>
      <c r="C340" s="1122"/>
      <c r="D340" s="1123"/>
      <c r="E340" s="185"/>
      <c r="F340" s="185"/>
    </row>
    <row r="341" spans="1:6">
      <c r="A341" s="1120"/>
      <c r="B341" s="1124"/>
      <c r="C341" s="1122"/>
      <c r="D341" s="1123"/>
      <c r="E341" s="185"/>
      <c r="F341" s="185"/>
    </row>
    <row r="342" spans="1:6">
      <c r="A342" s="1120"/>
      <c r="B342" s="1124"/>
      <c r="C342" s="1122"/>
      <c r="D342" s="1123"/>
      <c r="E342" s="185"/>
      <c r="F342" s="185"/>
    </row>
    <row r="343" spans="1:6">
      <c r="A343" s="1120"/>
      <c r="B343" s="1124"/>
      <c r="C343" s="1122"/>
      <c r="D343" s="1123"/>
      <c r="E343" s="185"/>
      <c r="F343" s="185"/>
    </row>
    <row r="344" spans="1:6">
      <c r="A344" s="1120"/>
      <c r="B344" s="1121"/>
      <c r="C344" s="1122"/>
      <c r="D344" s="1123"/>
      <c r="E344" s="185"/>
      <c r="F344" s="185"/>
    </row>
    <row r="345" spans="1:6">
      <c r="A345" s="1120"/>
      <c r="B345" s="1124"/>
      <c r="C345" s="1122"/>
      <c r="D345" s="1123"/>
      <c r="E345" s="185"/>
      <c r="F345" s="185"/>
    </row>
    <row r="346" spans="1:6">
      <c r="A346" s="1120"/>
      <c r="B346" s="1121"/>
      <c r="C346" s="1122"/>
      <c r="D346" s="1123"/>
      <c r="E346" s="185"/>
      <c r="F346" s="185"/>
    </row>
    <row r="347" spans="1:6">
      <c r="A347" s="1120"/>
      <c r="B347" s="1124"/>
      <c r="C347" s="1122"/>
      <c r="D347" s="1123"/>
      <c r="E347" s="185"/>
      <c r="F347" s="185"/>
    </row>
    <row r="348" spans="1:6">
      <c r="A348" s="1120"/>
      <c r="B348" s="1121"/>
      <c r="C348" s="1122"/>
      <c r="D348" s="1123"/>
      <c r="E348" s="185"/>
      <c r="F348" s="185"/>
    </row>
    <row r="349" spans="1:6">
      <c r="A349" s="1120"/>
      <c r="B349" s="1124"/>
      <c r="C349" s="1122"/>
      <c r="D349" s="1123"/>
      <c r="E349" s="185"/>
      <c r="F349" s="185"/>
    </row>
    <row r="350" spans="1:6">
      <c r="A350" s="1120"/>
      <c r="B350" s="1121"/>
      <c r="C350" s="1122"/>
      <c r="D350" s="1123"/>
      <c r="E350" s="185"/>
      <c r="F350" s="185"/>
    </row>
    <row r="351" spans="1:6">
      <c r="A351" s="1120"/>
      <c r="B351" s="1125"/>
      <c r="C351" s="1122"/>
      <c r="D351" s="1123"/>
      <c r="E351" s="185"/>
      <c r="F351" s="185"/>
    </row>
    <row r="352" spans="1:6">
      <c r="A352" s="1120"/>
      <c r="B352" s="1121"/>
      <c r="C352" s="1122"/>
      <c r="D352" s="1123"/>
      <c r="E352" s="185"/>
      <c r="F352" s="185"/>
    </row>
    <row r="353" spans="1:6">
      <c r="A353" s="1120"/>
      <c r="B353" s="1124"/>
      <c r="C353" s="1122"/>
      <c r="D353" s="1123"/>
      <c r="E353" s="185"/>
      <c r="F353" s="185"/>
    </row>
    <row r="354" spans="1:6">
      <c r="A354" s="1120"/>
      <c r="B354" s="1124"/>
      <c r="C354" s="1122"/>
      <c r="D354" s="1123"/>
      <c r="E354" s="185"/>
      <c r="F354" s="185"/>
    </row>
    <row r="355" spans="1:6">
      <c r="A355" s="1120"/>
      <c r="B355" s="1124"/>
      <c r="C355" s="1122"/>
      <c r="D355" s="1123"/>
      <c r="E355" s="185"/>
      <c r="F355" s="185"/>
    </row>
    <row r="356" spans="1:6">
      <c r="A356" s="1120"/>
      <c r="B356" s="1121"/>
      <c r="C356" s="1122"/>
      <c r="D356" s="1123"/>
      <c r="E356" s="185"/>
      <c r="F356" s="185"/>
    </row>
    <row r="357" spans="1:6">
      <c r="A357" s="1120"/>
      <c r="B357" s="1121"/>
      <c r="C357" s="1122"/>
      <c r="D357" s="1123"/>
      <c r="E357" s="185"/>
      <c r="F357" s="185"/>
    </row>
    <row r="358" spans="1:6">
      <c r="A358" s="1120"/>
      <c r="B358" s="1121"/>
      <c r="C358" s="1122"/>
      <c r="D358" s="1123"/>
      <c r="E358" s="185"/>
      <c r="F358" s="185"/>
    </row>
    <row r="359" spans="1:6">
      <c r="A359" s="1120"/>
      <c r="B359" s="1124"/>
      <c r="C359" s="1122"/>
      <c r="D359" s="1123"/>
      <c r="E359" s="185"/>
      <c r="F359" s="185"/>
    </row>
    <row r="360" spans="1:6">
      <c r="A360" s="1120"/>
      <c r="B360" s="1124"/>
      <c r="C360" s="1122"/>
      <c r="D360" s="1123"/>
      <c r="E360" s="185"/>
      <c r="F360" s="185"/>
    </row>
    <row r="361" spans="1:6">
      <c r="A361" s="1120"/>
      <c r="B361" s="1124"/>
      <c r="C361" s="1122"/>
      <c r="D361" s="1123"/>
      <c r="E361" s="185"/>
      <c r="F361" s="185"/>
    </row>
    <row r="362" spans="1:6">
      <c r="A362" s="1120"/>
      <c r="B362" s="1124"/>
      <c r="C362" s="1122"/>
      <c r="D362" s="1123"/>
      <c r="E362" s="185"/>
      <c r="F362" s="185"/>
    </row>
    <row r="363" spans="1:6">
      <c r="A363" s="1120"/>
      <c r="B363" s="1121"/>
      <c r="C363" s="1122"/>
      <c r="D363" s="1123"/>
      <c r="E363" s="185"/>
      <c r="F363" s="185"/>
    </row>
    <row r="364" spans="1:6">
      <c r="A364" s="1120"/>
      <c r="B364" s="1124"/>
      <c r="C364" s="1122"/>
      <c r="D364" s="1123"/>
      <c r="E364" s="185"/>
      <c r="F364" s="185"/>
    </row>
    <row r="365" spans="1:6">
      <c r="A365" s="1120"/>
      <c r="B365" s="1124"/>
      <c r="C365" s="1122"/>
      <c r="D365" s="1123"/>
      <c r="E365" s="185"/>
      <c r="F365" s="185"/>
    </row>
    <row r="366" spans="1:6">
      <c r="A366" s="1120"/>
      <c r="B366" s="1124"/>
      <c r="C366" s="1122"/>
      <c r="D366" s="1123"/>
      <c r="E366" s="185"/>
      <c r="F366" s="185"/>
    </row>
    <row r="367" spans="1:6">
      <c r="A367" s="1120"/>
      <c r="B367" s="1124"/>
      <c r="C367" s="1122"/>
      <c r="D367" s="1123"/>
      <c r="E367" s="185"/>
      <c r="F367" s="185"/>
    </row>
    <row r="368" spans="1:6">
      <c r="A368" s="1120"/>
      <c r="B368" s="1121"/>
      <c r="C368" s="1122"/>
      <c r="D368" s="1123"/>
      <c r="E368" s="185"/>
      <c r="F368" s="185"/>
    </row>
    <row r="369" spans="1:6">
      <c r="A369" s="1120"/>
      <c r="B369" s="1124"/>
      <c r="C369" s="1122"/>
      <c r="D369" s="1123"/>
      <c r="E369" s="185"/>
      <c r="F369" s="185"/>
    </row>
    <row r="370" spans="1:6">
      <c r="A370" s="1120"/>
      <c r="B370" s="1121"/>
      <c r="C370" s="1122"/>
      <c r="D370" s="1123"/>
      <c r="E370" s="185"/>
      <c r="F370" s="185"/>
    </row>
    <row r="371" spans="1:6">
      <c r="A371" s="1120"/>
      <c r="B371" s="1124"/>
      <c r="C371" s="1122"/>
      <c r="D371" s="1123"/>
      <c r="E371" s="185"/>
      <c r="F371" s="185"/>
    </row>
    <row r="372" spans="1:6">
      <c r="A372" s="1120"/>
      <c r="B372" s="1121"/>
      <c r="C372" s="1122"/>
      <c r="D372" s="1123"/>
      <c r="E372" s="185"/>
      <c r="F372" s="185"/>
    </row>
    <row r="373" spans="1:6">
      <c r="A373" s="1120"/>
      <c r="B373" s="1125"/>
      <c r="C373" s="1122"/>
      <c r="D373" s="1123"/>
      <c r="E373" s="185"/>
      <c r="F373" s="185"/>
    </row>
    <row r="374" spans="1:6">
      <c r="A374" s="1120"/>
      <c r="B374" s="1124"/>
      <c r="C374" s="1122"/>
      <c r="D374" s="1123"/>
      <c r="E374" s="185"/>
      <c r="F374" s="185"/>
    </row>
    <row r="375" spans="1:6">
      <c r="A375" s="1120"/>
      <c r="B375" s="1124"/>
      <c r="C375" s="1122"/>
      <c r="D375" s="1123"/>
      <c r="E375" s="185"/>
      <c r="F375" s="185"/>
    </row>
    <row r="376" spans="1:6">
      <c r="A376" s="1120"/>
      <c r="B376" s="1124"/>
      <c r="C376" s="1122"/>
      <c r="D376" s="1123"/>
      <c r="E376" s="185"/>
      <c r="F376" s="185"/>
    </row>
    <row r="377" spans="1:6">
      <c r="A377" s="1120"/>
      <c r="B377" s="1121"/>
      <c r="C377" s="1122"/>
      <c r="D377" s="1123"/>
      <c r="E377" s="185"/>
      <c r="F377" s="185"/>
    </row>
    <row r="378" spans="1:6">
      <c r="A378" s="1120"/>
      <c r="B378" s="1124"/>
      <c r="C378" s="1122"/>
      <c r="D378" s="1123"/>
      <c r="E378" s="185"/>
      <c r="F378" s="185"/>
    </row>
    <row r="379" spans="1:6">
      <c r="A379" s="1120"/>
      <c r="B379" s="1124"/>
      <c r="C379" s="1122"/>
      <c r="D379" s="1123"/>
      <c r="E379" s="185"/>
      <c r="F379" s="185"/>
    </row>
    <row r="380" spans="1:6">
      <c r="A380" s="1120"/>
      <c r="B380" s="1124"/>
      <c r="C380" s="1122"/>
      <c r="D380" s="1123"/>
      <c r="E380" s="185"/>
      <c r="F380" s="185"/>
    </row>
    <row r="381" spans="1:6">
      <c r="A381" s="1120"/>
      <c r="B381" s="1121"/>
      <c r="C381" s="1122"/>
      <c r="D381" s="1123"/>
      <c r="E381" s="185"/>
      <c r="F381" s="185"/>
    </row>
    <row r="382" spans="1:6">
      <c r="A382" s="1120"/>
      <c r="B382" s="1121"/>
      <c r="C382" s="1122"/>
      <c r="D382" s="1123"/>
      <c r="E382" s="185"/>
      <c r="F382" s="185"/>
    </row>
    <row r="383" spans="1:6">
      <c r="A383" s="1120"/>
      <c r="B383" s="1121"/>
      <c r="C383" s="1122"/>
      <c r="D383" s="1123"/>
      <c r="E383" s="185"/>
      <c r="F383" s="185"/>
    </row>
    <row r="384" spans="1:6">
      <c r="A384" s="1120"/>
      <c r="B384" s="1124"/>
      <c r="C384" s="1122"/>
      <c r="D384" s="1123"/>
      <c r="E384" s="185"/>
      <c r="F384" s="185"/>
    </row>
    <row r="385" spans="1:6">
      <c r="A385" s="1120"/>
      <c r="B385" s="1124"/>
      <c r="C385" s="1122"/>
      <c r="D385" s="1123"/>
      <c r="E385" s="185"/>
      <c r="F385" s="185"/>
    </row>
    <row r="386" spans="1:6">
      <c r="A386" s="1120"/>
      <c r="B386" s="1124"/>
      <c r="C386" s="1122"/>
      <c r="D386" s="1123"/>
      <c r="E386" s="185"/>
      <c r="F386" s="185"/>
    </row>
    <row r="387" spans="1:6">
      <c r="A387" s="1120"/>
      <c r="B387" s="1124"/>
      <c r="C387" s="1122"/>
      <c r="D387" s="1123"/>
      <c r="E387" s="185"/>
      <c r="F387" s="185"/>
    </row>
    <row r="388" spans="1:6">
      <c r="A388" s="1120"/>
      <c r="B388" s="1124"/>
      <c r="C388" s="1122"/>
      <c r="D388" s="1123"/>
      <c r="E388" s="185"/>
      <c r="F388" s="185"/>
    </row>
    <row r="389" spans="1:6">
      <c r="A389" s="1120"/>
      <c r="B389" s="1121"/>
      <c r="C389" s="1122"/>
      <c r="D389" s="1123"/>
      <c r="E389" s="185"/>
      <c r="F389" s="185"/>
    </row>
    <row r="390" spans="1:6">
      <c r="A390" s="1120"/>
      <c r="B390" s="1124"/>
      <c r="C390" s="1122"/>
      <c r="D390" s="1123"/>
      <c r="E390" s="185"/>
      <c r="F390" s="185"/>
    </row>
    <row r="391" spans="1:6">
      <c r="A391" s="1120"/>
      <c r="B391" s="1121"/>
      <c r="C391" s="1122"/>
      <c r="D391" s="1123"/>
      <c r="E391" s="185"/>
      <c r="F391" s="185"/>
    </row>
    <row r="392" spans="1:6">
      <c r="A392" s="1120"/>
      <c r="B392" s="1124"/>
      <c r="C392" s="1122"/>
      <c r="D392" s="1123"/>
      <c r="E392" s="185"/>
      <c r="F392" s="185"/>
    </row>
    <row r="393" spans="1:6">
      <c r="A393" s="1120"/>
      <c r="B393" s="1121"/>
      <c r="C393" s="1122"/>
      <c r="D393" s="1123"/>
      <c r="E393" s="185"/>
      <c r="F393" s="185"/>
    </row>
    <row r="394" spans="1:6">
      <c r="A394" s="1120"/>
      <c r="B394" s="1125"/>
      <c r="C394" s="1122"/>
      <c r="D394" s="1123"/>
      <c r="E394" s="185"/>
      <c r="F394" s="185"/>
    </row>
    <row r="395" spans="1:6">
      <c r="A395" s="1120"/>
      <c r="B395" s="1124"/>
      <c r="C395" s="1122"/>
      <c r="D395" s="1123"/>
      <c r="E395" s="185"/>
      <c r="F395" s="185"/>
    </row>
    <row r="396" spans="1:6">
      <c r="A396" s="1120"/>
      <c r="B396" s="1124"/>
      <c r="C396" s="1122"/>
      <c r="D396" s="1123"/>
      <c r="E396" s="185"/>
      <c r="F396" s="185"/>
    </row>
    <row r="397" spans="1:6">
      <c r="A397" s="1120"/>
      <c r="B397" s="1121"/>
      <c r="C397" s="1122"/>
      <c r="D397" s="1123"/>
      <c r="E397" s="185"/>
      <c r="F397" s="185"/>
    </row>
    <row r="398" spans="1:6">
      <c r="A398" s="1120"/>
      <c r="B398" s="1121"/>
      <c r="C398" s="1122"/>
      <c r="D398" s="1123"/>
      <c r="E398" s="185"/>
      <c r="F398" s="185"/>
    </row>
    <row r="399" spans="1:6">
      <c r="A399" s="1120"/>
      <c r="B399" s="1121"/>
      <c r="C399" s="1122"/>
      <c r="D399" s="1123"/>
      <c r="E399" s="185"/>
      <c r="F399" s="185"/>
    </row>
    <row r="400" spans="1:6">
      <c r="A400" s="1120"/>
      <c r="B400" s="1124"/>
      <c r="C400" s="1122"/>
      <c r="D400" s="1123"/>
      <c r="E400" s="185"/>
      <c r="F400" s="185"/>
    </row>
    <row r="401" spans="1:6">
      <c r="A401" s="1120"/>
      <c r="B401" s="1124"/>
      <c r="C401" s="1122"/>
      <c r="D401" s="1123"/>
      <c r="E401" s="185"/>
      <c r="F401" s="185"/>
    </row>
    <row r="402" spans="1:6">
      <c r="A402" s="1120"/>
      <c r="B402" s="1124"/>
      <c r="C402" s="1122"/>
      <c r="D402" s="1123"/>
      <c r="E402" s="185"/>
      <c r="F402" s="185"/>
    </row>
    <row r="403" spans="1:6">
      <c r="A403" s="1120"/>
      <c r="B403" s="1124"/>
      <c r="C403" s="1122"/>
      <c r="D403" s="1123"/>
      <c r="E403" s="185"/>
      <c r="F403" s="185"/>
    </row>
    <row r="404" spans="1:6">
      <c r="A404" s="1120"/>
      <c r="B404" s="1124"/>
      <c r="C404" s="1122"/>
      <c r="D404" s="1123"/>
      <c r="E404" s="185"/>
      <c r="F404" s="185"/>
    </row>
    <row r="405" spans="1:6">
      <c r="A405" s="1120"/>
      <c r="B405" s="1121"/>
      <c r="C405" s="1122"/>
      <c r="D405" s="1123"/>
      <c r="E405" s="185"/>
      <c r="F405" s="185"/>
    </row>
    <row r="406" spans="1:6">
      <c r="A406" s="1120"/>
      <c r="B406" s="1124"/>
      <c r="C406" s="1122"/>
      <c r="D406" s="1123"/>
      <c r="E406" s="185"/>
      <c r="F406" s="185"/>
    </row>
    <row r="407" spans="1:6">
      <c r="A407" s="1120"/>
      <c r="B407" s="1121"/>
      <c r="C407" s="1122"/>
      <c r="D407" s="1123"/>
      <c r="E407" s="185"/>
      <c r="F407" s="185"/>
    </row>
    <row r="408" spans="1:6">
      <c r="A408" s="1120"/>
      <c r="B408" s="1124"/>
      <c r="C408" s="1122"/>
      <c r="D408" s="1123"/>
      <c r="E408" s="185"/>
      <c r="F408" s="185"/>
    </row>
    <row r="409" spans="1:6">
      <c r="A409" s="1120"/>
      <c r="B409" s="1121"/>
      <c r="C409" s="1122"/>
      <c r="D409" s="1123"/>
      <c r="E409" s="185"/>
      <c r="F409" s="185"/>
    </row>
    <row r="410" spans="1:6">
      <c r="A410" s="1120"/>
      <c r="B410" s="1125"/>
      <c r="C410" s="1122"/>
      <c r="D410" s="1123"/>
      <c r="E410" s="185"/>
      <c r="F410" s="185"/>
    </row>
    <row r="411" spans="1:6">
      <c r="A411" s="1120"/>
      <c r="B411" s="1124"/>
      <c r="C411" s="1122"/>
      <c r="D411" s="1123"/>
      <c r="E411" s="185"/>
      <c r="F411" s="185"/>
    </row>
    <row r="412" spans="1:6">
      <c r="A412" s="1120"/>
      <c r="B412" s="1124"/>
      <c r="C412" s="1122"/>
      <c r="D412" s="1123"/>
      <c r="E412" s="185"/>
      <c r="F412" s="185"/>
    </row>
    <row r="413" spans="1:6">
      <c r="A413" s="1120"/>
      <c r="B413" s="1124"/>
      <c r="C413" s="1122"/>
      <c r="D413" s="1123"/>
      <c r="E413" s="185"/>
      <c r="F413" s="185"/>
    </row>
    <row r="414" spans="1:6">
      <c r="A414" s="1120"/>
      <c r="B414" s="1121"/>
      <c r="C414" s="1122"/>
      <c r="D414" s="1123"/>
      <c r="E414" s="185"/>
      <c r="F414" s="185"/>
    </row>
    <row r="415" spans="1:6">
      <c r="A415" s="1120"/>
      <c r="B415" s="1121"/>
      <c r="C415" s="1122"/>
      <c r="D415" s="1123"/>
      <c r="E415" s="185"/>
      <c r="F415" s="185"/>
    </row>
    <row r="416" spans="1:6">
      <c r="A416" s="1120"/>
      <c r="B416" s="1121"/>
      <c r="C416" s="1122"/>
      <c r="D416" s="1123"/>
      <c r="E416" s="185"/>
      <c r="F416" s="185"/>
    </row>
    <row r="417" spans="1:6">
      <c r="A417" s="1120"/>
      <c r="B417" s="1124"/>
      <c r="C417" s="1122"/>
      <c r="D417" s="1123"/>
      <c r="E417" s="185"/>
      <c r="F417" s="185"/>
    </row>
    <row r="418" spans="1:6">
      <c r="A418" s="1120"/>
      <c r="B418" s="1124"/>
      <c r="C418" s="1122"/>
      <c r="D418" s="1123"/>
      <c r="E418" s="185"/>
      <c r="F418" s="185"/>
    </row>
    <row r="419" spans="1:6">
      <c r="A419" s="1120"/>
      <c r="B419" s="1124"/>
      <c r="C419" s="1122"/>
      <c r="D419" s="1123"/>
      <c r="E419" s="185"/>
      <c r="F419" s="185"/>
    </row>
    <row r="420" spans="1:6">
      <c r="A420" s="1120"/>
      <c r="B420" s="1121"/>
      <c r="C420" s="1122"/>
      <c r="D420" s="1123"/>
      <c r="E420" s="185"/>
      <c r="F420" s="185"/>
    </row>
    <row r="421" spans="1:6">
      <c r="A421" s="1120"/>
      <c r="B421" s="1124"/>
      <c r="C421" s="1122"/>
      <c r="D421" s="1123"/>
      <c r="E421" s="185"/>
      <c r="F421" s="185"/>
    </row>
    <row r="422" spans="1:6">
      <c r="A422" s="1120"/>
      <c r="B422" s="1121"/>
      <c r="C422" s="1122"/>
      <c r="D422" s="1123"/>
      <c r="E422" s="185"/>
      <c r="F422" s="185"/>
    </row>
    <row r="423" spans="1:6">
      <c r="A423" s="1120"/>
      <c r="B423" s="1124"/>
      <c r="C423" s="1122"/>
      <c r="D423" s="1123"/>
      <c r="E423" s="185"/>
      <c r="F423" s="185"/>
    </row>
    <row r="424" spans="1:6">
      <c r="A424" s="1120"/>
      <c r="B424" s="1121"/>
      <c r="C424" s="1122"/>
      <c r="D424" s="1123"/>
      <c r="E424" s="185"/>
      <c r="F424" s="185"/>
    </row>
    <row r="425" spans="1:6">
      <c r="A425" s="1120"/>
      <c r="B425" s="1125"/>
      <c r="C425" s="1122"/>
      <c r="D425" s="1123"/>
      <c r="E425" s="185"/>
      <c r="F425" s="185"/>
    </row>
    <row r="426" spans="1:6">
      <c r="A426" s="1120"/>
      <c r="B426" s="1124"/>
      <c r="C426" s="1122"/>
      <c r="D426" s="1123"/>
      <c r="E426" s="185"/>
      <c r="F426" s="185"/>
    </row>
    <row r="427" spans="1:6">
      <c r="A427" s="1120"/>
      <c r="B427" s="1124"/>
      <c r="C427" s="1122"/>
      <c r="D427" s="1123"/>
      <c r="E427" s="185"/>
      <c r="F427" s="185"/>
    </row>
    <row r="428" spans="1:6">
      <c r="A428" s="1120"/>
      <c r="B428" s="1121"/>
      <c r="C428" s="1122"/>
      <c r="D428" s="1123"/>
      <c r="E428" s="185"/>
      <c r="F428" s="185"/>
    </row>
    <row r="429" spans="1:6">
      <c r="A429" s="1120"/>
      <c r="B429" s="1121"/>
      <c r="C429" s="1122"/>
      <c r="D429" s="1123"/>
      <c r="E429" s="185"/>
      <c r="F429" s="185"/>
    </row>
    <row r="430" spans="1:6">
      <c r="A430" s="1120"/>
      <c r="B430" s="1121"/>
      <c r="C430" s="1122"/>
      <c r="D430" s="1123"/>
      <c r="E430" s="185"/>
      <c r="F430" s="185"/>
    </row>
    <row r="431" spans="1:6">
      <c r="A431" s="1120"/>
      <c r="B431" s="1124"/>
      <c r="C431" s="1122"/>
      <c r="D431" s="1123"/>
      <c r="E431" s="185"/>
      <c r="F431" s="185"/>
    </row>
    <row r="432" spans="1:6">
      <c r="A432" s="1120"/>
      <c r="B432" s="1124"/>
      <c r="C432" s="1122"/>
      <c r="D432" s="1123"/>
      <c r="E432" s="185"/>
      <c r="F432" s="185"/>
    </row>
    <row r="433" spans="1:6">
      <c r="A433" s="1120"/>
      <c r="B433" s="1124"/>
      <c r="C433" s="1122"/>
      <c r="D433" s="1123"/>
      <c r="E433" s="185"/>
      <c r="F433" s="185"/>
    </row>
    <row r="434" spans="1:6">
      <c r="A434" s="1120"/>
      <c r="B434" s="1121"/>
      <c r="C434" s="1122"/>
      <c r="D434" s="1123"/>
      <c r="E434" s="185"/>
      <c r="F434" s="185"/>
    </row>
    <row r="435" spans="1:6">
      <c r="A435" s="1120"/>
      <c r="B435" s="1124"/>
      <c r="C435" s="1122"/>
      <c r="D435" s="1123"/>
      <c r="E435" s="185"/>
      <c r="F435" s="185"/>
    </row>
    <row r="436" spans="1:6">
      <c r="A436" s="1120"/>
      <c r="B436" s="1121"/>
      <c r="C436" s="1122"/>
      <c r="D436" s="1123"/>
      <c r="E436" s="185"/>
      <c r="F436" s="185"/>
    </row>
    <row r="437" spans="1:6">
      <c r="A437" s="1120"/>
      <c r="B437" s="1124"/>
      <c r="C437" s="1122"/>
      <c r="D437" s="1123"/>
      <c r="E437" s="185"/>
      <c r="F437" s="185"/>
    </row>
    <row r="438" spans="1:6">
      <c r="A438" s="1120"/>
      <c r="B438" s="1121"/>
      <c r="C438" s="1122"/>
      <c r="D438" s="1123"/>
      <c r="E438" s="185"/>
      <c r="F438" s="185"/>
    </row>
    <row r="439" spans="1:6">
      <c r="A439" s="1120"/>
      <c r="B439" s="1125"/>
      <c r="C439" s="1122"/>
      <c r="D439" s="1123"/>
      <c r="E439" s="185"/>
      <c r="F439" s="185"/>
    </row>
    <row r="440" spans="1:6">
      <c r="A440" s="1120"/>
      <c r="B440" s="1124"/>
      <c r="C440" s="1122"/>
      <c r="D440" s="1123"/>
      <c r="E440" s="185"/>
      <c r="F440" s="185"/>
    </row>
    <row r="441" spans="1:6">
      <c r="A441" s="1120"/>
      <c r="B441" s="1124"/>
      <c r="C441" s="1122"/>
      <c r="D441" s="1123"/>
      <c r="E441" s="185"/>
      <c r="F441" s="185"/>
    </row>
    <row r="442" spans="1:6">
      <c r="A442" s="1120"/>
      <c r="B442" s="1121"/>
      <c r="C442" s="1122"/>
      <c r="D442" s="1123"/>
      <c r="E442" s="185"/>
      <c r="F442" s="185"/>
    </row>
    <row r="443" spans="1:6">
      <c r="A443" s="1120"/>
      <c r="B443" s="1121"/>
      <c r="C443" s="1122"/>
      <c r="D443" s="1123"/>
      <c r="E443" s="185"/>
      <c r="F443" s="185"/>
    </row>
    <row r="444" spans="1:6">
      <c r="A444" s="1120"/>
      <c r="B444" s="1121"/>
      <c r="C444" s="1122"/>
      <c r="D444" s="1123"/>
      <c r="E444" s="185"/>
      <c r="F444" s="185"/>
    </row>
    <row r="445" spans="1:6">
      <c r="A445" s="1120"/>
      <c r="B445" s="1124"/>
      <c r="C445" s="1122"/>
      <c r="D445" s="1123"/>
      <c r="E445" s="185"/>
      <c r="F445" s="185"/>
    </row>
    <row r="446" spans="1:6">
      <c r="A446" s="1120"/>
      <c r="B446" s="1124"/>
      <c r="C446" s="1122"/>
      <c r="D446" s="1123"/>
      <c r="E446" s="185"/>
      <c r="F446" s="185"/>
    </row>
    <row r="447" spans="1:6">
      <c r="A447" s="1120"/>
      <c r="B447" s="1124"/>
      <c r="C447" s="1122"/>
      <c r="D447" s="1123"/>
      <c r="E447" s="185"/>
      <c r="F447" s="185"/>
    </row>
    <row r="448" spans="1:6">
      <c r="A448" s="1120"/>
      <c r="B448" s="1121"/>
      <c r="C448" s="1122"/>
      <c r="D448" s="1123"/>
      <c r="E448" s="185"/>
      <c r="F448" s="185"/>
    </row>
    <row r="449" spans="1:6">
      <c r="A449" s="1120"/>
      <c r="B449" s="1124"/>
      <c r="C449" s="1122"/>
      <c r="D449" s="1123"/>
      <c r="E449" s="185"/>
      <c r="F449" s="185"/>
    </row>
    <row r="450" spans="1:6">
      <c r="A450" s="1120"/>
      <c r="B450" s="1121"/>
      <c r="C450" s="1122"/>
      <c r="D450" s="1123"/>
      <c r="E450" s="185"/>
      <c r="F450" s="185"/>
    </row>
    <row r="451" spans="1:6">
      <c r="A451" s="1120"/>
      <c r="B451" s="1124"/>
      <c r="C451" s="1122"/>
      <c r="D451" s="1123"/>
      <c r="E451" s="185"/>
      <c r="F451" s="185"/>
    </row>
    <row r="452" spans="1:6">
      <c r="A452" s="1120"/>
      <c r="B452" s="1121"/>
      <c r="C452" s="1122"/>
      <c r="D452" s="1123"/>
      <c r="E452" s="185"/>
      <c r="F452" s="185"/>
    </row>
    <row r="453" spans="1:6">
      <c r="A453" s="1120"/>
      <c r="B453" s="1125"/>
      <c r="C453" s="1122"/>
      <c r="D453" s="1123"/>
      <c r="E453" s="185"/>
      <c r="F453" s="185"/>
    </row>
    <row r="454" spans="1:6">
      <c r="A454" s="1120"/>
      <c r="B454" s="1124"/>
      <c r="C454" s="1122"/>
      <c r="D454" s="1123"/>
      <c r="E454" s="185"/>
      <c r="F454" s="185"/>
    </row>
    <row r="455" spans="1:6">
      <c r="A455" s="1120"/>
      <c r="B455" s="1121"/>
      <c r="C455" s="1122"/>
      <c r="D455" s="1123"/>
      <c r="E455" s="185"/>
      <c r="F455" s="185"/>
    </row>
    <row r="456" spans="1:6">
      <c r="A456" s="1120"/>
      <c r="B456" s="1121"/>
      <c r="C456" s="1122"/>
      <c r="D456" s="1123"/>
      <c r="E456" s="185"/>
      <c r="F456" s="185"/>
    </row>
    <row r="457" spans="1:6">
      <c r="A457" s="1120"/>
      <c r="B457" s="1121"/>
      <c r="C457" s="1122"/>
      <c r="D457" s="1123"/>
      <c r="E457" s="185"/>
      <c r="F457" s="185"/>
    </row>
    <row r="458" spans="1:6">
      <c r="A458" s="1120"/>
      <c r="B458" s="1124"/>
      <c r="C458" s="1122"/>
      <c r="D458" s="1123"/>
      <c r="E458" s="185"/>
      <c r="F458" s="185"/>
    </row>
    <row r="459" spans="1:6">
      <c r="A459" s="1120"/>
      <c r="B459" s="1124"/>
      <c r="C459" s="1122"/>
      <c r="D459" s="1123"/>
      <c r="E459" s="185"/>
      <c r="F459" s="185"/>
    </row>
    <row r="460" spans="1:6">
      <c r="A460" s="1120"/>
      <c r="B460" s="1124"/>
      <c r="C460" s="1122"/>
      <c r="D460" s="1123"/>
      <c r="E460" s="185"/>
      <c r="F460" s="185"/>
    </row>
    <row r="461" spans="1:6">
      <c r="A461" s="1120"/>
      <c r="B461" s="1121"/>
      <c r="C461" s="1122"/>
      <c r="D461" s="1123"/>
      <c r="E461" s="185"/>
      <c r="F461" s="185"/>
    </row>
    <row r="462" spans="1:6">
      <c r="A462" s="1120"/>
      <c r="B462" s="1121"/>
      <c r="C462" s="1122"/>
      <c r="D462" s="1123"/>
      <c r="E462" s="185"/>
      <c r="F462" s="185"/>
    </row>
    <row r="463" spans="1:6">
      <c r="A463" s="1120"/>
      <c r="B463" s="1124"/>
      <c r="C463" s="1122"/>
      <c r="D463" s="1123"/>
      <c r="E463" s="185"/>
      <c r="F463" s="185"/>
    </row>
    <row r="464" spans="1:6">
      <c r="A464" s="1120"/>
      <c r="B464" s="1124"/>
      <c r="C464" s="1122"/>
      <c r="D464" s="1123"/>
      <c r="E464" s="185"/>
      <c r="F464" s="185"/>
    </row>
    <row r="465" spans="1:6">
      <c r="A465" s="1120"/>
      <c r="B465" s="1124"/>
      <c r="C465" s="1122"/>
      <c r="D465" s="1123"/>
      <c r="E465" s="185"/>
      <c r="F465" s="185"/>
    </row>
    <row r="466" spans="1:6">
      <c r="A466" s="1120"/>
      <c r="B466" s="1124"/>
      <c r="C466" s="1122"/>
      <c r="D466" s="1123"/>
      <c r="E466" s="185"/>
      <c r="F466" s="185"/>
    </row>
    <row r="467" spans="1:6">
      <c r="A467" s="1120"/>
      <c r="B467" s="1124"/>
      <c r="C467" s="1122"/>
      <c r="D467" s="1123"/>
      <c r="E467" s="185"/>
      <c r="F467" s="185"/>
    </row>
    <row r="468" spans="1:6">
      <c r="A468" s="1120"/>
      <c r="B468" s="1121"/>
      <c r="C468" s="1122"/>
      <c r="D468" s="1123"/>
      <c r="E468" s="185"/>
      <c r="F468" s="185"/>
    </row>
    <row r="469" spans="1:6">
      <c r="A469" s="1120"/>
      <c r="B469" s="1124"/>
      <c r="C469" s="1122"/>
      <c r="D469" s="1123"/>
      <c r="E469" s="185"/>
      <c r="F469" s="185"/>
    </row>
    <row r="470" spans="1:6">
      <c r="A470" s="1120"/>
      <c r="B470" s="1121"/>
      <c r="C470" s="1122"/>
      <c r="D470" s="1123"/>
      <c r="E470" s="185"/>
      <c r="F470" s="185"/>
    </row>
    <row r="471" spans="1:6">
      <c r="A471" s="1120"/>
      <c r="B471" s="1125"/>
      <c r="C471" s="1122"/>
      <c r="D471" s="1123"/>
      <c r="E471" s="185"/>
      <c r="F471" s="185"/>
    </row>
    <row r="472" spans="1:6">
      <c r="A472" s="1120"/>
      <c r="B472" s="1124"/>
      <c r="C472" s="1122"/>
      <c r="D472" s="1123"/>
      <c r="E472" s="185"/>
      <c r="F472" s="185"/>
    </row>
    <row r="473" spans="1:6">
      <c r="A473" s="1120"/>
      <c r="B473" s="1124"/>
      <c r="C473" s="1122"/>
      <c r="D473" s="1123"/>
      <c r="E473" s="185"/>
      <c r="F473" s="185"/>
    </row>
    <row r="474" spans="1:6">
      <c r="A474" s="1120"/>
      <c r="B474" s="1121"/>
      <c r="C474" s="1122"/>
      <c r="D474" s="1123"/>
      <c r="E474" s="185"/>
      <c r="F474" s="185"/>
    </row>
    <row r="475" spans="1:6">
      <c r="A475" s="1120"/>
      <c r="B475" s="1121"/>
      <c r="C475" s="1122"/>
      <c r="D475" s="1123"/>
      <c r="E475" s="185"/>
      <c r="F475" s="185"/>
    </row>
    <row r="476" spans="1:6">
      <c r="A476" s="1120"/>
      <c r="B476" s="1124"/>
      <c r="C476" s="1122"/>
      <c r="D476" s="1123"/>
      <c r="E476" s="185"/>
      <c r="F476" s="185"/>
    </row>
    <row r="477" spans="1:6">
      <c r="A477" s="1120"/>
      <c r="B477" s="1124"/>
      <c r="C477" s="1122"/>
      <c r="D477" s="1123"/>
      <c r="E477" s="185"/>
      <c r="F477" s="185"/>
    </row>
    <row r="478" spans="1:6">
      <c r="A478" s="1120"/>
      <c r="B478" s="1121"/>
      <c r="C478" s="1122"/>
      <c r="D478" s="1123"/>
      <c r="E478" s="185"/>
      <c r="F478" s="185"/>
    </row>
    <row r="479" spans="1:6">
      <c r="A479" s="1120"/>
      <c r="B479" s="1124"/>
      <c r="C479" s="1122"/>
      <c r="D479" s="1123"/>
      <c r="E479" s="185"/>
      <c r="F479" s="185"/>
    </row>
    <row r="480" spans="1:6">
      <c r="A480" s="1120"/>
      <c r="B480" s="1121"/>
      <c r="C480" s="1122"/>
      <c r="D480" s="1123"/>
      <c r="E480" s="185"/>
      <c r="F480" s="185"/>
    </row>
    <row r="481" spans="1:6">
      <c r="A481" s="1120"/>
      <c r="B481" s="1124"/>
      <c r="C481" s="1122"/>
      <c r="D481" s="1123"/>
      <c r="E481" s="185"/>
      <c r="F481" s="185"/>
    </row>
    <row r="482" spans="1:6">
      <c r="A482" s="1120"/>
      <c r="B482" s="1121"/>
      <c r="C482" s="1122"/>
      <c r="D482" s="1123"/>
      <c r="E482" s="185"/>
      <c r="F482" s="185"/>
    </row>
    <row r="483" spans="1:6">
      <c r="A483" s="1120"/>
      <c r="B483" s="1124"/>
      <c r="C483" s="1122"/>
      <c r="D483" s="1123"/>
      <c r="E483" s="185"/>
      <c r="F483" s="185"/>
    </row>
    <row r="484" spans="1:6">
      <c r="A484" s="1120"/>
      <c r="B484" s="1124"/>
      <c r="C484" s="1122"/>
      <c r="D484" s="1123"/>
      <c r="E484" s="185"/>
      <c r="F484" s="185"/>
    </row>
    <row r="485" spans="1:6">
      <c r="A485" s="1120"/>
      <c r="B485" s="1124"/>
      <c r="C485" s="1122"/>
      <c r="D485" s="1123"/>
      <c r="E485" s="185"/>
      <c r="F485" s="185"/>
    </row>
    <row r="486" spans="1:6">
      <c r="A486" s="1120"/>
      <c r="B486" s="1121"/>
      <c r="C486" s="1122"/>
      <c r="D486" s="1123"/>
      <c r="E486" s="185"/>
      <c r="F486" s="185"/>
    </row>
    <row r="487" spans="1:6">
      <c r="A487" s="1120"/>
      <c r="B487" s="1124"/>
      <c r="C487" s="1122"/>
      <c r="D487" s="1123"/>
      <c r="E487" s="185"/>
      <c r="F487" s="185"/>
    </row>
    <row r="488" spans="1:6">
      <c r="A488" s="1120"/>
      <c r="B488" s="1121"/>
      <c r="C488" s="1122"/>
      <c r="D488" s="1123"/>
      <c r="E488" s="185"/>
      <c r="F488" s="185"/>
    </row>
    <row r="489" spans="1:6">
      <c r="A489" s="1120"/>
      <c r="B489" s="1124"/>
      <c r="C489" s="1122"/>
      <c r="D489" s="1123"/>
      <c r="E489" s="185"/>
      <c r="F489" s="185"/>
    </row>
    <row r="490" spans="1:6">
      <c r="A490" s="1120"/>
      <c r="B490" s="1124"/>
      <c r="C490" s="1122"/>
      <c r="D490" s="1123"/>
      <c r="E490" s="185"/>
      <c r="F490" s="185"/>
    </row>
    <row r="491" spans="1:6">
      <c r="A491" s="1120"/>
      <c r="B491" s="1124"/>
      <c r="C491" s="1122"/>
      <c r="D491" s="1123"/>
      <c r="E491" s="185"/>
      <c r="F491" s="185"/>
    </row>
    <row r="492" spans="1:6">
      <c r="A492" s="1120"/>
      <c r="B492" s="1121"/>
      <c r="C492" s="1122"/>
      <c r="D492" s="1123"/>
      <c r="E492" s="185"/>
      <c r="F492" s="185"/>
    </row>
    <row r="493" spans="1:6">
      <c r="A493" s="1120"/>
      <c r="B493" s="1124"/>
      <c r="C493" s="1122"/>
      <c r="D493" s="1123"/>
      <c r="E493" s="185"/>
      <c r="F493" s="185"/>
    </row>
    <row r="494" spans="1:6">
      <c r="A494" s="1120"/>
      <c r="B494" s="1121"/>
      <c r="C494" s="1122"/>
      <c r="D494" s="1123"/>
      <c r="E494" s="185"/>
      <c r="F494" s="185"/>
    </row>
    <row r="495" spans="1:6">
      <c r="A495" s="1120"/>
      <c r="B495" s="1124"/>
      <c r="C495" s="1122"/>
      <c r="D495" s="1123"/>
      <c r="E495" s="185"/>
      <c r="F495" s="185"/>
    </row>
    <row r="496" spans="1:6">
      <c r="A496" s="1120"/>
      <c r="B496" s="1124"/>
      <c r="C496" s="1122"/>
      <c r="D496" s="1123"/>
      <c r="E496" s="185"/>
      <c r="F496" s="185"/>
    </row>
    <row r="497" spans="1:6">
      <c r="A497" s="1120"/>
      <c r="B497" s="1124"/>
      <c r="C497" s="1122"/>
      <c r="D497" s="1123"/>
      <c r="E497" s="185"/>
      <c r="F497" s="185"/>
    </row>
    <row r="498" spans="1:6">
      <c r="A498" s="1120"/>
      <c r="B498" s="1121"/>
      <c r="C498" s="1122"/>
      <c r="D498" s="1123"/>
      <c r="E498" s="185"/>
      <c r="F498" s="185"/>
    </row>
    <row r="499" spans="1:6">
      <c r="A499" s="1120"/>
      <c r="B499" s="1124"/>
      <c r="C499" s="1122"/>
      <c r="D499" s="1123"/>
      <c r="E499" s="185"/>
      <c r="F499" s="185"/>
    </row>
    <row r="500" spans="1:6">
      <c r="A500" s="1120"/>
      <c r="B500" s="1121"/>
      <c r="C500" s="1122"/>
      <c r="D500" s="1123"/>
      <c r="E500" s="185"/>
      <c r="F500" s="185"/>
    </row>
    <row r="501" spans="1:6">
      <c r="A501" s="1120"/>
      <c r="B501" s="1125"/>
      <c r="C501" s="1122"/>
      <c r="D501" s="1123"/>
      <c r="E501" s="185"/>
      <c r="F501" s="185"/>
    </row>
    <row r="502" spans="1:6">
      <c r="A502" s="1120"/>
      <c r="B502" s="1124"/>
      <c r="C502" s="1122"/>
      <c r="D502" s="1123"/>
      <c r="E502" s="185"/>
      <c r="F502" s="185"/>
    </row>
    <row r="503" spans="1:6">
      <c r="A503" s="1120"/>
      <c r="B503" s="1121"/>
      <c r="C503" s="1122"/>
      <c r="D503" s="1123"/>
      <c r="E503" s="185"/>
      <c r="F503" s="185"/>
    </row>
    <row r="504" spans="1:6">
      <c r="A504" s="1120"/>
      <c r="B504" s="1124"/>
      <c r="C504" s="1122"/>
      <c r="D504" s="1123"/>
      <c r="E504" s="185"/>
      <c r="F504" s="185"/>
    </row>
    <row r="505" spans="1:6">
      <c r="A505" s="1120"/>
      <c r="B505" s="1124"/>
      <c r="C505" s="1122"/>
      <c r="D505" s="1123"/>
      <c r="E505" s="185"/>
      <c r="F505" s="185"/>
    </row>
    <row r="506" spans="1:6">
      <c r="A506" s="1120"/>
      <c r="B506" s="1124"/>
      <c r="C506" s="1122"/>
      <c r="D506" s="1123"/>
      <c r="E506" s="185"/>
      <c r="F506" s="185"/>
    </row>
    <row r="507" spans="1:6">
      <c r="A507" s="1120"/>
      <c r="B507" s="1121"/>
      <c r="C507" s="1122"/>
      <c r="D507" s="1123"/>
      <c r="E507" s="185"/>
      <c r="F507" s="185"/>
    </row>
    <row r="508" spans="1:6">
      <c r="A508" s="1120"/>
      <c r="B508" s="1124"/>
      <c r="C508" s="1122"/>
      <c r="D508" s="1123"/>
      <c r="E508" s="185"/>
      <c r="F508" s="185"/>
    </row>
    <row r="509" spans="1:6">
      <c r="A509" s="1120"/>
      <c r="B509" s="1121"/>
      <c r="C509" s="1122"/>
      <c r="D509" s="1123"/>
      <c r="E509" s="185"/>
      <c r="F509" s="185"/>
    </row>
    <row r="510" spans="1:6">
      <c r="A510" s="1120"/>
      <c r="B510" s="1124"/>
      <c r="C510" s="1122"/>
      <c r="D510" s="1123"/>
      <c r="E510" s="185"/>
      <c r="F510" s="185"/>
    </row>
    <row r="511" spans="1:6">
      <c r="A511" s="1120"/>
      <c r="B511" s="1121"/>
      <c r="C511" s="1122"/>
      <c r="D511" s="1123"/>
      <c r="E511" s="185"/>
      <c r="F511" s="185"/>
    </row>
    <row r="512" spans="1:6">
      <c r="A512" s="1120"/>
      <c r="B512" s="1124"/>
      <c r="C512" s="1122"/>
      <c r="D512" s="1123"/>
      <c r="E512" s="185"/>
      <c r="F512" s="185"/>
    </row>
    <row r="513" spans="1:6">
      <c r="A513" s="1120"/>
      <c r="B513" s="1121"/>
      <c r="C513" s="1122"/>
      <c r="D513" s="1123"/>
      <c r="E513" s="185"/>
      <c r="F513" s="185"/>
    </row>
    <row r="514" spans="1:6">
      <c r="A514" s="1120"/>
      <c r="B514" s="1124"/>
      <c r="C514" s="1122"/>
      <c r="D514" s="1123"/>
      <c r="E514" s="185"/>
      <c r="F514" s="185"/>
    </row>
    <row r="515" spans="1:6">
      <c r="A515" s="1120"/>
      <c r="B515" s="1121"/>
      <c r="C515" s="1122"/>
      <c r="D515" s="1123"/>
      <c r="E515" s="185"/>
      <c r="F515" s="185"/>
    </row>
    <row r="516" spans="1:6">
      <c r="A516" s="1120"/>
      <c r="B516" s="1125"/>
      <c r="C516" s="1122"/>
      <c r="D516" s="1123"/>
      <c r="E516" s="185"/>
      <c r="F516" s="185"/>
    </row>
    <row r="517" spans="1:6">
      <c r="A517" s="1120"/>
      <c r="B517" s="1124"/>
      <c r="C517" s="1122"/>
      <c r="D517" s="1123"/>
      <c r="E517" s="185"/>
      <c r="F517" s="185"/>
    </row>
    <row r="518" spans="1:6">
      <c r="A518" s="1120"/>
      <c r="B518" s="1121"/>
      <c r="C518" s="1122"/>
      <c r="D518" s="1123"/>
      <c r="E518" s="185"/>
      <c r="F518" s="185"/>
    </row>
    <row r="519" spans="1:6">
      <c r="A519" s="1120"/>
      <c r="B519" s="1124"/>
      <c r="C519" s="1122"/>
      <c r="D519" s="1123"/>
      <c r="E519" s="185"/>
      <c r="F519" s="185"/>
    </row>
    <row r="520" spans="1:6">
      <c r="A520" s="1120"/>
      <c r="B520" s="1124"/>
      <c r="C520" s="1122"/>
      <c r="D520" s="1123"/>
      <c r="E520" s="185"/>
      <c r="F520" s="185"/>
    </row>
    <row r="521" spans="1:6">
      <c r="A521" s="1120"/>
      <c r="B521" s="1124"/>
      <c r="C521" s="1122"/>
      <c r="D521" s="1123"/>
      <c r="E521" s="185"/>
      <c r="F521" s="185"/>
    </row>
    <row r="522" spans="1:6">
      <c r="A522" s="1120"/>
      <c r="B522" s="1121"/>
      <c r="C522" s="1122"/>
      <c r="D522" s="1123"/>
      <c r="E522" s="185"/>
      <c r="F522" s="185"/>
    </row>
    <row r="523" spans="1:6">
      <c r="A523" s="1120"/>
      <c r="B523" s="1124"/>
      <c r="C523" s="1122"/>
      <c r="D523" s="1123"/>
      <c r="E523" s="185"/>
      <c r="F523" s="185"/>
    </row>
    <row r="524" spans="1:6">
      <c r="A524" s="1120"/>
      <c r="B524" s="1121"/>
      <c r="C524" s="1122"/>
      <c r="D524" s="1123"/>
      <c r="E524" s="185"/>
      <c r="F524" s="185"/>
    </row>
    <row r="525" spans="1:6">
      <c r="A525" s="1120"/>
      <c r="B525" s="1124"/>
      <c r="C525" s="1122"/>
      <c r="D525" s="1123"/>
      <c r="E525" s="185"/>
      <c r="F525" s="185"/>
    </row>
    <row r="526" spans="1:6">
      <c r="A526" s="1120"/>
      <c r="B526" s="1121"/>
      <c r="C526" s="1122"/>
      <c r="D526" s="1123"/>
      <c r="E526" s="185"/>
      <c r="F526" s="185"/>
    </row>
    <row r="527" spans="1:6">
      <c r="A527" s="1120"/>
      <c r="B527" s="1121"/>
      <c r="C527" s="1122"/>
      <c r="D527" s="1123"/>
      <c r="E527" s="185"/>
      <c r="F527" s="185"/>
    </row>
    <row r="528" spans="1:6">
      <c r="A528" s="1120"/>
      <c r="B528" s="1124"/>
      <c r="C528" s="1122"/>
      <c r="D528" s="1123"/>
      <c r="E528" s="185"/>
      <c r="F528" s="185"/>
    </row>
    <row r="529" spans="1:6">
      <c r="A529" s="1120"/>
      <c r="B529" s="1121"/>
      <c r="C529" s="1122"/>
      <c r="D529" s="1123"/>
      <c r="E529" s="185"/>
      <c r="F529" s="185"/>
    </row>
    <row r="530" spans="1:6">
      <c r="A530" s="1120"/>
      <c r="B530" s="1124"/>
      <c r="C530" s="1122"/>
      <c r="D530" s="1123"/>
      <c r="E530" s="185"/>
      <c r="F530" s="185"/>
    </row>
    <row r="531" spans="1:6">
      <c r="A531" s="1120"/>
      <c r="B531" s="1121"/>
      <c r="C531" s="1122"/>
      <c r="D531" s="1123"/>
      <c r="E531" s="185"/>
      <c r="F531" s="185"/>
    </row>
    <row r="532" spans="1:6">
      <c r="A532" s="1120"/>
      <c r="B532" s="1125"/>
      <c r="C532" s="1122"/>
      <c r="D532" s="1123"/>
      <c r="E532" s="185"/>
      <c r="F532" s="185"/>
    </row>
    <row r="533" spans="1:6">
      <c r="A533" s="1120"/>
      <c r="B533" s="1124"/>
      <c r="C533" s="1122"/>
      <c r="D533" s="1123"/>
      <c r="E533" s="185"/>
      <c r="F533" s="185"/>
    </row>
    <row r="534" spans="1:6">
      <c r="A534" s="1120"/>
      <c r="B534" s="1121"/>
      <c r="C534" s="1122"/>
      <c r="D534" s="1123"/>
      <c r="E534" s="185"/>
      <c r="F534" s="185"/>
    </row>
    <row r="535" spans="1:6">
      <c r="A535" s="1120"/>
      <c r="B535" s="1124"/>
      <c r="C535" s="1122"/>
      <c r="D535" s="1123"/>
      <c r="E535" s="185"/>
      <c r="F535" s="185"/>
    </row>
    <row r="536" spans="1:6">
      <c r="A536" s="1120"/>
      <c r="B536" s="1124"/>
      <c r="C536" s="1122"/>
      <c r="D536" s="1123"/>
      <c r="E536" s="185"/>
      <c r="F536" s="185"/>
    </row>
    <row r="537" spans="1:6">
      <c r="A537" s="1120"/>
      <c r="B537" s="1124"/>
      <c r="C537" s="1122"/>
      <c r="D537" s="1123"/>
      <c r="E537" s="185"/>
      <c r="F537" s="185"/>
    </row>
    <row r="538" spans="1:6">
      <c r="A538" s="1120"/>
      <c r="B538" s="1121"/>
      <c r="C538" s="1122"/>
      <c r="D538" s="1123"/>
      <c r="E538" s="185"/>
      <c r="F538" s="185"/>
    </row>
    <row r="539" spans="1:6">
      <c r="A539" s="1120"/>
      <c r="B539" s="1124"/>
      <c r="C539" s="1122"/>
      <c r="D539" s="1123"/>
      <c r="E539" s="185"/>
      <c r="F539" s="185"/>
    </row>
    <row r="540" spans="1:6">
      <c r="A540" s="1120"/>
      <c r="B540" s="1124"/>
      <c r="C540" s="1122"/>
      <c r="D540" s="1123"/>
      <c r="E540" s="185"/>
      <c r="F540" s="185"/>
    </row>
    <row r="541" spans="1:6">
      <c r="A541" s="1120"/>
      <c r="B541" s="1124"/>
      <c r="C541" s="1122"/>
      <c r="D541" s="1123"/>
      <c r="E541" s="185"/>
      <c r="F541" s="185"/>
    </row>
    <row r="542" spans="1:6">
      <c r="A542" s="1120"/>
      <c r="B542" s="1121"/>
      <c r="C542" s="1122"/>
      <c r="D542" s="1123"/>
      <c r="E542" s="185"/>
      <c r="F542" s="185"/>
    </row>
    <row r="543" spans="1:6">
      <c r="A543" s="1120"/>
      <c r="B543" s="1121"/>
      <c r="C543" s="1122"/>
      <c r="D543" s="1123"/>
      <c r="E543" s="185"/>
      <c r="F543" s="185"/>
    </row>
    <row r="544" spans="1:6">
      <c r="A544" s="1120"/>
      <c r="B544" s="1121"/>
      <c r="C544" s="1122"/>
      <c r="D544" s="1123"/>
      <c r="E544" s="185"/>
      <c r="F544" s="185"/>
    </row>
    <row r="545" spans="1:6">
      <c r="A545" s="1120"/>
      <c r="B545" s="1124"/>
      <c r="C545" s="1122"/>
      <c r="D545" s="1123"/>
      <c r="E545" s="185"/>
      <c r="F545" s="185"/>
    </row>
    <row r="546" spans="1:6">
      <c r="A546" s="1120"/>
      <c r="B546" s="1121"/>
      <c r="C546" s="1122"/>
      <c r="D546" s="1123"/>
      <c r="E546" s="185"/>
      <c r="F546" s="185"/>
    </row>
    <row r="547" spans="1:6">
      <c r="A547" s="1120"/>
      <c r="B547" s="1124"/>
      <c r="C547" s="1122"/>
      <c r="D547" s="1123"/>
      <c r="E547" s="185"/>
      <c r="F547" s="185"/>
    </row>
    <row r="548" spans="1:6">
      <c r="A548" s="1120"/>
      <c r="B548" s="1121"/>
      <c r="C548" s="1122"/>
      <c r="D548" s="1123"/>
      <c r="E548" s="185"/>
      <c r="F548" s="185"/>
    </row>
    <row r="549" spans="1:6">
      <c r="A549" s="1120"/>
      <c r="B549" s="1125"/>
      <c r="C549" s="1122"/>
      <c r="D549" s="1123"/>
      <c r="E549" s="185"/>
      <c r="F549" s="185"/>
    </row>
    <row r="550" spans="1:6">
      <c r="A550" s="1120"/>
      <c r="B550" s="1124"/>
      <c r="C550" s="1122"/>
      <c r="D550" s="1123"/>
      <c r="E550" s="185"/>
      <c r="F550" s="185"/>
    </row>
    <row r="551" spans="1:6">
      <c r="A551" s="1120"/>
      <c r="B551" s="1121"/>
      <c r="C551" s="1122"/>
      <c r="D551" s="1123"/>
      <c r="E551" s="185"/>
      <c r="F551" s="185"/>
    </row>
    <row r="552" spans="1:6">
      <c r="A552" s="1120"/>
      <c r="B552" s="1124"/>
      <c r="C552" s="1122"/>
      <c r="D552" s="1123"/>
      <c r="E552" s="185"/>
      <c r="F552" s="185"/>
    </row>
    <row r="553" spans="1:6">
      <c r="A553" s="1120"/>
      <c r="B553" s="1124"/>
      <c r="C553" s="1122"/>
      <c r="D553" s="1123"/>
      <c r="E553" s="185"/>
      <c r="F553" s="185"/>
    </row>
    <row r="554" spans="1:6">
      <c r="A554" s="1120"/>
      <c r="B554" s="1124"/>
      <c r="C554" s="1122"/>
      <c r="D554" s="1123"/>
      <c r="E554" s="185"/>
      <c r="F554" s="185"/>
    </row>
    <row r="555" spans="1:6">
      <c r="A555" s="1120"/>
      <c r="B555" s="1121"/>
      <c r="C555" s="1122"/>
      <c r="D555" s="1123"/>
      <c r="E555" s="185"/>
      <c r="F555" s="185"/>
    </row>
    <row r="556" spans="1:6">
      <c r="A556" s="1120"/>
      <c r="B556" s="1121"/>
      <c r="C556" s="1122"/>
      <c r="D556" s="1123"/>
      <c r="E556" s="185"/>
      <c r="F556" s="185"/>
    </row>
    <row r="557" spans="1:6">
      <c r="A557" s="1120"/>
      <c r="B557" s="1121"/>
      <c r="C557" s="1122"/>
      <c r="D557" s="1123"/>
      <c r="E557" s="185"/>
      <c r="F557" s="185"/>
    </row>
    <row r="558" spans="1:6">
      <c r="A558" s="1120"/>
      <c r="B558" s="1121"/>
      <c r="C558" s="1122"/>
      <c r="D558" s="1123"/>
      <c r="E558" s="185"/>
      <c r="F558" s="185"/>
    </row>
    <row r="559" spans="1:6">
      <c r="A559" s="1120"/>
      <c r="B559" s="1124"/>
      <c r="C559" s="1122"/>
      <c r="D559" s="1123"/>
      <c r="E559" s="185"/>
      <c r="F559" s="185"/>
    </row>
    <row r="560" spans="1:6">
      <c r="A560" s="1120"/>
      <c r="B560" s="1121"/>
      <c r="C560" s="1122"/>
      <c r="D560" s="1123"/>
      <c r="E560" s="185"/>
      <c r="F560" s="185"/>
    </row>
    <row r="561" spans="1:6">
      <c r="A561" s="1120"/>
      <c r="B561" s="1124"/>
      <c r="C561" s="1122"/>
      <c r="D561" s="1123"/>
      <c r="E561" s="185"/>
      <c r="F561" s="185"/>
    </row>
    <row r="562" spans="1:6">
      <c r="A562" s="1120"/>
      <c r="B562" s="1121"/>
      <c r="C562" s="1122"/>
      <c r="D562" s="1123"/>
      <c r="E562" s="185"/>
      <c r="F562" s="185"/>
    </row>
    <row r="563" spans="1:6">
      <c r="A563" s="1120"/>
      <c r="B563" s="1125"/>
      <c r="C563" s="1122"/>
      <c r="D563" s="1123"/>
      <c r="E563" s="185"/>
      <c r="F563" s="185"/>
    </row>
    <row r="564" spans="1:6">
      <c r="A564" s="1120"/>
      <c r="B564" s="1121"/>
      <c r="C564" s="1122"/>
      <c r="D564" s="1123"/>
      <c r="E564" s="185"/>
      <c r="F564" s="185"/>
    </row>
    <row r="565" spans="1:6">
      <c r="A565" s="1120"/>
      <c r="B565" s="1121"/>
      <c r="C565" s="1122"/>
      <c r="D565" s="1123"/>
      <c r="E565" s="185"/>
      <c r="F565" s="185"/>
    </row>
    <row r="566" spans="1:6">
      <c r="A566" s="1120"/>
      <c r="B566" s="1121"/>
      <c r="C566" s="1122"/>
      <c r="D566" s="1123"/>
      <c r="E566" s="185"/>
      <c r="F566" s="185"/>
    </row>
    <row r="567" spans="1:6">
      <c r="A567" s="1120"/>
      <c r="B567" s="1121"/>
      <c r="C567" s="1122"/>
      <c r="D567" s="1123"/>
      <c r="E567" s="185"/>
      <c r="F567" s="185"/>
    </row>
    <row r="568" spans="1:6">
      <c r="A568" s="1120"/>
      <c r="B568" s="1121"/>
      <c r="C568" s="1122"/>
      <c r="D568" s="1123"/>
      <c r="E568" s="185"/>
      <c r="F568" s="185"/>
    </row>
    <row r="569" spans="1:6">
      <c r="A569" s="1120"/>
      <c r="B569" s="1121"/>
      <c r="C569" s="1122"/>
      <c r="D569" s="1123"/>
      <c r="E569" s="185"/>
      <c r="F569" s="185"/>
    </row>
    <row r="570" spans="1:6">
      <c r="A570" s="1120"/>
      <c r="B570" s="1121"/>
      <c r="C570" s="1122"/>
      <c r="D570" s="1123"/>
      <c r="E570" s="185"/>
      <c r="F570" s="185"/>
    </row>
    <row r="571" spans="1:6">
      <c r="A571" s="1120"/>
      <c r="B571" s="1121"/>
      <c r="C571" s="1122"/>
      <c r="D571" s="1123"/>
      <c r="E571" s="185"/>
      <c r="F571" s="185"/>
    </row>
    <row r="572" spans="1:6">
      <c r="A572" s="1120"/>
      <c r="B572" s="1125"/>
      <c r="C572" s="1122"/>
      <c r="D572" s="1123"/>
      <c r="E572" s="185"/>
      <c r="F572" s="185"/>
    </row>
    <row r="573" spans="1:6">
      <c r="A573" s="1120"/>
      <c r="B573" s="1124"/>
      <c r="C573" s="1122"/>
      <c r="D573" s="1123"/>
      <c r="E573" s="185"/>
      <c r="F573" s="185"/>
    </row>
    <row r="574" spans="1:6">
      <c r="A574" s="1120"/>
      <c r="B574" s="1124"/>
      <c r="C574" s="1122"/>
      <c r="D574" s="1123"/>
      <c r="E574" s="185"/>
      <c r="F574" s="185"/>
    </row>
    <row r="575" spans="1:6">
      <c r="A575" s="1120"/>
      <c r="B575" s="1124"/>
      <c r="C575" s="1122"/>
      <c r="D575" s="1123"/>
      <c r="E575" s="185"/>
      <c r="F575" s="185"/>
    </row>
    <row r="576" spans="1:6">
      <c r="A576" s="1120"/>
      <c r="B576" s="1121"/>
      <c r="C576" s="1122"/>
      <c r="D576" s="1123"/>
      <c r="E576" s="185"/>
      <c r="F576" s="185"/>
    </row>
    <row r="577" spans="1:6">
      <c r="A577" s="1120"/>
      <c r="B577" s="1124"/>
      <c r="C577" s="1122"/>
      <c r="D577" s="1123"/>
      <c r="E577" s="185"/>
      <c r="F577" s="185"/>
    </row>
    <row r="578" spans="1:6">
      <c r="A578" s="1120"/>
      <c r="B578" s="1121"/>
      <c r="C578" s="1122"/>
      <c r="D578" s="1123"/>
      <c r="E578" s="185"/>
      <c r="F578" s="185"/>
    </row>
    <row r="579" spans="1:6">
      <c r="A579" s="1120"/>
      <c r="B579" s="1124"/>
      <c r="C579" s="1122"/>
      <c r="D579" s="1123"/>
      <c r="E579" s="185"/>
      <c r="F579" s="185"/>
    </row>
    <row r="580" spans="1:6">
      <c r="A580" s="1120"/>
      <c r="B580" s="1124"/>
      <c r="C580" s="1122"/>
      <c r="D580" s="1123"/>
      <c r="E580" s="185"/>
      <c r="F580" s="185"/>
    </row>
    <row r="581" spans="1:6">
      <c r="A581" s="1120"/>
      <c r="B581" s="1124"/>
      <c r="C581" s="1122"/>
      <c r="D581" s="1123"/>
      <c r="E581" s="185"/>
      <c r="F581" s="185"/>
    </row>
    <row r="582" spans="1:6">
      <c r="A582" s="1120"/>
      <c r="B582" s="1124"/>
      <c r="C582" s="1122"/>
      <c r="D582" s="1123"/>
      <c r="E582" s="185"/>
      <c r="F582" s="185"/>
    </row>
    <row r="583" spans="1:6">
      <c r="A583" s="1120"/>
      <c r="B583" s="1124"/>
      <c r="C583" s="1122"/>
      <c r="D583" s="1123"/>
      <c r="E583" s="185"/>
      <c r="F583" s="185"/>
    </row>
    <row r="584" spans="1:6">
      <c r="A584" s="1120"/>
      <c r="B584" s="1124"/>
      <c r="C584" s="1122"/>
      <c r="D584" s="1123"/>
      <c r="E584" s="185"/>
      <c r="F584" s="185"/>
    </row>
    <row r="585" spans="1:6">
      <c r="A585" s="1120"/>
      <c r="B585" s="1121"/>
      <c r="C585" s="1122"/>
      <c r="D585" s="1123"/>
      <c r="E585" s="185"/>
      <c r="F585" s="185"/>
    </row>
    <row r="586" spans="1:6">
      <c r="A586" s="1120"/>
      <c r="B586" s="1124"/>
      <c r="C586" s="1122"/>
      <c r="D586" s="1123"/>
      <c r="E586" s="185"/>
      <c r="F586" s="185"/>
    </row>
    <row r="587" spans="1:6">
      <c r="A587" s="1120"/>
      <c r="B587" s="1124"/>
      <c r="C587" s="1122"/>
      <c r="D587" s="1123"/>
      <c r="E587" s="185"/>
      <c r="F587" s="185"/>
    </row>
    <row r="588" spans="1:6">
      <c r="A588" s="1120"/>
      <c r="B588" s="1124"/>
      <c r="C588" s="1122"/>
      <c r="D588" s="1123"/>
      <c r="E588" s="185"/>
      <c r="F588" s="185"/>
    </row>
    <row r="589" spans="1:6">
      <c r="A589" s="1120"/>
      <c r="B589" s="1124"/>
      <c r="C589" s="1122"/>
      <c r="D589" s="1123"/>
      <c r="E589" s="185"/>
      <c r="F589" s="185"/>
    </row>
    <row r="590" spans="1:6">
      <c r="A590" s="1120"/>
      <c r="B590" s="1121"/>
      <c r="C590" s="1122"/>
      <c r="D590" s="1123"/>
      <c r="E590" s="185"/>
      <c r="F590" s="185"/>
    </row>
    <row r="591" spans="1:6">
      <c r="A591" s="1120"/>
      <c r="B591" s="1124"/>
      <c r="C591" s="1122"/>
      <c r="D591" s="1123"/>
      <c r="E591" s="185"/>
      <c r="F591" s="185"/>
    </row>
    <row r="592" spans="1:6">
      <c r="A592" s="1120"/>
      <c r="B592" s="1124"/>
      <c r="C592" s="1122"/>
      <c r="D592" s="1123"/>
      <c r="E592" s="185"/>
      <c r="F592" s="185"/>
    </row>
    <row r="593" spans="1:6">
      <c r="A593" s="1120"/>
      <c r="B593" s="1124"/>
      <c r="C593" s="1122"/>
      <c r="D593" s="1123"/>
      <c r="E593" s="185"/>
      <c r="F593" s="185"/>
    </row>
    <row r="594" spans="1:6">
      <c r="A594" s="1120"/>
      <c r="B594" s="1124"/>
      <c r="C594" s="1122"/>
      <c r="D594" s="1123"/>
      <c r="E594" s="185"/>
      <c r="F594" s="185"/>
    </row>
    <row r="595" spans="1:6">
      <c r="A595" s="1120"/>
      <c r="B595" s="1121"/>
      <c r="C595" s="1122"/>
      <c r="D595" s="1123"/>
      <c r="E595" s="185"/>
      <c r="F595" s="185"/>
    </row>
    <row r="596" spans="1:6">
      <c r="A596" s="1120"/>
      <c r="B596" s="1124"/>
      <c r="C596" s="1122"/>
      <c r="D596" s="1123"/>
      <c r="E596" s="185"/>
      <c r="F596" s="185"/>
    </row>
    <row r="597" spans="1:6">
      <c r="A597" s="1120"/>
      <c r="B597" s="1124"/>
      <c r="C597" s="1122"/>
      <c r="D597" s="1123"/>
      <c r="E597" s="185"/>
      <c r="F597" s="185"/>
    </row>
    <row r="598" spans="1:6">
      <c r="A598" s="1120"/>
      <c r="B598" s="1121"/>
      <c r="C598" s="1122"/>
      <c r="D598" s="1123"/>
      <c r="E598" s="185"/>
      <c r="F598" s="185"/>
    </row>
    <row r="599" spans="1:6">
      <c r="A599" s="1120"/>
      <c r="B599" s="1124"/>
      <c r="C599" s="1122"/>
      <c r="D599" s="1123"/>
      <c r="E599" s="185"/>
      <c r="F599" s="185"/>
    </row>
    <row r="600" spans="1:6">
      <c r="A600" s="1120"/>
      <c r="B600" s="1121"/>
      <c r="C600" s="1122"/>
      <c r="D600" s="1123"/>
      <c r="E600" s="185"/>
      <c r="F600" s="185"/>
    </row>
    <row r="601" spans="1:6">
      <c r="A601" s="1120"/>
      <c r="B601" s="1125"/>
      <c r="C601" s="1122"/>
      <c r="D601" s="1123"/>
      <c r="E601" s="185"/>
      <c r="F601" s="185"/>
    </row>
    <row r="602" spans="1:6">
      <c r="A602" s="1120"/>
      <c r="B602" s="1124"/>
      <c r="C602" s="1122"/>
      <c r="D602" s="1123"/>
      <c r="E602" s="185"/>
      <c r="F602" s="185"/>
    </row>
    <row r="603" spans="1:6">
      <c r="A603" s="1120"/>
      <c r="B603" s="1124"/>
      <c r="C603" s="1122"/>
      <c r="D603" s="1123"/>
      <c r="E603" s="185"/>
      <c r="F603" s="185"/>
    </row>
    <row r="604" spans="1:6">
      <c r="A604" s="1120"/>
      <c r="B604" s="1121"/>
      <c r="C604" s="1122"/>
      <c r="D604" s="1123"/>
      <c r="E604" s="185"/>
      <c r="F604" s="185"/>
    </row>
    <row r="605" spans="1:6">
      <c r="A605" s="1120"/>
      <c r="B605" s="1124"/>
      <c r="C605" s="1122"/>
      <c r="D605" s="1123"/>
      <c r="E605" s="185"/>
      <c r="F605" s="185"/>
    </row>
    <row r="606" spans="1:6">
      <c r="A606" s="1120"/>
      <c r="B606" s="1124"/>
      <c r="C606" s="1122"/>
      <c r="D606" s="1123"/>
      <c r="E606" s="185"/>
      <c r="F606" s="185"/>
    </row>
    <row r="607" spans="1:6">
      <c r="A607" s="1120"/>
      <c r="B607" s="1124"/>
      <c r="C607" s="1122"/>
      <c r="D607" s="1123"/>
      <c r="E607" s="185"/>
      <c r="F607" s="185"/>
    </row>
    <row r="608" spans="1:6">
      <c r="A608" s="1120"/>
      <c r="B608" s="1124"/>
      <c r="C608" s="1122"/>
      <c r="D608" s="1123"/>
      <c r="E608" s="185"/>
      <c r="F608" s="185"/>
    </row>
    <row r="609" spans="1:6">
      <c r="A609" s="1120"/>
      <c r="B609" s="1121"/>
      <c r="C609" s="1122"/>
      <c r="D609" s="1123"/>
      <c r="E609" s="185"/>
      <c r="F609" s="185"/>
    </row>
    <row r="610" spans="1:6">
      <c r="A610" s="1120"/>
      <c r="B610" s="1124"/>
      <c r="C610" s="1122"/>
      <c r="D610" s="1123"/>
      <c r="E610" s="185"/>
      <c r="F610" s="185"/>
    </row>
    <row r="611" spans="1:6">
      <c r="A611" s="1120"/>
      <c r="B611" s="1121"/>
      <c r="C611" s="1122"/>
      <c r="D611" s="1123"/>
      <c r="E611" s="185"/>
      <c r="F611" s="185"/>
    </row>
    <row r="612" spans="1:6">
      <c r="A612" s="1120"/>
      <c r="B612" s="1124"/>
      <c r="C612" s="1122"/>
      <c r="D612" s="1123"/>
      <c r="E612" s="185"/>
      <c r="F612" s="185"/>
    </row>
    <row r="613" spans="1:6">
      <c r="A613" s="1120"/>
      <c r="B613" s="1121"/>
      <c r="C613" s="1122"/>
      <c r="D613" s="1123"/>
      <c r="E613" s="185"/>
      <c r="F613" s="185"/>
    </row>
    <row r="614" spans="1:6">
      <c r="A614" s="1120"/>
      <c r="B614" s="1124"/>
      <c r="C614" s="1122"/>
      <c r="D614" s="1123"/>
      <c r="E614" s="185"/>
      <c r="F614" s="185"/>
    </row>
    <row r="615" spans="1:6">
      <c r="A615" s="1120"/>
      <c r="B615" s="1121"/>
      <c r="C615" s="1122"/>
      <c r="D615" s="1123"/>
      <c r="E615" s="185"/>
      <c r="F615" s="185"/>
    </row>
    <row r="616" spans="1:6">
      <c r="A616" s="1120"/>
      <c r="B616" s="1125"/>
      <c r="C616" s="1122"/>
      <c r="D616" s="1123"/>
      <c r="E616" s="185"/>
      <c r="F616" s="185"/>
    </row>
    <row r="617" spans="1:6">
      <c r="A617" s="1120"/>
      <c r="B617" s="1124"/>
      <c r="C617" s="1122"/>
      <c r="D617" s="1123"/>
      <c r="E617" s="185"/>
      <c r="F617" s="185"/>
    </row>
    <row r="618" spans="1:6">
      <c r="A618" s="1120"/>
      <c r="B618" s="1124"/>
      <c r="C618" s="1122"/>
      <c r="D618" s="1123"/>
      <c r="E618" s="185"/>
      <c r="F618" s="185"/>
    </row>
    <row r="619" spans="1:6">
      <c r="A619" s="1120"/>
      <c r="B619" s="1121"/>
      <c r="C619" s="1122"/>
      <c r="D619" s="1123"/>
      <c r="E619" s="185"/>
      <c r="F619" s="185"/>
    </row>
    <row r="620" spans="1:6">
      <c r="A620" s="1120"/>
      <c r="B620" s="1124"/>
      <c r="C620" s="1122"/>
      <c r="D620" s="1123"/>
      <c r="E620" s="185"/>
      <c r="F620" s="185"/>
    </row>
    <row r="621" spans="1:6">
      <c r="A621" s="1120"/>
      <c r="B621" s="1124"/>
      <c r="C621" s="1122"/>
      <c r="D621" s="1123"/>
      <c r="E621" s="185"/>
      <c r="F621" s="185"/>
    </row>
    <row r="622" spans="1:6">
      <c r="A622" s="1120"/>
      <c r="B622" s="1124"/>
      <c r="C622" s="1122"/>
      <c r="D622" s="1123"/>
      <c r="E622" s="185"/>
      <c r="F622" s="185"/>
    </row>
    <row r="623" spans="1:6">
      <c r="A623" s="1120"/>
      <c r="B623" s="1124"/>
      <c r="C623" s="1122"/>
      <c r="D623" s="1123"/>
      <c r="E623" s="185"/>
      <c r="F623" s="185"/>
    </row>
    <row r="624" spans="1:6">
      <c r="A624" s="1120"/>
      <c r="B624" s="1121"/>
      <c r="C624" s="1122"/>
      <c r="D624" s="1123"/>
      <c r="E624" s="185"/>
      <c r="F624" s="185"/>
    </row>
    <row r="625" spans="1:6">
      <c r="A625" s="1120"/>
      <c r="B625" s="1124"/>
      <c r="C625" s="1122"/>
      <c r="D625" s="1123"/>
      <c r="E625" s="185"/>
      <c r="F625" s="185"/>
    </row>
    <row r="626" spans="1:6">
      <c r="A626" s="1120"/>
      <c r="B626" s="1121"/>
      <c r="C626" s="1122"/>
      <c r="D626" s="1123"/>
      <c r="E626" s="185"/>
      <c r="F626" s="185"/>
    </row>
    <row r="627" spans="1:6">
      <c r="A627" s="1120"/>
      <c r="B627" s="1121"/>
      <c r="C627" s="1122"/>
      <c r="D627" s="1123"/>
      <c r="E627" s="185"/>
      <c r="F627" s="185"/>
    </row>
    <row r="628" spans="1:6">
      <c r="A628" s="1120"/>
      <c r="B628" s="1124"/>
      <c r="C628" s="1122"/>
      <c r="D628" s="1123"/>
      <c r="E628" s="185"/>
      <c r="F628" s="185"/>
    </row>
    <row r="629" spans="1:6">
      <c r="A629" s="1120"/>
      <c r="B629" s="1121"/>
      <c r="C629" s="1122"/>
      <c r="D629" s="1123"/>
      <c r="E629" s="185"/>
      <c r="F629" s="185"/>
    </row>
    <row r="630" spans="1:6">
      <c r="A630" s="1120"/>
      <c r="B630" s="1124"/>
      <c r="C630" s="1122"/>
      <c r="D630" s="1123"/>
      <c r="E630" s="185"/>
      <c r="F630" s="185"/>
    </row>
    <row r="631" spans="1:6">
      <c r="A631" s="1120"/>
      <c r="B631" s="1121"/>
      <c r="C631" s="1122"/>
      <c r="D631" s="1123"/>
      <c r="E631" s="185"/>
      <c r="F631" s="185"/>
    </row>
    <row r="632" spans="1:6">
      <c r="A632" s="1120"/>
      <c r="B632" s="1125"/>
      <c r="C632" s="1122"/>
      <c r="D632" s="1123"/>
      <c r="E632" s="185"/>
      <c r="F632" s="185"/>
    </row>
    <row r="633" spans="1:6">
      <c r="A633" s="1120"/>
      <c r="B633" s="1124"/>
      <c r="C633" s="1122"/>
      <c r="D633" s="1123"/>
      <c r="E633" s="185"/>
      <c r="F633" s="185"/>
    </row>
    <row r="634" spans="1:6">
      <c r="A634" s="1120"/>
      <c r="B634" s="1124"/>
      <c r="C634" s="1122"/>
      <c r="D634" s="1123"/>
      <c r="E634" s="185"/>
      <c r="F634" s="185"/>
    </row>
    <row r="635" spans="1:6">
      <c r="A635" s="1120"/>
      <c r="B635" s="1121"/>
      <c r="C635" s="1122"/>
      <c r="D635" s="1123"/>
      <c r="E635" s="185"/>
      <c r="F635" s="185"/>
    </row>
    <row r="636" spans="1:6">
      <c r="A636" s="1120"/>
      <c r="B636" s="1124"/>
      <c r="C636" s="1122"/>
      <c r="D636" s="1123"/>
      <c r="E636" s="185"/>
      <c r="F636" s="185"/>
    </row>
    <row r="637" spans="1:6">
      <c r="A637" s="1120"/>
      <c r="B637" s="1124"/>
      <c r="C637" s="1122"/>
      <c r="D637" s="1123"/>
      <c r="E637" s="185"/>
      <c r="F637" s="185"/>
    </row>
    <row r="638" spans="1:6">
      <c r="A638" s="1120"/>
      <c r="B638" s="1121"/>
      <c r="C638" s="1122"/>
      <c r="D638" s="1123"/>
      <c r="E638" s="185"/>
      <c r="F638" s="185"/>
    </row>
    <row r="639" spans="1:6">
      <c r="A639" s="1120"/>
      <c r="B639" s="1121"/>
      <c r="C639" s="1122"/>
      <c r="D639" s="1123"/>
      <c r="E639" s="185"/>
      <c r="F639" s="185"/>
    </row>
    <row r="640" spans="1:6">
      <c r="A640" s="1120"/>
      <c r="B640" s="1121"/>
      <c r="C640" s="1122"/>
      <c r="D640" s="1123"/>
      <c r="E640" s="185"/>
      <c r="F640" s="185"/>
    </row>
    <row r="641" spans="1:6">
      <c r="A641" s="1120"/>
      <c r="B641" s="1121"/>
      <c r="C641" s="1122"/>
      <c r="D641" s="1123"/>
      <c r="E641" s="185"/>
      <c r="F641" s="185"/>
    </row>
    <row r="642" spans="1:6">
      <c r="A642" s="1120"/>
      <c r="B642" s="1124"/>
      <c r="C642" s="1122"/>
      <c r="D642" s="1123"/>
      <c r="E642" s="185"/>
      <c r="F642" s="185"/>
    </row>
    <row r="643" spans="1:6">
      <c r="A643" s="1120"/>
      <c r="B643" s="1121"/>
      <c r="C643" s="1122"/>
      <c r="D643" s="1123"/>
      <c r="E643" s="185"/>
      <c r="F643" s="185"/>
    </row>
    <row r="644" spans="1:6">
      <c r="A644" s="1120"/>
      <c r="B644" s="1124"/>
      <c r="C644" s="1122"/>
      <c r="D644" s="1123"/>
      <c r="E644" s="185"/>
      <c r="F644" s="185"/>
    </row>
    <row r="645" spans="1:6">
      <c r="A645" s="1120"/>
      <c r="B645" s="1121"/>
      <c r="C645" s="1122"/>
      <c r="D645" s="1123"/>
      <c r="E645" s="185"/>
      <c r="F645" s="185"/>
    </row>
    <row r="646" spans="1:6">
      <c r="A646" s="1120"/>
      <c r="B646" s="1125"/>
      <c r="C646" s="1122"/>
      <c r="D646" s="1123"/>
      <c r="E646" s="185"/>
      <c r="F646" s="185"/>
    </row>
    <row r="647" spans="1:6">
      <c r="A647" s="1120"/>
      <c r="B647" s="1121"/>
      <c r="C647" s="1122"/>
      <c r="D647" s="1123"/>
      <c r="E647" s="185"/>
      <c r="F647" s="185"/>
    </row>
    <row r="648" spans="1:6">
      <c r="A648" s="1120"/>
      <c r="B648" s="1121"/>
      <c r="C648" s="1122"/>
      <c r="D648" s="1123"/>
      <c r="E648" s="185"/>
      <c r="F648" s="185"/>
    </row>
    <row r="649" spans="1:6">
      <c r="A649" s="1120"/>
      <c r="B649" s="1121"/>
      <c r="C649" s="1122"/>
      <c r="D649" s="1123"/>
      <c r="E649" s="185"/>
      <c r="F649" s="185"/>
    </row>
    <row r="650" spans="1:6">
      <c r="A650" s="1120"/>
      <c r="B650" s="1121"/>
      <c r="C650" s="1122"/>
      <c r="D650" s="1123"/>
      <c r="E650" s="185"/>
      <c r="F650" s="185"/>
    </row>
    <row r="651" spans="1:6">
      <c r="A651" s="1120"/>
      <c r="B651" s="1121"/>
      <c r="C651" s="1122"/>
      <c r="D651" s="1123"/>
      <c r="E651" s="185"/>
      <c r="F651" s="185"/>
    </row>
    <row r="652" spans="1:6">
      <c r="A652" s="1120"/>
      <c r="B652" s="1124"/>
      <c r="C652" s="1122"/>
      <c r="D652" s="1123"/>
      <c r="E652" s="185"/>
      <c r="F652" s="185"/>
    </row>
    <row r="653" spans="1:6">
      <c r="A653" s="1120"/>
      <c r="B653" s="1121"/>
      <c r="C653" s="1122"/>
      <c r="D653" s="1123"/>
      <c r="E653" s="185"/>
      <c r="F653" s="185"/>
    </row>
    <row r="654" spans="1:6">
      <c r="A654" s="1120"/>
      <c r="B654" s="1121"/>
      <c r="C654" s="1122"/>
      <c r="D654" s="1123"/>
      <c r="E654" s="185"/>
      <c r="F654" s="185"/>
    </row>
    <row r="655" spans="1:6">
      <c r="A655" s="1120"/>
      <c r="B655" s="1124"/>
      <c r="C655" s="1122"/>
      <c r="D655" s="1123"/>
      <c r="E655" s="185"/>
      <c r="F655" s="185"/>
    </row>
    <row r="656" spans="1:6">
      <c r="A656" s="1120"/>
      <c r="B656" s="1121"/>
      <c r="C656" s="1122"/>
      <c r="D656" s="1123"/>
      <c r="E656" s="185"/>
      <c r="F656" s="185"/>
    </row>
    <row r="657" spans="1:6">
      <c r="A657" s="1120"/>
      <c r="B657" s="1121"/>
      <c r="C657" s="1122"/>
      <c r="D657" s="1123"/>
      <c r="E657" s="185"/>
      <c r="F657" s="185"/>
    </row>
    <row r="658" spans="1:6">
      <c r="A658" s="1120"/>
      <c r="B658" s="1121"/>
      <c r="C658" s="1122"/>
      <c r="D658" s="1123"/>
      <c r="E658" s="185"/>
      <c r="F658" s="185"/>
    </row>
    <row r="659" spans="1:6">
      <c r="A659" s="1120"/>
      <c r="B659" s="1125"/>
      <c r="C659" s="1122"/>
      <c r="D659" s="1123"/>
      <c r="E659" s="185"/>
      <c r="F659" s="185"/>
    </row>
    <row r="660" spans="1:6">
      <c r="A660" s="1120"/>
      <c r="B660" s="1124"/>
      <c r="C660" s="1122"/>
      <c r="D660" s="1123"/>
      <c r="E660" s="185"/>
      <c r="F660" s="185"/>
    </row>
    <row r="661" spans="1:6">
      <c r="A661" s="1120"/>
      <c r="B661" s="1124"/>
      <c r="C661" s="1122"/>
      <c r="D661" s="1123"/>
      <c r="E661" s="185"/>
      <c r="F661" s="185"/>
    </row>
    <row r="662" spans="1:6">
      <c r="A662" s="1120"/>
      <c r="B662" s="1121"/>
      <c r="C662" s="1122"/>
      <c r="D662" s="1123"/>
      <c r="E662" s="185"/>
      <c r="F662" s="185"/>
    </row>
    <row r="663" spans="1:6">
      <c r="A663" s="1120"/>
      <c r="B663" s="1124"/>
      <c r="C663" s="1122"/>
      <c r="D663" s="1123"/>
      <c r="E663" s="185"/>
      <c r="F663" s="185"/>
    </row>
    <row r="664" spans="1:6">
      <c r="A664" s="1120"/>
      <c r="B664" s="1124"/>
      <c r="C664" s="1122"/>
      <c r="D664" s="1123"/>
      <c r="E664" s="185"/>
      <c r="F664" s="185"/>
    </row>
    <row r="665" spans="1:6">
      <c r="A665" s="1120"/>
      <c r="B665" s="1124"/>
      <c r="C665" s="1122"/>
      <c r="D665" s="1123"/>
      <c r="E665" s="185"/>
      <c r="F665" s="185"/>
    </row>
    <row r="666" spans="1:6">
      <c r="A666" s="1120"/>
      <c r="B666" s="1121"/>
      <c r="C666" s="1122"/>
      <c r="D666" s="1123"/>
      <c r="E666" s="185"/>
      <c r="F666" s="185"/>
    </row>
    <row r="667" spans="1:6">
      <c r="A667" s="1120"/>
      <c r="B667" s="1125"/>
      <c r="C667" s="1122"/>
      <c r="D667" s="1123"/>
      <c r="E667" s="185"/>
      <c r="F667" s="185"/>
    </row>
    <row r="668" spans="1:6">
      <c r="A668" s="1120"/>
      <c r="B668" s="1124"/>
      <c r="C668" s="1122"/>
      <c r="D668" s="1123"/>
      <c r="E668" s="185"/>
      <c r="F668" s="185"/>
    </row>
    <row r="669" spans="1:6">
      <c r="A669" s="1120"/>
      <c r="B669" s="1124"/>
      <c r="C669" s="1122"/>
      <c r="D669" s="1123"/>
      <c r="E669" s="185"/>
      <c r="F669" s="185"/>
    </row>
    <row r="670" spans="1:6">
      <c r="A670" s="1120"/>
      <c r="B670" s="1124"/>
      <c r="C670" s="1122"/>
      <c r="D670" s="1123"/>
      <c r="E670" s="185"/>
      <c r="F670" s="185"/>
    </row>
    <row r="671" spans="1:6">
      <c r="A671" s="1120"/>
      <c r="B671" s="1121"/>
      <c r="C671" s="1122"/>
      <c r="D671" s="1123"/>
      <c r="E671" s="185"/>
      <c r="F671" s="185"/>
    </row>
    <row r="672" spans="1:6">
      <c r="A672" s="1120"/>
      <c r="B672" s="1124"/>
      <c r="C672" s="1122"/>
      <c r="D672" s="1123"/>
      <c r="E672" s="185"/>
      <c r="F672" s="185"/>
    </row>
    <row r="673" spans="1:6">
      <c r="A673" s="1120"/>
      <c r="B673" s="1124"/>
      <c r="C673" s="1122"/>
      <c r="D673" s="1123"/>
      <c r="E673" s="185"/>
      <c r="F673" s="185"/>
    </row>
    <row r="674" spans="1:6">
      <c r="A674" s="1120"/>
      <c r="B674" s="1124"/>
      <c r="C674" s="1122"/>
      <c r="D674" s="1123"/>
      <c r="E674" s="185"/>
      <c r="F674" s="185"/>
    </row>
    <row r="675" spans="1:6">
      <c r="A675" s="1120"/>
      <c r="B675" s="1121"/>
      <c r="C675" s="1122"/>
      <c r="D675" s="1123"/>
      <c r="E675" s="185"/>
      <c r="F675" s="185"/>
    </row>
    <row r="676" spans="1:6">
      <c r="A676" s="1120"/>
      <c r="B676" s="1125"/>
      <c r="C676" s="1122"/>
      <c r="D676" s="1123"/>
      <c r="E676" s="185"/>
      <c r="F676" s="185"/>
    </row>
    <row r="677" spans="1:6">
      <c r="A677" s="1120"/>
      <c r="B677" s="1124"/>
      <c r="C677" s="1122"/>
      <c r="D677" s="1123"/>
      <c r="E677" s="185"/>
      <c r="F677" s="185"/>
    </row>
    <row r="678" spans="1:6">
      <c r="A678" s="1120"/>
      <c r="B678" s="1124"/>
      <c r="C678" s="1122"/>
      <c r="D678" s="1123"/>
      <c r="E678" s="185"/>
      <c r="F678" s="185"/>
    </row>
    <row r="679" spans="1:6">
      <c r="A679" s="1120"/>
      <c r="B679" s="1121"/>
      <c r="C679" s="1122"/>
      <c r="D679" s="1123"/>
      <c r="E679" s="185"/>
      <c r="F679" s="185"/>
    </row>
    <row r="680" spans="1:6">
      <c r="A680" s="1120"/>
      <c r="B680" s="1124"/>
      <c r="C680" s="1122"/>
      <c r="D680" s="1123"/>
      <c r="E680" s="185"/>
      <c r="F680" s="185"/>
    </row>
    <row r="681" spans="1:6">
      <c r="A681" s="1120"/>
      <c r="B681" s="1121"/>
      <c r="C681" s="1122"/>
      <c r="D681" s="1123"/>
      <c r="E681" s="185"/>
      <c r="F681" s="185"/>
    </row>
    <row r="682" spans="1:6">
      <c r="A682" s="1120"/>
      <c r="B682" s="1125"/>
      <c r="C682" s="1122"/>
      <c r="D682" s="1123"/>
      <c r="E682" s="185"/>
      <c r="F682" s="185"/>
    </row>
    <row r="683" spans="1:6">
      <c r="A683" s="1120"/>
      <c r="B683" s="1121"/>
      <c r="C683" s="1122"/>
      <c r="D683" s="1123"/>
      <c r="E683" s="185"/>
      <c r="F683" s="185"/>
    </row>
    <row r="684" spans="1:6">
      <c r="A684" s="1120"/>
      <c r="B684" s="1121"/>
      <c r="C684" s="1122"/>
      <c r="D684" s="1123"/>
      <c r="E684" s="185"/>
      <c r="F684" s="185"/>
    </row>
    <row r="685" spans="1:6">
      <c r="A685" s="1120"/>
      <c r="B685" s="1125"/>
      <c r="C685" s="1122"/>
      <c r="D685" s="1123"/>
      <c r="E685" s="185"/>
      <c r="F685" s="185"/>
    </row>
    <row r="686" spans="1:6">
      <c r="A686" s="1120"/>
      <c r="B686" s="1124"/>
      <c r="C686" s="1122"/>
      <c r="D686" s="1123"/>
      <c r="E686" s="185"/>
      <c r="F686" s="185"/>
    </row>
    <row r="687" spans="1:6">
      <c r="A687" s="1120"/>
      <c r="B687" s="1124"/>
      <c r="C687" s="1122"/>
      <c r="D687" s="1123"/>
      <c r="E687" s="185"/>
      <c r="F687" s="185"/>
    </row>
    <row r="688" spans="1:6">
      <c r="A688" s="1120"/>
      <c r="B688" s="1124"/>
      <c r="C688" s="1122"/>
      <c r="D688" s="1123"/>
      <c r="E688" s="185"/>
      <c r="F688" s="185"/>
    </row>
    <row r="689" spans="1:6">
      <c r="A689" s="1120"/>
      <c r="B689" s="1124"/>
      <c r="C689" s="1122"/>
      <c r="D689" s="1123"/>
      <c r="E689" s="185"/>
      <c r="F689" s="185"/>
    </row>
    <row r="690" spans="1:6">
      <c r="A690" s="1120"/>
      <c r="B690" s="1124"/>
      <c r="C690" s="1122"/>
      <c r="D690" s="1123"/>
      <c r="E690" s="185"/>
      <c r="F690" s="185"/>
    </row>
    <row r="691" spans="1:6">
      <c r="A691" s="1120"/>
      <c r="B691" s="1125"/>
      <c r="C691" s="1122"/>
      <c r="D691" s="1123"/>
      <c r="E691" s="185"/>
      <c r="F691" s="185"/>
    </row>
    <row r="692" spans="1:6">
      <c r="A692" s="1120"/>
      <c r="B692" s="1121"/>
      <c r="C692" s="1122"/>
      <c r="D692" s="1123"/>
      <c r="E692" s="185"/>
      <c r="F692" s="185"/>
    </row>
    <row r="693" spans="1:6">
      <c r="A693" s="1120"/>
      <c r="B693" s="1121"/>
      <c r="C693" s="1122"/>
      <c r="D693" s="1123"/>
      <c r="E693" s="185"/>
      <c r="F693" s="185"/>
    </row>
    <row r="694" spans="1:6">
      <c r="A694" s="1120"/>
      <c r="B694" s="1121"/>
      <c r="C694" s="1122"/>
      <c r="D694" s="1123"/>
      <c r="E694" s="185"/>
      <c r="F694" s="185"/>
    </row>
    <row r="695" spans="1:6">
      <c r="A695" s="1120"/>
      <c r="B695" s="1125"/>
      <c r="C695" s="1122"/>
      <c r="D695" s="1123"/>
      <c r="E695" s="185"/>
      <c r="F695" s="185"/>
    </row>
    <row r="696" spans="1:6">
      <c r="A696" s="1120"/>
      <c r="B696" s="1124"/>
      <c r="C696" s="1122"/>
      <c r="D696" s="1123"/>
      <c r="E696" s="185"/>
      <c r="F696" s="185"/>
    </row>
    <row r="697" spans="1:6">
      <c r="A697" s="1120"/>
      <c r="B697" s="1124"/>
      <c r="C697" s="1122"/>
      <c r="D697" s="1123"/>
      <c r="E697" s="185"/>
      <c r="F697" s="185"/>
    </row>
    <row r="698" spans="1:6">
      <c r="A698" s="1120"/>
      <c r="B698" s="1124"/>
      <c r="C698" s="1122"/>
      <c r="D698" s="1123"/>
      <c r="E698" s="185"/>
      <c r="F698" s="185"/>
    </row>
    <row r="699" spans="1:6">
      <c r="A699" s="1120"/>
      <c r="B699" s="1124"/>
      <c r="C699" s="1122"/>
      <c r="D699" s="1123"/>
      <c r="E699" s="185"/>
      <c r="F699" s="185"/>
    </row>
    <row r="700" spans="1:6">
      <c r="A700" s="1120"/>
      <c r="B700" s="1124"/>
      <c r="C700" s="1122"/>
      <c r="D700" s="1123"/>
      <c r="E700" s="185"/>
      <c r="F700" s="185"/>
    </row>
    <row r="701" spans="1:6">
      <c r="A701" s="1120"/>
      <c r="B701" s="1121"/>
      <c r="C701" s="1122"/>
      <c r="D701" s="1123"/>
      <c r="E701" s="185"/>
      <c r="F701" s="185"/>
    </row>
    <row r="702" spans="1:6">
      <c r="A702" s="1120"/>
      <c r="B702" s="1121"/>
      <c r="C702" s="1122"/>
      <c r="D702" s="1123"/>
      <c r="E702" s="185"/>
      <c r="F702" s="185"/>
    </row>
    <row r="703" spans="1:6">
      <c r="A703" s="1120"/>
      <c r="B703" s="1124"/>
      <c r="C703" s="1122"/>
      <c r="D703" s="1123"/>
      <c r="E703" s="185"/>
      <c r="F703" s="185"/>
    </row>
    <row r="704" spans="1:6">
      <c r="A704" s="1120"/>
      <c r="B704" s="1124"/>
      <c r="C704" s="1122"/>
      <c r="D704" s="1123"/>
      <c r="E704" s="185"/>
      <c r="F704" s="185"/>
    </row>
    <row r="705" spans="1:6">
      <c r="A705" s="1120"/>
      <c r="B705" s="1124"/>
      <c r="C705" s="1122"/>
      <c r="D705" s="1123"/>
      <c r="E705" s="185"/>
      <c r="F705" s="185"/>
    </row>
    <row r="706" spans="1:6">
      <c r="A706" s="1120"/>
      <c r="B706" s="1121"/>
      <c r="C706" s="1122"/>
      <c r="D706" s="1123"/>
      <c r="E706" s="185"/>
      <c r="F706" s="185"/>
    </row>
    <row r="707" spans="1:6">
      <c r="A707" s="1120"/>
      <c r="B707" s="1125"/>
      <c r="C707" s="1122"/>
      <c r="D707" s="1123"/>
      <c r="E707" s="185"/>
      <c r="F707" s="185"/>
    </row>
    <row r="708" spans="1:6">
      <c r="A708" s="1120"/>
      <c r="B708" s="1121"/>
      <c r="C708" s="1122"/>
      <c r="D708" s="1123"/>
      <c r="E708" s="185"/>
      <c r="F708" s="185"/>
    </row>
    <row r="709" spans="1:6">
      <c r="A709" s="1120"/>
      <c r="B709" s="1121"/>
      <c r="C709" s="1122"/>
      <c r="D709" s="1123"/>
      <c r="E709" s="185"/>
      <c r="F709" s="185"/>
    </row>
    <row r="710" spans="1:6">
      <c r="A710" s="1120"/>
      <c r="B710" s="1124"/>
      <c r="C710" s="1122"/>
      <c r="D710" s="1123"/>
      <c r="E710" s="185"/>
      <c r="F710" s="185"/>
    </row>
    <row r="711" spans="1:6">
      <c r="A711" s="1120"/>
      <c r="B711" s="1121"/>
      <c r="C711" s="1122"/>
      <c r="D711" s="1123"/>
      <c r="E711" s="185"/>
      <c r="F711" s="185"/>
    </row>
    <row r="712" spans="1:6">
      <c r="A712" s="1120"/>
      <c r="B712" s="1121"/>
      <c r="C712" s="1122"/>
      <c r="D712" s="1123"/>
      <c r="E712" s="185"/>
      <c r="F712" s="185"/>
    </row>
    <row r="713" spans="1:6">
      <c r="A713" s="1120"/>
      <c r="B713" s="1121"/>
      <c r="C713" s="1122"/>
      <c r="D713" s="1123"/>
      <c r="E713" s="185"/>
      <c r="F713" s="185"/>
    </row>
    <row r="714" spans="1:6">
      <c r="A714" s="1120"/>
      <c r="B714" s="1124"/>
      <c r="C714" s="1122"/>
      <c r="D714" s="1123"/>
      <c r="E714" s="185"/>
      <c r="F714" s="185"/>
    </row>
    <row r="715" spans="1:6">
      <c r="A715" s="1120"/>
      <c r="B715" s="1124"/>
      <c r="C715" s="1122"/>
      <c r="D715" s="1123"/>
      <c r="E715" s="185"/>
      <c r="F715" s="185"/>
    </row>
    <row r="716" spans="1:6">
      <c r="A716" s="1120"/>
      <c r="B716" s="1121"/>
      <c r="C716" s="1122"/>
      <c r="D716" s="1123"/>
      <c r="E716" s="185"/>
      <c r="F716" s="185"/>
    </row>
    <row r="717" spans="1:6">
      <c r="A717" s="1120"/>
      <c r="B717" s="1124"/>
      <c r="C717" s="1122"/>
      <c r="D717" s="1123"/>
      <c r="E717" s="185"/>
      <c r="F717" s="185"/>
    </row>
    <row r="718" spans="1:6">
      <c r="A718" s="1120"/>
      <c r="B718" s="1121"/>
      <c r="C718" s="1122"/>
      <c r="D718" s="1123"/>
      <c r="E718" s="185"/>
      <c r="F718" s="185"/>
    </row>
    <row r="719" spans="1:6">
      <c r="A719" s="1120"/>
      <c r="B719" s="1124"/>
      <c r="C719" s="1122"/>
      <c r="D719" s="1123"/>
      <c r="E719" s="185"/>
      <c r="F719" s="185"/>
    </row>
    <row r="720" spans="1:6">
      <c r="A720" s="1120"/>
      <c r="B720" s="1121"/>
      <c r="C720" s="1122"/>
      <c r="D720" s="1123"/>
      <c r="E720" s="185"/>
      <c r="F720" s="185"/>
    </row>
    <row r="721" spans="1:6">
      <c r="A721" s="1120"/>
      <c r="B721" s="1125"/>
      <c r="C721" s="1122"/>
      <c r="D721" s="1123"/>
      <c r="E721" s="185"/>
      <c r="F721" s="185"/>
    </row>
    <row r="722" spans="1:6">
      <c r="A722" s="1120"/>
      <c r="B722" s="1121"/>
      <c r="C722" s="1122"/>
      <c r="D722" s="1123"/>
      <c r="E722" s="185"/>
      <c r="F722" s="185"/>
    </row>
    <row r="723" spans="1:6">
      <c r="A723" s="1120"/>
      <c r="B723" s="1124"/>
      <c r="C723" s="1122"/>
      <c r="D723" s="1123"/>
      <c r="E723" s="185"/>
      <c r="F723" s="185"/>
    </row>
    <row r="724" spans="1:6">
      <c r="A724" s="1120"/>
      <c r="B724" s="1121"/>
      <c r="C724" s="1122"/>
      <c r="D724" s="1123"/>
      <c r="E724" s="185"/>
      <c r="F724" s="185"/>
    </row>
    <row r="725" spans="1:6">
      <c r="A725" s="1120"/>
      <c r="B725" s="1121"/>
      <c r="C725" s="1122"/>
      <c r="D725" s="1123"/>
      <c r="E725" s="185"/>
      <c r="F725" s="185"/>
    </row>
    <row r="726" spans="1:6">
      <c r="A726" s="1120"/>
      <c r="B726" s="1121"/>
      <c r="C726" s="1122"/>
      <c r="D726" s="1123"/>
      <c r="E726" s="185"/>
      <c r="F726" s="185"/>
    </row>
    <row r="727" spans="1:6">
      <c r="A727" s="1120"/>
      <c r="B727" s="1124"/>
      <c r="C727" s="1122"/>
      <c r="D727" s="1123"/>
      <c r="E727" s="185"/>
      <c r="F727" s="185"/>
    </row>
    <row r="728" spans="1:6">
      <c r="A728" s="1120"/>
      <c r="B728" s="1124"/>
      <c r="C728" s="1122"/>
      <c r="D728" s="1123"/>
      <c r="E728" s="185"/>
      <c r="F728" s="185"/>
    </row>
    <row r="729" spans="1:6">
      <c r="A729" s="1120"/>
      <c r="B729" s="1121"/>
      <c r="C729" s="1122"/>
      <c r="D729" s="1123"/>
      <c r="E729" s="185"/>
      <c r="F729" s="185"/>
    </row>
    <row r="730" spans="1:6">
      <c r="A730" s="1120"/>
      <c r="B730" s="1121"/>
      <c r="C730" s="1122"/>
      <c r="D730" s="1123"/>
      <c r="E730" s="185"/>
      <c r="F730" s="185"/>
    </row>
    <row r="731" spans="1:6">
      <c r="A731" s="1120"/>
      <c r="B731" s="1124"/>
      <c r="C731" s="1122"/>
      <c r="D731" s="1123"/>
      <c r="E731" s="185"/>
      <c r="F731" s="185"/>
    </row>
    <row r="732" spans="1:6">
      <c r="A732" s="1120"/>
      <c r="B732" s="1121"/>
      <c r="C732" s="1122"/>
      <c r="D732" s="1123"/>
      <c r="E732" s="185"/>
      <c r="F732" s="185"/>
    </row>
    <row r="733" spans="1:6">
      <c r="A733" s="1120"/>
      <c r="B733" s="1124"/>
      <c r="C733" s="1122"/>
      <c r="D733" s="1123"/>
      <c r="E733" s="185"/>
      <c r="F733" s="185"/>
    </row>
    <row r="734" spans="1:6">
      <c r="A734" s="1120"/>
      <c r="B734" s="1121"/>
      <c r="C734" s="1122"/>
      <c r="D734" s="1123"/>
      <c r="E734" s="185"/>
      <c r="F734" s="185"/>
    </row>
    <row r="735" spans="1:6">
      <c r="A735" s="1120"/>
      <c r="B735" s="1124"/>
      <c r="C735" s="1122"/>
      <c r="D735" s="1123"/>
      <c r="E735" s="185"/>
      <c r="F735" s="185"/>
    </row>
    <row r="736" spans="1:6">
      <c r="A736" s="1120"/>
      <c r="B736" s="1121"/>
      <c r="C736" s="1122"/>
      <c r="D736" s="1123"/>
      <c r="E736" s="185"/>
      <c r="F736" s="185"/>
    </row>
    <row r="737" spans="1:6">
      <c r="A737" s="1120"/>
      <c r="B737" s="1124"/>
      <c r="C737" s="1122"/>
      <c r="D737" s="1123"/>
      <c r="E737" s="185"/>
      <c r="F737" s="185"/>
    </row>
    <row r="738" spans="1:6">
      <c r="A738" s="1120"/>
      <c r="B738" s="1121"/>
      <c r="C738" s="1122"/>
      <c r="D738" s="1123"/>
      <c r="E738" s="185"/>
      <c r="F738" s="185"/>
    </row>
    <row r="739" spans="1:6">
      <c r="A739" s="1120"/>
      <c r="B739" s="1125"/>
      <c r="C739" s="1122"/>
      <c r="D739" s="1123"/>
      <c r="E739" s="185"/>
      <c r="F739" s="185"/>
    </row>
    <row r="740" spans="1:6">
      <c r="A740" s="1120"/>
      <c r="B740" s="1121"/>
      <c r="C740" s="1122"/>
      <c r="D740" s="1123"/>
      <c r="E740" s="185"/>
      <c r="F740" s="185"/>
    </row>
    <row r="741" spans="1:6">
      <c r="A741" s="1120"/>
      <c r="B741" s="1124"/>
      <c r="C741" s="1122"/>
      <c r="D741" s="1123"/>
      <c r="E741" s="185"/>
      <c r="F741" s="185"/>
    </row>
    <row r="742" spans="1:6">
      <c r="A742" s="1120"/>
      <c r="B742" s="1124"/>
      <c r="C742" s="1122"/>
      <c r="D742" s="1123"/>
      <c r="E742" s="185"/>
      <c r="F742" s="185"/>
    </row>
    <row r="743" spans="1:6">
      <c r="A743" s="1120"/>
      <c r="B743" s="1121"/>
      <c r="C743" s="1122"/>
      <c r="D743" s="1123"/>
      <c r="E743" s="185"/>
      <c r="F743" s="185"/>
    </row>
    <row r="744" spans="1:6">
      <c r="A744" s="1120"/>
      <c r="B744" s="1124"/>
      <c r="C744" s="1122"/>
      <c r="D744" s="1123"/>
      <c r="E744" s="185"/>
      <c r="F744" s="185"/>
    </row>
    <row r="745" spans="1:6">
      <c r="A745" s="1120"/>
      <c r="B745" s="1121"/>
      <c r="C745" s="1122"/>
      <c r="D745" s="1123"/>
      <c r="E745" s="185"/>
      <c r="F745" s="185"/>
    </row>
    <row r="746" spans="1:6">
      <c r="A746" s="1120"/>
      <c r="B746" s="1124"/>
      <c r="C746" s="1122"/>
      <c r="D746" s="1123"/>
      <c r="E746" s="185"/>
      <c r="F746" s="185"/>
    </row>
    <row r="747" spans="1:6">
      <c r="A747" s="1120"/>
      <c r="B747" s="1121"/>
      <c r="C747" s="1122"/>
      <c r="D747" s="1123"/>
      <c r="E747" s="185"/>
      <c r="F747" s="185"/>
    </row>
    <row r="748" spans="1:6">
      <c r="A748" s="1120"/>
      <c r="B748" s="1125"/>
      <c r="C748" s="1122"/>
      <c r="D748" s="1123"/>
      <c r="E748" s="185"/>
      <c r="F748" s="185"/>
    </row>
    <row r="749" spans="1:6">
      <c r="A749" s="1120"/>
      <c r="B749" s="1124"/>
      <c r="C749" s="1122"/>
      <c r="D749" s="1123"/>
      <c r="E749" s="185"/>
      <c r="F749" s="185"/>
    </row>
    <row r="750" spans="1:6">
      <c r="A750" s="1120"/>
      <c r="B750" s="1121"/>
      <c r="C750" s="1122"/>
      <c r="D750" s="1123"/>
      <c r="E750" s="185"/>
      <c r="F750" s="185"/>
    </row>
    <row r="751" spans="1:6">
      <c r="A751" s="1120"/>
      <c r="B751" s="1125"/>
      <c r="C751" s="1122"/>
      <c r="D751" s="1123"/>
      <c r="E751" s="185"/>
      <c r="F751" s="185"/>
    </row>
    <row r="752" spans="1:6">
      <c r="A752" s="1120"/>
      <c r="B752" s="1124"/>
      <c r="C752" s="1122"/>
      <c r="D752" s="1123"/>
      <c r="E752" s="185"/>
      <c r="F752" s="185"/>
    </row>
    <row r="753" spans="1:6">
      <c r="A753" s="1120"/>
      <c r="B753" s="1124"/>
      <c r="C753" s="1122"/>
      <c r="D753" s="1123"/>
      <c r="E753" s="185"/>
      <c r="F753" s="185"/>
    </row>
    <row r="754" spans="1:6">
      <c r="A754" s="1120"/>
      <c r="B754" s="1121"/>
      <c r="C754" s="1122"/>
      <c r="D754" s="1123"/>
      <c r="E754" s="185"/>
      <c r="F754" s="185"/>
    </row>
    <row r="755" spans="1:6">
      <c r="A755" s="1120"/>
      <c r="B755" s="1121"/>
      <c r="C755" s="1122"/>
      <c r="D755" s="1123"/>
      <c r="E755" s="185"/>
      <c r="F755" s="185"/>
    </row>
    <row r="756" spans="1:6">
      <c r="A756" s="1120"/>
      <c r="B756" s="1121"/>
      <c r="C756" s="1122"/>
      <c r="D756" s="1123"/>
      <c r="E756" s="185"/>
      <c r="F756" s="185"/>
    </row>
    <row r="757" spans="1:6">
      <c r="A757" s="1120"/>
      <c r="B757" s="1124"/>
      <c r="C757" s="1122"/>
      <c r="D757" s="1123"/>
      <c r="E757" s="185"/>
      <c r="F757" s="185"/>
    </row>
    <row r="758" spans="1:6">
      <c r="A758" s="1120"/>
      <c r="B758" s="1121"/>
      <c r="C758" s="1122"/>
      <c r="D758" s="1123"/>
      <c r="E758" s="185"/>
      <c r="F758" s="185"/>
    </row>
    <row r="759" spans="1:6">
      <c r="A759" s="1120"/>
      <c r="B759" s="1121"/>
      <c r="C759" s="1122"/>
      <c r="D759" s="1123"/>
      <c r="E759" s="185"/>
      <c r="F759" s="185"/>
    </row>
    <row r="760" spans="1:6">
      <c r="A760" s="1120"/>
      <c r="B760" s="1121"/>
      <c r="C760" s="1122"/>
      <c r="D760" s="1123"/>
      <c r="E760" s="185"/>
      <c r="F760" s="185"/>
    </row>
    <row r="761" spans="1:6">
      <c r="A761" s="1120"/>
      <c r="B761" s="1124"/>
      <c r="C761" s="1122"/>
      <c r="D761" s="1123"/>
      <c r="E761" s="185"/>
      <c r="F761" s="185"/>
    </row>
    <row r="762" spans="1:6">
      <c r="A762" s="1120"/>
      <c r="B762" s="1124"/>
      <c r="C762" s="1122"/>
      <c r="D762" s="1123"/>
      <c r="E762" s="185"/>
      <c r="F762" s="185"/>
    </row>
    <row r="763" spans="1:6">
      <c r="A763" s="1120"/>
      <c r="B763" s="1121"/>
      <c r="C763" s="1122"/>
      <c r="D763" s="1123"/>
      <c r="E763" s="185"/>
      <c r="F763" s="185"/>
    </row>
    <row r="764" spans="1:6">
      <c r="A764" s="1120"/>
      <c r="B764" s="1121"/>
      <c r="C764" s="1122"/>
      <c r="D764" s="1123"/>
      <c r="E764" s="185"/>
      <c r="F764" s="185"/>
    </row>
    <row r="765" spans="1:6">
      <c r="A765" s="1120"/>
      <c r="B765" s="1121"/>
      <c r="C765" s="1122"/>
      <c r="D765" s="1123"/>
      <c r="E765" s="185"/>
      <c r="F765" s="185"/>
    </row>
    <row r="766" spans="1:6">
      <c r="A766" s="1120"/>
      <c r="B766" s="1124"/>
      <c r="C766" s="1122"/>
      <c r="D766" s="1123"/>
      <c r="E766" s="185"/>
      <c r="F766" s="185"/>
    </row>
    <row r="767" spans="1:6">
      <c r="A767" s="1120"/>
      <c r="B767" s="1124"/>
      <c r="C767" s="1122"/>
      <c r="D767" s="1123"/>
      <c r="E767" s="185"/>
      <c r="F767" s="185"/>
    </row>
    <row r="768" spans="1:6">
      <c r="A768" s="1120"/>
      <c r="B768" s="1121"/>
      <c r="C768" s="1122"/>
      <c r="D768" s="1123"/>
      <c r="E768" s="185"/>
      <c r="F768" s="185"/>
    </row>
    <row r="769" spans="1:6">
      <c r="A769" s="1120"/>
      <c r="B769" s="1125"/>
      <c r="C769" s="1122"/>
      <c r="D769" s="1123"/>
      <c r="E769" s="185"/>
      <c r="F769" s="185"/>
    </row>
    <row r="770" spans="1:6">
      <c r="A770" s="1120"/>
      <c r="B770" s="1124"/>
      <c r="C770" s="1122"/>
      <c r="D770" s="1123"/>
      <c r="E770" s="185"/>
      <c r="F770" s="185"/>
    </row>
    <row r="771" spans="1:6">
      <c r="A771" s="1120"/>
      <c r="B771" s="1124"/>
      <c r="C771" s="1122"/>
      <c r="D771" s="1123"/>
      <c r="E771" s="185"/>
      <c r="F771" s="185"/>
    </row>
    <row r="772" spans="1:6">
      <c r="A772" s="1120"/>
      <c r="B772" s="1124"/>
      <c r="C772" s="1122"/>
      <c r="D772" s="1123"/>
      <c r="E772" s="185"/>
      <c r="F772" s="185"/>
    </row>
    <row r="773" spans="1:6">
      <c r="A773" s="1120"/>
      <c r="B773" s="1124"/>
      <c r="C773" s="1122"/>
      <c r="D773" s="1123"/>
      <c r="E773" s="185"/>
      <c r="F773" s="185"/>
    </row>
    <row r="774" spans="1:6">
      <c r="A774" s="1120"/>
      <c r="B774" s="1124"/>
      <c r="C774" s="1122"/>
      <c r="D774" s="1123"/>
      <c r="E774" s="185"/>
      <c r="F774" s="185"/>
    </row>
    <row r="775" spans="1:6">
      <c r="A775" s="1120"/>
      <c r="B775" s="1124"/>
      <c r="C775" s="1122"/>
      <c r="D775" s="1123"/>
      <c r="E775" s="185"/>
      <c r="F775" s="185"/>
    </row>
    <row r="776" spans="1:6">
      <c r="A776" s="1120"/>
      <c r="B776" s="1124"/>
      <c r="C776" s="1122"/>
      <c r="D776" s="1123"/>
      <c r="E776" s="185"/>
      <c r="F776" s="185"/>
    </row>
    <row r="777" spans="1:6">
      <c r="A777" s="1120"/>
      <c r="B777" s="1124"/>
      <c r="C777" s="1122"/>
      <c r="D777" s="1123"/>
      <c r="E777" s="185"/>
      <c r="F777" s="185"/>
    </row>
    <row r="778" spans="1:6">
      <c r="A778" s="1120"/>
      <c r="B778" s="1124"/>
      <c r="C778" s="1122"/>
      <c r="D778" s="1123"/>
      <c r="E778" s="185"/>
      <c r="F778" s="185"/>
    </row>
    <row r="779" spans="1:6">
      <c r="A779" s="1120"/>
      <c r="B779" s="1124"/>
      <c r="C779" s="1122"/>
      <c r="D779" s="1123"/>
      <c r="E779" s="185"/>
      <c r="F779" s="185"/>
    </row>
    <row r="780" spans="1:6">
      <c r="A780" s="1120"/>
      <c r="B780" s="1124"/>
      <c r="C780" s="1122"/>
      <c r="D780" s="1123"/>
      <c r="E780" s="185"/>
      <c r="F780" s="185"/>
    </row>
    <row r="781" spans="1:6">
      <c r="A781" s="1120"/>
      <c r="B781" s="1124"/>
      <c r="C781" s="1122"/>
      <c r="D781" s="1123"/>
      <c r="E781" s="185"/>
      <c r="F781" s="185"/>
    </row>
    <row r="782" spans="1:6">
      <c r="A782" s="1120"/>
      <c r="B782" s="1124"/>
      <c r="C782" s="1122"/>
      <c r="D782" s="1123"/>
      <c r="E782" s="185"/>
      <c r="F782" s="185"/>
    </row>
    <row r="783" spans="1:6">
      <c r="A783" s="1120"/>
      <c r="B783" s="1124"/>
      <c r="C783" s="1122"/>
      <c r="D783" s="1123"/>
      <c r="E783" s="185"/>
      <c r="F783" s="185"/>
    </row>
    <row r="784" spans="1:6">
      <c r="A784" s="1120"/>
      <c r="B784" s="1124"/>
      <c r="C784" s="1122"/>
      <c r="D784" s="1123"/>
      <c r="E784" s="185"/>
      <c r="F784" s="185"/>
    </row>
    <row r="785" spans="1:6">
      <c r="A785" s="1120"/>
      <c r="B785" s="1121"/>
      <c r="C785" s="1122"/>
      <c r="D785" s="1123"/>
      <c r="E785" s="185"/>
      <c r="F785" s="185"/>
    </row>
    <row r="786" spans="1:6">
      <c r="A786" s="1120"/>
      <c r="B786" s="1121"/>
      <c r="C786" s="1122"/>
      <c r="D786" s="1123"/>
      <c r="E786" s="185"/>
      <c r="F786" s="185"/>
    </row>
    <row r="787" spans="1:6">
      <c r="A787" s="981"/>
      <c r="B787" s="982"/>
      <c r="C787" s="983"/>
      <c r="D787" s="185"/>
      <c r="E787" s="185"/>
      <c r="F787" s="185"/>
    </row>
  </sheetData>
  <sortState xmlns:xlrd2="http://schemas.microsoft.com/office/spreadsheetml/2017/richdata2" ref="A4:D158">
    <sortCondition ref="C7"/>
  </sortState>
  <mergeCells count="2">
    <mergeCell ref="A1:B1"/>
    <mergeCell ref="A2:B2"/>
  </mergeCells>
  <pageMargins left="0.70866141732283472" right="0.35433070866141736" top="0.39370078740157483" bottom="0.23622047244094491"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E155"/>
  <sheetViews>
    <sheetView showGridLines="0" zoomScaleNormal="100" workbookViewId="0">
      <pane xSplit="3" ySplit="2" topLeftCell="D3" activePane="bottomRight" state="frozen"/>
      <selection activeCell="C2312" sqref="C2312"/>
      <selection pane="topRight" activeCell="C2312" sqref="C2312"/>
      <selection pane="bottomLeft" activeCell="C2312" sqref="C2312"/>
      <selection pane="bottomRight" activeCell="B12" sqref="B12"/>
    </sheetView>
  </sheetViews>
  <sheetFormatPr defaultColWidth="0" defaultRowHeight="16.5"/>
  <cols>
    <col min="1" max="1" width="9.6640625" style="37" bestFit="1" customWidth="1"/>
    <col min="2" max="2" width="79" style="30" customWidth="1"/>
    <col min="3" max="3" width="7.33203125" style="37" bestFit="1" customWidth="1"/>
    <col min="4" max="16384" width="8.88671875" style="30" hidden="1"/>
  </cols>
  <sheetData>
    <row r="1" spans="1:3" ht="25.5">
      <c r="A1" s="1316" t="s">
        <v>154</v>
      </c>
      <c r="B1" s="1316"/>
      <c r="C1" s="1316"/>
    </row>
    <row r="2" spans="1:3">
      <c r="A2" s="843" t="s">
        <v>22</v>
      </c>
      <c r="B2" s="843" t="s">
        <v>153</v>
      </c>
      <c r="C2" s="843" t="s">
        <v>20</v>
      </c>
    </row>
    <row r="3" spans="1:3">
      <c r="A3" s="846" t="s">
        <v>362</v>
      </c>
      <c r="B3" s="847" t="s">
        <v>4413</v>
      </c>
      <c r="C3" s="846" t="s">
        <v>5618</v>
      </c>
    </row>
    <row r="4" spans="1:3">
      <c r="A4" s="846" t="s">
        <v>363</v>
      </c>
      <c r="B4" s="847" t="s">
        <v>4414</v>
      </c>
      <c r="C4" s="846" t="s">
        <v>5618</v>
      </c>
    </row>
    <row r="5" spans="1:3">
      <c r="A5" s="846" t="s">
        <v>364</v>
      </c>
      <c r="B5" s="847" t="s">
        <v>4415</v>
      </c>
      <c r="C5" s="846" t="s">
        <v>5618</v>
      </c>
    </row>
    <row r="6" spans="1:3">
      <c r="A6" s="846" t="s">
        <v>365</v>
      </c>
      <c r="B6" s="847" t="s">
        <v>4416</v>
      </c>
      <c r="C6" s="846" t="s">
        <v>5618</v>
      </c>
    </row>
    <row r="7" spans="1:3">
      <c r="A7" s="846" t="s">
        <v>366</v>
      </c>
      <c r="B7" s="847" t="s">
        <v>4417</v>
      </c>
      <c r="C7" s="846" t="s">
        <v>5618</v>
      </c>
    </row>
    <row r="8" spans="1:3">
      <c r="A8" s="846" t="s">
        <v>367</v>
      </c>
      <c r="B8" s="847" t="s">
        <v>4418</v>
      </c>
      <c r="C8" s="846" t="s">
        <v>5618</v>
      </c>
    </row>
    <row r="9" spans="1:3" s="93" customFormat="1">
      <c r="A9" s="846" t="s">
        <v>368</v>
      </c>
      <c r="B9" s="847" t="s">
        <v>3848</v>
      </c>
      <c r="C9" s="846" t="s">
        <v>5618</v>
      </c>
    </row>
    <row r="10" spans="1:3" s="93" customFormat="1">
      <c r="A10" s="846" t="s">
        <v>369</v>
      </c>
      <c r="B10" s="847" t="s">
        <v>1062</v>
      </c>
      <c r="C10" s="846" t="s">
        <v>5618</v>
      </c>
    </row>
    <row r="11" spans="1:3" s="93" customFormat="1">
      <c r="A11" s="846" t="s">
        <v>370</v>
      </c>
      <c r="B11" s="847" t="s">
        <v>1063</v>
      </c>
      <c r="C11" s="846" t="s">
        <v>5618</v>
      </c>
    </row>
    <row r="12" spans="1:3" s="93" customFormat="1">
      <c r="A12" s="846" t="s">
        <v>371</v>
      </c>
      <c r="B12" s="847" t="s">
        <v>1064</v>
      </c>
      <c r="C12" s="846" t="s">
        <v>5618</v>
      </c>
    </row>
    <row r="13" spans="1:3" s="93" customFormat="1">
      <c r="A13" s="846" t="s">
        <v>372</v>
      </c>
      <c r="B13" s="847" t="s">
        <v>1065</v>
      </c>
      <c r="C13" s="846" t="s">
        <v>5618</v>
      </c>
    </row>
    <row r="14" spans="1:3" s="93" customFormat="1">
      <c r="A14" s="846" t="s">
        <v>373</v>
      </c>
      <c r="B14" s="847" t="s">
        <v>1066</v>
      </c>
      <c r="C14" s="846" t="s">
        <v>5618</v>
      </c>
    </row>
    <row r="15" spans="1:3" s="93" customFormat="1">
      <c r="A15" s="846" t="s">
        <v>374</v>
      </c>
      <c r="B15" s="847" t="s">
        <v>1067</v>
      </c>
      <c r="C15" s="846" t="s">
        <v>5618</v>
      </c>
    </row>
    <row r="16" spans="1:3" s="93" customFormat="1">
      <c r="A16" s="846" t="s">
        <v>375</v>
      </c>
      <c r="B16" s="847" t="s">
        <v>1068</v>
      </c>
      <c r="C16" s="846" t="s">
        <v>5618</v>
      </c>
    </row>
    <row r="17" spans="1:3" s="93" customFormat="1">
      <c r="A17" s="846" t="s">
        <v>376</v>
      </c>
      <c r="B17" s="847" t="s">
        <v>1069</v>
      </c>
      <c r="C17" s="846" t="s">
        <v>5618</v>
      </c>
    </row>
    <row r="18" spans="1:3">
      <c r="A18" s="846" t="s">
        <v>377</v>
      </c>
      <c r="B18" s="847" t="s">
        <v>1070</v>
      </c>
      <c r="C18" s="846" t="s">
        <v>5618</v>
      </c>
    </row>
    <row r="19" spans="1:3" s="93" customFormat="1">
      <c r="A19" s="846" t="s">
        <v>378</v>
      </c>
      <c r="B19" s="847" t="s">
        <v>1071</v>
      </c>
      <c r="C19" s="846" t="s">
        <v>5618</v>
      </c>
    </row>
    <row r="20" spans="1:3" s="93" customFormat="1">
      <c r="A20" s="846" t="s">
        <v>379</v>
      </c>
      <c r="B20" s="847" t="s">
        <v>1072</v>
      </c>
      <c r="C20" s="846" t="s">
        <v>5618</v>
      </c>
    </row>
    <row r="21" spans="1:3" s="93" customFormat="1">
      <c r="A21" s="846" t="s">
        <v>380</v>
      </c>
      <c r="B21" s="847" t="s">
        <v>391</v>
      </c>
      <c r="C21" s="846" t="s">
        <v>5618</v>
      </c>
    </row>
    <row r="22" spans="1:3">
      <c r="A22" s="846" t="s">
        <v>381</v>
      </c>
      <c r="B22" s="847" t="s">
        <v>4419</v>
      </c>
      <c r="C22" s="846" t="s">
        <v>5618</v>
      </c>
    </row>
    <row r="23" spans="1:3">
      <c r="A23" s="846" t="s">
        <v>382</v>
      </c>
      <c r="B23" s="847" t="s">
        <v>4420</v>
      </c>
      <c r="C23" s="846" t="s">
        <v>5619</v>
      </c>
    </row>
    <row r="24" spans="1:3">
      <c r="A24" s="846" t="s">
        <v>383</v>
      </c>
      <c r="B24" s="847" t="s">
        <v>4421</v>
      </c>
      <c r="C24" s="846" t="s">
        <v>5619</v>
      </c>
    </row>
    <row r="25" spans="1:3">
      <c r="A25" s="846" t="s">
        <v>384</v>
      </c>
      <c r="B25" s="847" t="s">
        <v>4422</v>
      </c>
      <c r="C25" s="846" t="s">
        <v>5619</v>
      </c>
    </row>
    <row r="26" spans="1:3">
      <c r="A26" s="846" t="s">
        <v>385</v>
      </c>
      <c r="B26" s="847" t="s">
        <v>4423</v>
      </c>
      <c r="C26" s="846" t="s">
        <v>5619</v>
      </c>
    </row>
    <row r="27" spans="1:3">
      <c r="A27" s="846" t="s">
        <v>386</v>
      </c>
      <c r="B27" s="847" t="s">
        <v>1073</v>
      </c>
      <c r="C27" s="846" t="s">
        <v>5619</v>
      </c>
    </row>
    <row r="28" spans="1:3">
      <c r="A28" s="846" t="s">
        <v>387</v>
      </c>
      <c r="B28" s="847" t="s">
        <v>145</v>
      </c>
      <c r="C28" s="846" t="s">
        <v>5619</v>
      </c>
    </row>
    <row r="29" spans="1:3">
      <c r="A29" s="846" t="s">
        <v>388</v>
      </c>
      <c r="B29" s="847" t="s">
        <v>208</v>
      </c>
      <c r="C29" s="846" t="s">
        <v>5619</v>
      </c>
    </row>
    <row r="30" spans="1:3">
      <c r="A30" s="846" t="s">
        <v>389</v>
      </c>
      <c r="B30" s="847" t="s">
        <v>4424</v>
      </c>
      <c r="C30" s="846" t="s">
        <v>5619</v>
      </c>
    </row>
    <row r="31" spans="1:3">
      <c r="A31" s="846" t="s">
        <v>398</v>
      </c>
      <c r="B31" s="847" t="s">
        <v>1074</v>
      </c>
      <c r="C31" s="846" t="s">
        <v>5619</v>
      </c>
    </row>
    <row r="32" spans="1:3">
      <c r="A32" s="846" t="s">
        <v>399</v>
      </c>
      <c r="B32" s="847" t="s">
        <v>1075</v>
      </c>
      <c r="C32" s="846" t="s">
        <v>5619</v>
      </c>
    </row>
    <row r="33" spans="1:3">
      <c r="A33" s="846" t="s">
        <v>400</v>
      </c>
      <c r="B33" s="847" t="s">
        <v>4425</v>
      </c>
      <c r="C33" s="846" t="s">
        <v>5619</v>
      </c>
    </row>
    <row r="34" spans="1:3">
      <c r="A34" s="846" t="s">
        <v>401</v>
      </c>
      <c r="B34" s="847" t="s">
        <v>4440</v>
      </c>
      <c r="C34" s="846" t="s">
        <v>5624</v>
      </c>
    </row>
    <row r="35" spans="1:3">
      <c r="A35" s="846" t="s">
        <v>402</v>
      </c>
      <c r="B35" s="847" t="s">
        <v>5625</v>
      </c>
      <c r="C35" s="846" t="s">
        <v>5624</v>
      </c>
    </row>
    <row r="36" spans="1:3">
      <c r="A36" s="846" t="s">
        <v>404</v>
      </c>
      <c r="B36" s="847" t="s">
        <v>4426</v>
      </c>
      <c r="C36" s="846" t="s">
        <v>5619</v>
      </c>
    </row>
    <row r="37" spans="1:3">
      <c r="A37" s="846" t="s">
        <v>405</v>
      </c>
      <c r="B37" s="847" t="s">
        <v>4427</v>
      </c>
      <c r="C37" s="846" t="s">
        <v>5619</v>
      </c>
    </row>
    <row r="50" spans="5:5">
      <c r="E50" s="30" t="s">
        <v>4428</v>
      </c>
    </row>
    <row r="51" spans="5:5">
      <c r="E51" s="30" t="s">
        <v>4429</v>
      </c>
    </row>
    <row r="52" spans="5:5">
      <c r="E52" s="30" t="s">
        <v>4430</v>
      </c>
    </row>
    <row r="53" spans="5:5" hidden="1"/>
    <row r="54" spans="5:5" hidden="1"/>
    <row r="55" spans="5:5" hidden="1"/>
    <row r="56" spans="5:5" hidden="1"/>
    <row r="57" spans="5:5" hidden="1"/>
    <row r="58" spans="5:5" hidden="1"/>
    <row r="59" spans="5:5" hidden="1"/>
    <row r="153" spans="5:5">
      <c r="E153" s="30" t="s">
        <v>4428</v>
      </c>
    </row>
    <row r="154" spans="5:5">
      <c r="E154" s="30" t="s">
        <v>4429</v>
      </c>
    </row>
    <row r="155" spans="5:5">
      <c r="E155" s="30" t="s">
        <v>4430</v>
      </c>
    </row>
  </sheetData>
  <mergeCells count="1">
    <mergeCell ref="A1:C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2"/>
  <dimension ref="E1:V805"/>
  <sheetViews>
    <sheetView showGridLines="0" zoomScaleNormal="100" workbookViewId="0">
      <pane xSplit="13" ySplit="8" topLeftCell="N9" activePane="bottomRight" state="frozen"/>
      <selection pane="topRight" activeCell="N1" sqref="N1"/>
      <selection pane="bottomLeft" activeCell="A9" sqref="A9"/>
      <selection pane="bottomRight" activeCell="J23" sqref="J23"/>
    </sheetView>
  </sheetViews>
  <sheetFormatPr defaultRowHeight="16.5"/>
  <cols>
    <col min="1" max="1" width="9.21875" customWidth="1"/>
    <col min="2" max="2" width="8.44140625" customWidth="1"/>
    <col min="5" max="5" width="7.109375" style="1305" bestFit="1" customWidth="1"/>
    <col min="6" max="6" width="29.44140625" style="994" customWidth="1"/>
    <col min="7" max="7" width="20.44140625" style="995" customWidth="1"/>
    <col min="8" max="8" width="10.6640625" style="995" customWidth="1"/>
    <col min="9" max="9" width="10.77734375" style="1031" bestFit="1" customWidth="1"/>
  </cols>
  <sheetData>
    <row r="1" spans="5:22" ht="20.25">
      <c r="E1" s="1449" t="s">
        <v>209</v>
      </c>
      <c r="F1" s="1449"/>
      <c r="G1" s="1449"/>
      <c r="H1" s="1449"/>
      <c r="I1" s="1449"/>
    </row>
    <row r="2" spans="5:22" ht="18.75">
      <c r="E2" s="1450" t="s">
        <v>197</v>
      </c>
      <c r="F2" s="1450"/>
      <c r="G2" s="1450"/>
      <c r="H2" s="1450"/>
      <c r="I2" s="1450"/>
    </row>
    <row r="3" spans="5:22" ht="36.6" customHeight="1">
      <c r="E3" s="1451" t="str">
        <f>IF(NDtieude1&lt;&gt;"",Tieude1&amp;": "&amp;NDtieude1,"")</f>
        <v>Công trình: Gia cố nâng cấp kênh Bà Xoài từ K0+300÷K0+600 - Hệ thống thủy lợi Nha Trinh, huyện Ninh Hải, tỉnh Ninh Thuận</v>
      </c>
      <c r="F3" s="1451"/>
      <c r="G3" s="1451"/>
      <c r="H3" s="1451"/>
      <c r="I3" s="1451"/>
      <c r="U3">
        <f>ROW()</f>
        <v>3</v>
      </c>
    </row>
    <row r="4" spans="5:22" ht="20.100000000000001" hidden="1" customHeight="1">
      <c r="E4" s="1451" t="str">
        <f>IF(NDtieude2&lt;&gt;"",Tieude2&amp;": "&amp;NDtieude2,"")</f>
        <v/>
      </c>
      <c r="F4" s="1451"/>
      <c r="G4" s="1451"/>
      <c r="H4" s="1451"/>
      <c r="I4" s="1451"/>
      <c r="U4">
        <f>ROW()</f>
        <v>4</v>
      </c>
    </row>
    <row r="5" spans="5:22" ht="20.100000000000001" customHeight="1">
      <c r="E5" s="1451" t="str">
        <f>IF(NDtieude3&lt;&gt;"",Tieude3&amp;": "&amp;NDtieude3,"")</f>
        <v>Hạng mục: Kênh và Công trình trên kênh</v>
      </c>
      <c r="F5" s="1451"/>
      <c r="G5" s="1451"/>
      <c r="H5" s="1451"/>
      <c r="I5" s="1451"/>
      <c r="U5">
        <f>ROW()</f>
        <v>5</v>
      </c>
    </row>
    <row r="6" spans="5:22" ht="20.100000000000001" customHeight="1">
      <c r="E6" s="1448" t="str">
        <f>IF(DDXD&lt;&gt;"","Địa điểm xây dựng : "&amp;DDXD,"")</f>
        <v>Địa điểm xây dựng : Huyện Ninh Hải - Tỉnh Ninh Thuận</v>
      </c>
      <c r="F6" s="1448"/>
      <c r="G6" s="1448"/>
      <c r="H6" s="1448"/>
      <c r="I6" s="1448"/>
      <c r="U6">
        <f>IF(E6&lt;&gt;"",ROW(),"")</f>
        <v>6</v>
      </c>
    </row>
    <row r="7" spans="5:22" ht="8.25" customHeight="1">
      <c r="E7" s="1303"/>
      <c r="F7" s="1021"/>
      <c r="G7" s="638"/>
      <c r="H7" s="638"/>
      <c r="I7" s="1026"/>
    </row>
    <row r="8" spans="5:22" ht="28.5">
      <c r="E8" s="634" t="s">
        <v>64</v>
      </c>
      <c r="F8" s="635" t="s">
        <v>23</v>
      </c>
      <c r="G8" s="635" t="s">
        <v>30</v>
      </c>
      <c r="H8" s="635" t="s">
        <v>408</v>
      </c>
      <c r="I8" s="636" t="s">
        <v>160</v>
      </c>
    </row>
    <row r="9" spans="5:22">
      <c r="E9" s="1302" t="s">
        <v>5465</v>
      </c>
      <c r="F9" s="1022" t="s">
        <v>5802</v>
      </c>
      <c r="G9" s="1016"/>
      <c r="H9" s="1016"/>
      <c r="I9" s="1027"/>
      <c r="J9" s="969"/>
      <c r="K9" s="969"/>
      <c r="R9" s="1041"/>
      <c r="S9" s="1041"/>
      <c r="T9" s="1041"/>
      <c r="U9" s="1041"/>
      <c r="V9" s="1041"/>
    </row>
    <row r="10" spans="5:22" ht="49.5">
      <c r="E10" s="1017">
        <v>1</v>
      </c>
      <c r="F10" s="1023" t="s">
        <v>5954</v>
      </c>
      <c r="G10" s="1018"/>
      <c r="H10" s="1018"/>
      <c r="I10" s="1028"/>
      <c r="J10" s="969"/>
      <c r="K10" s="970"/>
      <c r="R10" s="1042"/>
      <c r="S10" s="1042"/>
      <c r="T10" s="1042"/>
      <c r="U10" s="1042"/>
      <c r="V10" s="1042"/>
    </row>
    <row r="11" spans="5:22">
      <c r="E11" s="1306"/>
      <c r="F11" s="1307" t="s">
        <v>6220</v>
      </c>
      <c r="G11" s="1308"/>
      <c r="H11" s="1308" t="s">
        <v>5803</v>
      </c>
      <c r="I11" s="1309">
        <v>43958</v>
      </c>
      <c r="J11" s="969"/>
      <c r="K11" s="969"/>
      <c r="R11" s="1042"/>
      <c r="S11" s="1042"/>
      <c r="T11" s="1042"/>
      <c r="U11" s="1042"/>
      <c r="V11" s="1042"/>
    </row>
    <row r="12" spans="5:22" ht="33">
      <c r="E12" s="1304"/>
      <c r="F12" s="1024" t="s">
        <v>5466</v>
      </c>
      <c r="G12" s="1019"/>
      <c r="H12" s="1019" t="s">
        <v>6221</v>
      </c>
      <c r="I12" s="1029">
        <v>43959</v>
      </c>
      <c r="J12" s="969"/>
      <c r="K12" s="969"/>
      <c r="R12" s="1042"/>
      <c r="S12" s="1042"/>
      <c r="T12" s="1042"/>
      <c r="U12" s="1042"/>
      <c r="V12" s="1042"/>
    </row>
    <row r="13" spans="5:22" ht="33">
      <c r="E13" s="1302" t="s">
        <v>5467</v>
      </c>
      <c r="F13" s="1022" t="s">
        <v>197</v>
      </c>
      <c r="G13" s="1016"/>
      <c r="H13" s="1016"/>
      <c r="I13" s="1027"/>
      <c r="J13" s="969"/>
      <c r="K13" s="969"/>
      <c r="R13" s="1042"/>
      <c r="S13" s="1042"/>
      <c r="T13" s="1042"/>
      <c r="U13" s="1042"/>
      <c r="V13" s="1042"/>
    </row>
    <row r="14" spans="5:22" ht="33">
      <c r="E14" s="1017">
        <v>1</v>
      </c>
      <c r="F14" s="1023" t="s">
        <v>5770</v>
      </c>
      <c r="G14" s="1018" t="s">
        <v>5932</v>
      </c>
      <c r="H14" s="1018"/>
      <c r="I14" s="1028"/>
      <c r="J14" s="969"/>
      <c r="K14" s="970"/>
      <c r="R14" s="1042"/>
      <c r="S14" s="1042"/>
      <c r="T14" s="1042"/>
      <c r="U14" s="1042"/>
      <c r="V14" s="1042"/>
    </row>
    <row r="15" spans="5:22">
      <c r="E15" s="1306"/>
      <c r="F15" s="1307" t="s">
        <v>6220</v>
      </c>
      <c r="G15" s="1308"/>
      <c r="H15" s="1308" t="s">
        <v>5468</v>
      </c>
      <c r="I15" s="1309">
        <v>43960</v>
      </c>
      <c r="J15" s="969"/>
      <c r="K15" s="970"/>
      <c r="R15" s="1042"/>
      <c r="S15" s="1042"/>
      <c r="T15" s="1042"/>
      <c r="U15" s="1042"/>
      <c r="V15" s="1042"/>
    </row>
    <row r="16" spans="5:22" ht="33">
      <c r="E16" s="1306"/>
      <c r="F16" s="1307" t="s">
        <v>5466</v>
      </c>
      <c r="G16" s="1308"/>
      <c r="H16" s="1308" t="s">
        <v>6222</v>
      </c>
      <c r="I16" s="1309">
        <v>43961</v>
      </c>
      <c r="J16" s="969"/>
      <c r="K16" s="969"/>
      <c r="R16" s="1042"/>
      <c r="S16" s="1042"/>
      <c r="T16" s="1042"/>
      <c r="U16" s="1042"/>
      <c r="V16" s="1042"/>
    </row>
    <row r="17" spans="5:22" ht="33">
      <c r="E17" s="1304"/>
      <c r="F17" s="1024" t="s">
        <v>5973</v>
      </c>
      <c r="G17" s="1019" t="s">
        <v>5932</v>
      </c>
      <c r="H17" s="1019"/>
      <c r="I17" s="1029"/>
      <c r="J17" s="969"/>
      <c r="K17" s="969"/>
      <c r="R17" s="1042"/>
      <c r="S17" s="1042"/>
      <c r="T17" s="1042"/>
      <c r="U17" s="1042"/>
      <c r="V17" s="1042"/>
    </row>
    <row r="18" spans="5:22" ht="33">
      <c r="E18" s="1017">
        <v>2</v>
      </c>
      <c r="F18" s="1023" t="s">
        <v>5952</v>
      </c>
      <c r="G18" s="1018" t="s">
        <v>5932</v>
      </c>
      <c r="H18" s="1018"/>
      <c r="I18" s="1028"/>
      <c r="J18" s="969"/>
      <c r="K18" s="969"/>
      <c r="R18" s="1042"/>
      <c r="S18" s="1042"/>
      <c r="T18" s="1042"/>
      <c r="U18" s="1042"/>
      <c r="V18" s="1042"/>
    </row>
    <row r="19" spans="5:22">
      <c r="E19" s="1306"/>
      <c r="F19" s="1307" t="s">
        <v>6220</v>
      </c>
      <c r="G19" s="1308"/>
      <c r="H19" s="1308" t="s">
        <v>5471</v>
      </c>
      <c r="I19" s="1309">
        <v>43968</v>
      </c>
      <c r="J19" s="969"/>
      <c r="K19" s="970"/>
      <c r="R19" s="1042"/>
      <c r="S19" s="1042"/>
      <c r="T19" s="1042"/>
      <c r="U19" s="1042"/>
      <c r="V19" s="1042"/>
    </row>
    <row r="20" spans="5:22" ht="33">
      <c r="E20" s="1306"/>
      <c r="F20" s="1307" t="s">
        <v>5466</v>
      </c>
      <c r="G20" s="1308"/>
      <c r="H20" s="1308" t="s">
        <v>6223</v>
      </c>
      <c r="I20" s="1309">
        <v>43969</v>
      </c>
      <c r="J20" s="969"/>
      <c r="K20" s="969"/>
      <c r="R20" s="1042"/>
      <c r="S20" s="1042"/>
      <c r="T20" s="1042"/>
      <c r="U20" s="1042"/>
      <c r="V20" s="1042"/>
    </row>
    <row r="21" spans="5:22" ht="33">
      <c r="E21" s="1306"/>
      <c r="F21" s="1307" t="s">
        <v>5974</v>
      </c>
      <c r="G21" s="1308" t="s">
        <v>5932</v>
      </c>
      <c r="H21" s="1308"/>
      <c r="I21" s="1309"/>
      <c r="J21" s="969"/>
      <c r="K21" s="969"/>
      <c r="R21" s="1042"/>
      <c r="S21" s="1042"/>
      <c r="T21" s="1042"/>
      <c r="U21" s="1042"/>
      <c r="V21" s="1042"/>
    </row>
    <row r="22" spans="5:22" ht="33">
      <c r="E22" s="1304"/>
      <c r="F22" s="1024" t="s">
        <v>5975</v>
      </c>
      <c r="G22" s="1019" t="s">
        <v>5932</v>
      </c>
      <c r="H22" s="1019"/>
      <c r="I22" s="1029"/>
      <c r="J22" s="969"/>
      <c r="K22" s="969"/>
      <c r="R22" s="1042"/>
      <c r="S22" s="1042"/>
      <c r="T22" s="1042"/>
      <c r="U22" s="1042"/>
      <c r="V22" s="1042"/>
    </row>
    <row r="23" spans="5:22" ht="33">
      <c r="E23" s="1017">
        <v>3</v>
      </c>
      <c r="F23" s="1023" t="s">
        <v>5772</v>
      </c>
      <c r="G23" s="1018" t="s">
        <v>5932</v>
      </c>
      <c r="H23" s="1018"/>
      <c r="I23" s="1028"/>
      <c r="J23" s="969"/>
      <c r="K23" s="969"/>
      <c r="R23" s="1042"/>
      <c r="S23" s="1042"/>
      <c r="T23" s="1042"/>
      <c r="U23" s="1042"/>
      <c r="V23" s="1042"/>
    </row>
    <row r="24" spans="5:22">
      <c r="E24" s="1306"/>
      <c r="F24" s="1307" t="s">
        <v>6220</v>
      </c>
      <c r="G24" s="1308"/>
      <c r="H24" s="1308" t="s">
        <v>5478</v>
      </c>
      <c r="I24" s="1309">
        <v>43969</v>
      </c>
      <c r="J24" s="969"/>
      <c r="K24" s="970"/>
      <c r="R24" s="1042"/>
      <c r="S24" s="1042"/>
      <c r="T24" s="1042"/>
      <c r="U24" s="1042"/>
      <c r="V24" s="1042"/>
    </row>
    <row r="25" spans="5:22" ht="33">
      <c r="E25" s="1306"/>
      <c r="F25" s="1307" t="s">
        <v>5466</v>
      </c>
      <c r="G25" s="1308"/>
      <c r="H25" s="1308" t="s">
        <v>6224</v>
      </c>
      <c r="I25" s="1309">
        <v>43970</v>
      </c>
      <c r="J25" s="969"/>
      <c r="K25" s="969"/>
      <c r="R25" s="1042"/>
      <c r="S25" s="1042"/>
      <c r="T25" s="1042"/>
      <c r="U25" s="1042"/>
      <c r="V25" s="1042"/>
    </row>
    <row r="26" spans="5:22" ht="33">
      <c r="E26" s="1304"/>
      <c r="F26" s="1024" t="s">
        <v>5804</v>
      </c>
      <c r="G26" s="1019" t="s">
        <v>5932</v>
      </c>
      <c r="H26" s="1019"/>
      <c r="I26" s="1029"/>
      <c r="J26" s="969"/>
      <c r="K26" s="969"/>
      <c r="R26" s="1042"/>
      <c r="S26" s="1042"/>
      <c r="T26" s="1042"/>
      <c r="U26" s="1042"/>
      <c r="V26" s="1042"/>
    </row>
    <row r="27" spans="5:22" ht="33">
      <c r="E27" s="1017">
        <v>4</v>
      </c>
      <c r="F27" s="1023" t="s">
        <v>5775</v>
      </c>
      <c r="G27" s="1018" t="s">
        <v>5932</v>
      </c>
      <c r="H27" s="1018"/>
      <c r="I27" s="1028"/>
      <c r="J27" s="969"/>
      <c r="K27" s="969"/>
      <c r="R27" s="1042"/>
      <c r="S27" s="1042"/>
      <c r="T27" s="1042"/>
      <c r="U27" s="1042"/>
      <c r="V27" s="1042"/>
    </row>
    <row r="28" spans="5:22">
      <c r="E28" s="1306"/>
      <c r="F28" s="1307" t="s">
        <v>6220</v>
      </c>
      <c r="G28" s="1308"/>
      <c r="H28" s="1308" t="s">
        <v>5473</v>
      </c>
      <c r="I28" s="1309">
        <v>43970</v>
      </c>
      <c r="J28" s="969"/>
      <c r="K28" s="969"/>
      <c r="R28" s="1042"/>
      <c r="S28" s="1042"/>
      <c r="T28" s="1042"/>
      <c r="U28" s="1042"/>
      <c r="V28" s="1042"/>
    </row>
    <row r="29" spans="5:22" ht="33">
      <c r="E29" s="1306"/>
      <c r="F29" s="1307" t="s">
        <v>5466</v>
      </c>
      <c r="G29" s="1308"/>
      <c r="H29" s="1308" t="s">
        <v>6225</v>
      </c>
      <c r="I29" s="1309">
        <v>43971</v>
      </c>
      <c r="J29" s="969"/>
      <c r="K29" s="969"/>
      <c r="R29" s="1042"/>
      <c r="S29" s="1042"/>
      <c r="T29" s="1042"/>
      <c r="U29" s="1042"/>
      <c r="V29" s="1042"/>
    </row>
    <row r="30" spans="5:22" ht="33">
      <c r="E30" s="1304"/>
      <c r="F30" s="1024" t="s">
        <v>5805</v>
      </c>
      <c r="G30" s="1019" t="s">
        <v>5932</v>
      </c>
      <c r="H30" s="1019"/>
      <c r="I30" s="1029"/>
      <c r="J30" s="969"/>
      <c r="K30" s="970"/>
      <c r="R30" s="1042"/>
      <c r="S30" s="1042"/>
      <c r="T30" s="1042"/>
      <c r="U30" s="1042"/>
      <c r="V30" s="1042"/>
    </row>
    <row r="31" spans="5:22" ht="33">
      <c r="E31" s="1017">
        <v>5</v>
      </c>
      <c r="F31" s="1023" t="s">
        <v>5953</v>
      </c>
      <c r="G31" s="1018" t="s">
        <v>5932</v>
      </c>
      <c r="H31" s="1018"/>
      <c r="I31" s="1028"/>
      <c r="J31" s="969"/>
      <c r="K31" s="969"/>
      <c r="R31" s="1042"/>
      <c r="S31" s="1042"/>
      <c r="T31" s="1042"/>
      <c r="U31" s="1042"/>
      <c r="V31" s="1042"/>
    </row>
    <row r="32" spans="5:22">
      <c r="E32" s="1306"/>
      <c r="F32" s="1307" t="s">
        <v>6220</v>
      </c>
      <c r="G32" s="1308"/>
      <c r="H32" s="1308" t="s">
        <v>5474</v>
      </c>
      <c r="I32" s="1309">
        <v>43978</v>
      </c>
      <c r="J32" s="969"/>
      <c r="K32" s="969"/>
      <c r="R32" s="1042"/>
      <c r="S32" s="1042"/>
      <c r="T32" s="1042"/>
      <c r="U32" s="1042"/>
      <c r="V32" s="1042"/>
    </row>
    <row r="33" spans="5:22" ht="33">
      <c r="E33" s="1306"/>
      <c r="F33" s="1307" t="s">
        <v>5466</v>
      </c>
      <c r="G33" s="1308"/>
      <c r="H33" s="1308" t="s">
        <v>6226</v>
      </c>
      <c r="I33" s="1309">
        <v>43979</v>
      </c>
      <c r="J33" s="969"/>
      <c r="K33" s="969"/>
      <c r="R33" s="1042"/>
      <c r="S33" s="1042"/>
      <c r="T33" s="1042"/>
      <c r="U33" s="1042"/>
      <c r="V33" s="1042"/>
    </row>
    <row r="34" spans="5:22" ht="33">
      <c r="E34" s="1306"/>
      <c r="F34" s="1307" t="s">
        <v>5806</v>
      </c>
      <c r="G34" s="1308" t="s">
        <v>5932</v>
      </c>
      <c r="H34" s="1308"/>
      <c r="I34" s="1309"/>
      <c r="J34" s="969"/>
      <c r="K34" s="969"/>
      <c r="R34" s="1042"/>
      <c r="S34" s="1042"/>
      <c r="T34" s="1042"/>
      <c r="U34" s="1042"/>
      <c r="V34" s="1042"/>
    </row>
    <row r="35" spans="5:22" ht="33">
      <c r="E35" s="1306"/>
      <c r="F35" s="1307" t="s">
        <v>5878</v>
      </c>
      <c r="G35" s="1308" t="s">
        <v>5932</v>
      </c>
      <c r="H35" s="1308"/>
      <c r="I35" s="1309"/>
      <c r="J35" s="969"/>
      <c r="K35" s="970"/>
      <c r="R35" s="1042"/>
      <c r="S35" s="1042"/>
      <c r="T35" s="1042"/>
      <c r="U35" s="1042"/>
      <c r="V35" s="1042"/>
    </row>
    <row r="36" spans="5:22" ht="33">
      <c r="E36" s="1306"/>
      <c r="F36" s="1307" t="s">
        <v>5976</v>
      </c>
      <c r="G36" s="1308" t="s">
        <v>5932</v>
      </c>
      <c r="H36" s="1308"/>
      <c r="I36" s="1309"/>
      <c r="J36" s="969"/>
      <c r="K36" s="969"/>
      <c r="R36" s="1042"/>
      <c r="S36" s="1042"/>
      <c r="T36" s="1042"/>
      <c r="U36" s="1042"/>
      <c r="V36" s="1042"/>
    </row>
    <row r="37" spans="5:22" ht="33">
      <c r="E37" s="1306"/>
      <c r="F37" s="1307" t="s">
        <v>5977</v>
      </c>
      <c r="G37" s="1308" t="s">
        <v>5932</v>
      </c>
      <c r="H37" s="1308"/>
      <c r="I37" s="1309"/>
      <c r="J37" s="969"/>
      <c r="K37" s="969"/>
      <c r="R37" s="1042"/>
      <c r="S37" s="1042"/>
      <c r="T37" s="1042"/>
      <c r="U37" s="1042"/>
      <c r="V37" s="1042"/>
    </row>
    <row r="38" spans="5:22" ht="33">
      <c r="E38" s="1306"/>
      <c r="F38" s="1307" t="s">
        <v>5807</v>
      </c>
      <c r="G38" s="1308" t="s">
        <v>5932</v>
      </c>
      <c r="H38" s="1308"/>
      <c r="I38" s="1309"/>
      <c r="J38" s="969"/>
      <c r="K38" s="969"/>
      <c r="R38" s="1042"/>
      <c r="S38" s="1042"/>
      <c r="T38" s="1042"/>
      <c r="U38" s="1042"/>
      <c r="V38" s="1042"/>
    </row>
    <row r="39" spans="5:22" ht="33">
      <c r="E39" s="1304"/>
      <c r="F39" s="1024" t="s">
        <v>5808</v>
      </c>
      <c r="G39" s="1019" t="s">
        <v>5932</v>
      </c>
      <c r="H39" s="1019"/>
      <c r="I39" s="1029"/>
      <c r="J39" s="969"/>
      <c r="K39" s="969"/>
      <c r="R39" s="1042"/>
      <c r="S39" s="1042"/>
      <c r="T39" s="1042"/>
      <c r="U39" s="1042"/>
      <c r="V39" s="1042"/>
    </row>
    <row r="40" spans="5:22" ht="33">
      <c r="E40" s="1017">
        <v>6</v>
      </c>
      <c r="F40" s="1023" t="s">
        <v>5943</v>
      </c>
      <c r="G40" s="1018" t="s">
        <v>5932</v>
      </c>
      <c r="H40" s="1018"/>
      <c r="I40" s="1028"/>
      <c r="J40" s="969"/>
      <c r="K40" s="969"/>
      <c r="R40" s="1042"/>
      <c r="S40" s="1042"/>
      <c r="T40" s="1042"/>
      <c r="U40" s="1042"/>
      <c r="V40" s="1042"/>
    </row>
    <row r="41" spans="5:22">
      <c r="E41" s="1306"/>
      <c r="F41" s="1307" t="s">
        <v>6220</v>
      </c>
      <c r="G41" s="1308"/>
      <c r="H41" s="1308" t="s">
        <v>5485</v>
      </c>
      <c r="I41" s="1309">
        <v>43983</v>
      </c>
      <c r="J41" s="969"/>
      <c r="K41" s="969"/>
      <c r="R41" s="1042"/>
      <c r="S41" s="1042"/>
      <c r="T41" s="1042"/>
      <c r="U41" s="1042"/>
      <c r="V41" s="1042"/>
    </row>
    <row r="42" spans="5:22" ht="33">
      <c r="E42" s="1306"/>
      <c r="F42" s="1307" t="s">
        <v>5466</v>
      </c>
      <c r="G42" s="1308"/>
      <c r="H42" s="1308" t="s">
        <v>6227</v>
      </c>
      <c r="I42" s="1309">
        <v>43984</v>
      </c>
      <c r="J42" s="969"/>
      <c r="K42" s="969"/>
      <c r="R42" s="1042"/>
      <c r="S42" s="1042"/>
      <c r="T42" s="1042"/>
      <c r="U42" s="1042"/>
      <c r="V42" s="1042"/>
    </row>
    <row r="43" spans="5:22" ht="49.5">
      <c r="E43" s="1306"/>
      <c r="F43" s="1307" t="s">
        <v>5978</v>
      </c>
      <c r="G43" s="1308" t="s">
        <v>5932</v>
      </c>
      <c r="H43" s="1308"/>
      <c r="I43" s="1309"/>
      <c r="J43" s="969"/>
      <c r="K43" s="969"/>
      <c r="R43" s="1042"/>
      <c r="S43" s="1042"/>
      <c r="T43" s="1042"/>
      <c r="U43" s="1042"/>
      <c r="V43" s="1042"/>
    </row>
    <row r="44" spans="5:22" ht="49.5">
      <c r="E44" s="1306"/>
      <c r="F44" s="1307" t="s">
        <v>5979</v>
      </c>
      <c r="G44" s="1308" t="s">
        <v>5932</v>
      </c>
      <c r="H44" s="1308"/>
      <c r="I44" s="1309"/>
      <c r="J44" s="969"/>
      <c r="K44" s="970"/>
      <c r="R44" s="1042"/>
      <c r="S44" s="1042"/>
      <c r="T44" s="1042"/>
      <c r="U44" s="1042"/>
      <c r="V44" s="1042"/>
    </row>
    <row r="45" spans="5:22" ht="49.5">
      <c r="E45" s="1306"/>
      <c r="F45" s="1307" t="s">
        <v>5980</v>
      </c>
      <c r="G45" s="1308" t="s">
        <v>5932</v>
      </c>
      <c r="H45" s="1308"/>
      <c r="I45" s="1309"/>
      <c r="J45" s="969"/>
      <c r="K45" s="969"/>
      <c r="R45" s="1042"/>
      <c r="S45" s="1042"/>
      <c r="T45" s="1042"/>
      <c r="U45" s="1042"/>
      <c r="V45" s="1042"/>
    </row>
    <row r="46" spans="5:22" ht="49.5">
      <c r="E46" s="1306"/>
      <c r="F46" s="1307" t="s">
        <v>5981</v>
      </c>
      <c r="G46" s="1308" t="s">
        <v>5932</v>
      </c>
      <c r="H46" s="1308"/>
      <c r="I46" s="1309"/>
      <c r="J46" s="969"/>
      <c r="K46" s="969"/>
      <c r="R46" s="1042"/>
      <c r="S46" s="1042"/>
      <c r="T46" s="1042"/>
      <c r="U46" s="1042"/>
      <c r="V46" s="1042"/>
    </row>
    <row r="47" spans="5:22" ht="49.5">
      <c r="E47" s="1306"/>
      <c r="F47" s="1307" t="s">
        <v>5982</v>
      </c>
      <c r="G47" s="1308" t="s">
        <v>5932</v>
      </c>
      <c r="H47" s="1308"/>
      <c r="I47" s="1309"/>
      <c r="J47" s="969"/>
      <c r="K47" s="969"/>
      <c r="R47" s="1042"/>
      <c r="S47" s="1042"/>
      <c r="T47" s="1042"/>
      <c r="U47" s="1042"/>
      <c r="V47" s="1042"/>
    </row>
    <row r="48" spans="5:22" ht="49.5">
      <c r="E48" s="1306"/>
      <c r="F48" s="1307" t="s">
        <v>5983</v>
      </c>
      <c r="G48" s="1308" t="s">
        <v>5932</v>
      </c>
      <c r="H48" s="1308"/>
      <c r="I48" s="1309"/>
      <c r="J48" s="969"/>
      <c r="K48" s="969"/>
      <c r="R48" s="1042"/>
      <c r="S48" s="1042"/>
      <c r="T48" s="1042"/>
      <c r="U48" s="1042"/>
      <c r="V48" s="1042"/>
    </row>
    <row r="49" spans="5:22" ht="49.5">
      <c r="E49" s="1306"/>
      <c r="F49" s="1307" t="s">
        <v>5984</v>
      </c>
      <c r="G49" s="1308" t="s">
        <v>5932</v>
      </c>
      <c r="H49" s="1308"/>
      <c r="I49" s="1309"/>
      <c r="J49" s="969"/>
      <c r="K49" s="970"/>
      <c r="R49" s="1042"/>
      <c r="S49" s="1042"/>
      <c r="T49" s="1042"/>
      <c r="U49" s="1042"/>
      <c r="V49" s="1042"/>
    </row>
    <row r="50" spans="5:22" ht="49.5">
      <c r="E50" s="1304"/>
      <c r="F50" s="1024" t="s">
        <v>5985</v>
      </c>
      <c r="G50" s="1019" t="s">
        <v>5932</v>
      </c>
      <c r="H50" s="1019"/>
      <c r="I50" s="1029"/>
      <c r="J50" s="969"/>
      <c r="K50" s="969"/>
      <c r="R50" s="1042"/>
      <c r="S50" s="1042"/>
      <c r="T50" s="1042"/>
      <c r="U50" s="1042"/>
      <c r="V50" s="1042"/>
    </row>
    <row r="51" spans="5:22" ht="33">
      <c r="E51" s="1017">
        <v>7</v>
      </c>
      <c r="F51" s="1023" t="s">
        <v>5770</v>
      </c>
      <c r="G51" s="1018" t="s">
        <v>5944</v>
      </c>
      <c r="H51" s="1018"/>
      <c r="I51" s="1028"/>
      <c r="J51" s="969"/>
      <c r="K51" s="969"/>
      <c r="R51" s="1042"/>
      <c r="S51" s="1042"/>
      <c r="T51" s="1042"/>
      <c r="U51" s="1042"/>
      <c r="V51" s="1042"/>
    </row>
    <row r="52" spans="5:22">
      <c r="E52" s="1306"/>
      <c r="F52" s="1307" t="s">
        <v>6220</v>
      </c>
      <c r="G52" s="1308"/>
      <c r="H52" s="1308" t="s">
        <v>5469</v>
      </c>
      <c r="I52" s="1309">
        <v>43962</v>
      </c>
      <c r="J52" s="969"/>
      <c r="K52" s="969"/>
      <c r="R52" s="1042"/>
      <c r="S52" s="1042"/>
      <c r="T52" s="1042"/>
      <c r="U52" s="1042"/>
      <c r="V52" s="1042"/>
    </row>
    <row r="53" spans="5:22" ht="33">
      <c r="E53" s="1306"/>
      <c r="F53" s="1307" t="s">
        <v>5466</v>
      </c>
      <c r="G53" s="1308"/>
      <c r="H53" s="1308" t="s">
        <v>6228</v>
      </c>
      <c r="I53" s="1309">
        <v>43963</v>
      </c>
      <c r="J53" s="969"/>
      <c r="K53" s="969"/>
      <c r="R53" s="1042"/>
      <c r="S53" s="1042"/>
      <c r="T53" s="1042"/>
      <c r="U53" s="1042"/>
      <c r="V53" s="1042"/>
    </row>
    <row r="54" spans="5:22" ht="33">
      <c r="E54" s="1304"/>
      <c r="F54" s="1024" t="s">
        <v>5973</v>
      </c>
      <c r="G54" s="1019" t="s">
        <v>5944</v>
      </c>
      <c r="H54" s="1019"/>
      <c r="I54" s="1029"/>
      <c r="J54" s="969"/>
      <c r="K54" s="969"/>
      <c r="R54" s="1042"/>
      <c r="S54" s="1042"/>
      <c r="T54" s="1042"/>
      <c r="U54" s="1042"/>
      <c r="V54" s="1042"/>
    </row>
    <row r="55" spans="5:22" ht="33">
      <c r="E55" s="1017">
        <v>8</v>
      </c>
      <c r="F55" s="1023" t="s">
        <v>5952</v>
      </c>
      <c r="G55" s="1018" t="s">
        <v>5944</v>
      </c>
      <c r="H55" s="1018"/>
      <c r="I55" s="1028"/>
      <c r="J55" s="969"/>
      <c r="K55" s="969"/>
      <c r="R55" s="1042"/>
      <c r="S55" s="1042"/>
      <c r="T55" s="1042"/>
      <c r="U55" s="1042"/>
      <c r="V55" s="1042"/>
    </row>
    <row r="56" spans="5:22">
      <c r="E56" s="1306"/>
      <c r="F56" s="1307" t="s">
        <v>6220</v>
      </c>
      <c r="G56" s="1308"/>
      <c r="H56" s="1308" t="s">
        <v>5470</v>
      </c>
      <c r="I56" s="1309">
        <v>43970</v>
      </c>
      <c r="J56" s="969"/>
      <c r="K56" s="969"/>
      <c r="R56" s="1042"/>
      <c r="S56" s="1042"/>
      <c r="T56" s="1042"/>
      <c r="U56" s="1042"/>
      <c r="V56" s="1042"/>
    </row>
    <row r="57" spans="5:22" ht="33">
      <c r="E57" s="1306"/>
      <c r="F57" s="1307" t="s">
        <v>5466</v>
      </c>
      <c r="G57" s="1308"/>
      <c r="H57" s="1308" t="s">
        <v>6229</v>
      </c>
      <c r="I57" s="1309">
        <v>43971</v>
      </c>
      <c r="J57" s="969"/>
      <c r="K57" s="969"/>
      <c r="R57" s="1042"/>
      <c r="S57" s="1042"/>
      <c r="T57" s="1042"/>
      <c r="U57" s="1042"/>
      <c r="V57" s="1042"/>
    </row>
    <row r="58" spans="5:22" ht="33">
      <c r="E58" s="1306"/>
      <c r="F58" s="1307" t="s">
        <v>5974</v>
      </c>
      <c r="G58" s="1308" t="s">
        <v>5944</v>
      </c>
      <c r="H58" s="1308"/>
      <c r="I58" s="1309"/>
      <c r="J58" s="969"/>
      <c r="K58" s="970"/>
      <c r="R58" s="1042"/>
      <c r="S58" s="1042"/>
      <c r="T58" s="1042"/>
      <c r="U58" s="1042"/>
      <c r="V58" s="1042"/>
    </row>
    <row r="59" spans="5:22" ht="33">
      <c r="E59" s="1304"/>
      <c r="F59" s="1024" t="s">
        <v>5975</v>
      </c>
      <c r="G59" s="1019" t="s">
        <v>5944</v>
      </c>
      <c r="H59" s="1019"/>
      <c r="I59" s="1029"/>
      <c r="J59" s="969"/>
      <c r="K59" s="969"/>
      <c r="R59" s="1042"/>
      <c r="S59" s="1042"/>
      <c r="T59" s="1042"/>
      <c r="U59" s="1042"/>
      <c r="V59" s="1042"/>
    </row>
    <row r="60" spans="5:22" ht="33">
      <c r="E60" s="1017">
        <v>9</v>
      </c>
      <c r="F60" s="1023" t="s">
        <v>5772</v>
      </c>
      <c r="G60" s="1018" t="s">
        <v>5944</v>
      </c>
      <c r="H60" s="1018"/>
      <c r="I60" s="1028"/>
      <c r="J60" s="969"/>
      <c r="K60" s="969"/>
      <c r="R60" s="1042"/>
      <c r="S60" s="1042"/>
      <c r="T60" s="1042"/>
      <c r="U60" s="1042"/>
      <c r="V60" s="1042"/>
    </row>
    <row r="61" spans="5:22">
      <c r="E61" s="1306"/>
      <c r="F61" s="1307" t="s">
        <v>6220</v>
      </c>
      <c r="G61" s="1308"/>
      <c r="H61" s="1308" t="s">
        <v>5475</v>
      </c>
      <c r="I61" s="1309">
        <v>43971</v>
      </c>
      <c r="J61" s="969"/>
      <c r="K61" s="969"/>
      <c r="R61" s="1042"/>
      <c r="S61" s="1042"/>
      <c r="T61" s="1042"/>
      <c r="U61" s="1042"/>
      <c r="V61" s="1042"/>
    </row>
    <row r="62" spans="5:22" ht="33">
      <c r="E62" s="1306"/>
      <c r="F62" s="1307" t="s">
        <v>5466</v>
      </c>
      <c r="G62" s="1308"/>
      <c r="H62" s="1308" t="s">
        <v>6230</v>
      </c>
      <c r="I62" s="1309">
        <v>43972</v>
      </c>
      <c r="J62" s="969"/>
      <c r="K62" s="969"/>
      <c r="R62" s="1042"/>
      <c r="S62" s="1042"/>
      <c r="T62" s="1042"/>
      <c r="U62" s="1042"/>
      <c r="V62" s="1042"/>
    </row>
    <row r="63" spans="5:22" ht="33">
      <c r="E63" s="1304"/>
      <c r="F63" s="1024" t="s">
        <v>5804</v>
      </c>
      <c r="G63" s="1019" t="s">
        <v>5944</v>
      </c>
      <c r="H63" s="1019"/>
      <c r="I63" s="1029"/>
      <c r="J63" s="969"/>
      <c r="K63" s="970"/>
      <c r="R63" s="1042"/>
      <c r="S63" s="1042"/>
      <c r="T63" s="1042"/>
      <c r="U63" s="1042"/>
      <c r="V63" s="1042"/>
    </row>
    <row r="64" spans="5:22" ht="33">
      <c r="E64" s="1017">
        <v>10</v>
      </c>
      <c r="F64" s="1023" t="s">
        <v>5775</v>
      </c>
      <c r="G64" s="1018" t="s">
        <v>5944</v>
      </c>
      <c r="H64" s="1018"/>
      <c r="I64" s="1028"/>
      <c r="J64" s="969"/>
      <c r="K64" s="969"/>
      <c r="R64" s="1042"/>
      <c r="S64" s="1042"/>
      <c r="T64" s="1042"/>
      <c r="U64" s="1042"/>
      <c r="V64" s="1042"/>
    </row>
    <row r="65" spans="5:22">
      <c r="E65" s="1306"/>
      <c r="F65" s="1307" t="s">
        <v>6220</v>
      </c>
      <c r="G65" s="1308"/>
      <c r="H65" s="1308" t="s">
        <v>5480</v>
      </c>
      <c r="I65" s="1309">
        <v>43972</v>
      </c>
      <c r="J65" s="969"/>
      <c r="K65" s="969"/>
      <c r="R65" s="1042"/>
      <c r="S65" s="1042"/>
      <c r="T65" s="1042"/>
      <c r="U65" s="1042"/>
      <c r="V65" s="1042"/>
    </row>
    <row r="66" spans="5:22" ht="33">
      <c r="E66" s="1306"/>
      <c r="F66" s="1307" t="s">
        <v>5466</v>
      </c>
      <c r="G66" s="1308"/>
      <c r="H66" s="1308" t="s">
        <v>6231</v>
      </c>
      <c r="I66" s="1309">
        <v>43973</v>
      </c>
      <c r="J66" s="969"/>
      <c r="K66" s="969"/>
      <c r="R66" s="1042"/>
      <c r="S66" s="1042"/>
      <c r="T66" s="1042"/>
      <c r="U66" s="1042"/>
      <c r="V66" s="1042"/>
    </row>
    <row r="67" spans="5:22" ht="33">
      <c r="E67" s="1304"/>
      <c r="F67" s="1024" t="s">
        <v>5805</v>
      </c>
      <c r="G67" s="1019" t="s">
        <v>5944</v>
      </c>
      <c r="H67" s="1019"/>
      <c r="I67" s="1029"/>
      <c r="J67" s="969"/>
      <c r="K67" s="969"/>
      <c r="R67" s="1042"/>
      <c r="S67" s="1042"/>
      <c r="T67" s="1042"/>
      <c r="U67" s="1042"/>
      <c r="V67" s="1042"/>
    </row>
    <row r="68" spans="5:22" ht="33">
      <c r="E68" s="1017">
        <v>11</v>
      </c>
      <c r="F68" s="1023" t="s">
        <v>5953</v>
      </c>
      <c r="G68" s="1018" t="s">
        <v>5944</v>
      </c>
      <c r="H68" s="1018"/>
      <c r="I68" s="1028"/>
      <c r="J68" s="969"/>
      <c r="K68" s="969"/>
      <c r="R68" s="1042"/>
      <c r="S68" s="1042"/>
      <c r="T68" s="1042"/>
      <c r="U68" s="1042"/>
      <c r="V68" s="1042"/>
    </row>
    <row r="69" spans="5:22">
      <c r="E69" s="1306"/>
      <c r="F69" s="1307" t="s">
        <v>6220</v>
      </c>
      <c r="G69" s="1308"/>
      <c r="H69" s="1308" t="s">
        <v>5479</v>
      </c>
      <c r="I69" s="1309">
        <v>43980</v>
      </c>
      <c r="J69" s="969"/>
      <c r="K69" s="969"/>
      <c r="R69" s="1042"/>
      <c r="S69" s="1042"/>
      <c r="T69" s="1042"/>
      <c r="U69" s="1042"/>
      <c r="V69" s="1042"/>
    </row>
    <row r="70" spans="5:22" ht="33">
      <c r="E70" s="1306"/>
      <c r="F70" s="1307" t="s">
        <v>5466</v>
      </c>
      <c r="G70" s="1308"/>
      <c r="H70" s="1308" t="s">
        <v>6232</v>
      </c>
      <c r="I70" s="1309">
        <v>43981</v>
      </c>
      <c r="J70" s="969"/>
      <c r="K70" s="969"/>
      <c r="R70" s="1042"/>
      <c r="S70" s="1042"/>
      <c r="T70" s="1042"/>
      <c r="U70" s="1042"/>
      <c r="V70" s="1042"/>
    </row>
    <row r="71" spans="5:22" ht="33">
      <c r="E71" s="1306"/>
      <c r="F71" s="1307" t="s">
        <v>5806</v>
      </c>
      <c r="G71" s="1308" t="s">
        <v>5944</v>
      </c>
      <c r="H71" s="1308"/>
      <c r="I71" s="1309"/>
      <c r="J71" s="969"/>
      <c r="K71" s="969"/>
      <c r="R71" s="1042"/>
      <c r="S71" s="1042"/>
      <c r="T71" s="1042"/>
      <c r="U71" s="1042"/>
      <c r="V71" s="1042"/>
    </row>
    <row r="72" spans="5:22" ht="33">
      <c r="E72" s="1306"/>
      <c r="F72" s="1307" t="s">
        <v>5878</v>
      </c>
      <c r="G72" s="1308" t="s">
        <v>5944</v>
      </c>
      <c r="H72" s="1308"/>
      <c r="I72" s="1309"/>
      <c r="J72" s="969"/>
      <c r="K72" s="970"/>
      <c r="R72" s="1042"/>
      <c r="S72" s="1042"/>
      <c r="T72" s="1042"/>
      <c r="U72" s="1042"/>
      <c r="V72" s="1042"/>
    </row>
    <row r="73" spans="5:22" ht="33">
      <c r="E73" s="1306"/>
      <c r="F73" s="1307" t="s">
        <v>5976</v>
      </c>
      <c r="G73" s="1308" t="s">
        <v>5944</v>
      </c>
      <c r="H73" s="1308"/>
      <c r="I73" s="1309"/>
      <c r="J73" s="969"/>
      <c r="K73" s="969"/>
      <c r="R73" s="1042"/>
      <c r="S73" s="1042"/>
      <c r="T73" s="1042"/>
      <c r="U73" s="1042"/>
      <c r="V73" s="1042"/>
    </row>
    <row r="74" spans="5:22" ht="33">
      <c r="E74" s="1306"/>
      <c r="F74" s="1307" t="s">
        <v>5977</v>
      </c>
      <c r="G74" s="1308" t="s">
        <v>5944</v>
      </c>
      <c r="H74" s="1308"/>
      <c r="I74" s="1309"/>
      <c r="J74" s="969"/>
      <c r="K74" s="969"/>
      <c r="R74" s="1042"/>
      <c r="S74" s="1042"/>
      <c r="T74" s="1042"/>
      <c r="U74" s="1042"/>
      <c r="V74" s="1042"/>
    </row>
    <row r="75" spans="5:22" ht="33">
      <c r="E75" s="1306"/>
      <c r="F75" s="1307" t="s">
        <v>5807</v>
      </c>
      <c r="G75" s="1308" t="s">
        <v>5944</v>
      </c>
      <c r="H75" s="1308"/>
      <c r="I75" s="1309"/>
      <c r="J75" s="969"/>
      <c r="K75" s="969"/>
      <c r="R75" s="1042"/>
      <c r="S75" s="1042"/>
      <c r="T75" s="1042"/>
      <c r="U75" s="1042"/>
      <c r="V75" s="1042"/>
    </row>
    <row r="76" spans="5:22" ht="33">
      <c r="E76" s="1304"/>
      <c r="F76" s="1024" t="s">
        <v>5808</v>
      </c>
      <c r="G76" s="1019" t="s">
        <v>5944</v>
      </c>
      <c r="H76" s="1019"/>
      <c r="I76" s="1029"/>
      <c r="J76" s="969"/>
      <c r="K76" s="969"/>
      <c r="R76" s="1042"/>
      <c r="S76" s="1042"/>
      <c r="T76" s="1042"/>
      <c r="U76" s="1042"/>
      <c r="V76" s="1042"/>
    </row>
    <row r="77" spans="5:22" ht="33">
      <c r="E77" s="1017">
        <v>12</v>
      </c>
      <c r="F77" s="1023" t="s">
        <v>5943</v>
      </c>
      <c r="G77" s="1018" t="s">
        <v>5944</v>
      </c>
      <c r="H77" s="1018"/>
      <c r="I77" s="1028"/>
      <c r="J77" s="969"/>
      <c r="K77" s="970"/>
      <c r="R77" s="1042"/>
      <c r="S77" s="1042"/>
      <c r="T77" s="1042"/>
      <c r="U77" s="1042"/>
      <c r="V77" s="1042"/>
    </row>
    <row r="78" spans="5:22">
      <c r="E78" s="1306"/>
      <c r="F78" s="1307" t="s">
        <v>6220</v>
      </c>
      <c r="G78" s="1308"/>
      <c r="H78" s="1308" t="s">
        <v>5476</v>
      </c>
      <c r="I78" s="1309">
        <v>43985</v>
      </c>
      <c r="J78" s="969"/>
      <c r="K78" s="969"/>
      <c r="R78" s="1042"/>
      <c r="S78" s="1042"/>
      <c r="T78" s="1042"/>
      <c r="U78" s="1042"/>
      <c r="V78" s="1042"/>
    </row>
    <row r="79" spans="5:22" ht="33">
      <c r="E79" s="1306"/>
      <c r="F79" s="1307" t="s">
        <v>5466</v>
      </c>
      <c r="G79" s="1308"/>
      <c r="H79" s="1308" t="s">
        <v>6233</v>
      </c>
      <c r="I79" s="1309">
        <v>43986</v>
      </c>
      <c r="J79" s="969"/>
      <c r="K79" s="969"/>
      <c r="R79" s="1042"/>
      <c r="S79" s="1042"/>
      <c r="T79" s="1042"/>
      <c r="U79" s="1042"/>
      <c r="V79" s="1042"/>
    </row>
    <row r="80" spans="5:22" ht="49.5">
      <c r="E80" s="1306"/>
      <c r="F80" s="1307" t="s">
        <v>5978</v>
      </c>
      <c r="G80" s="1308" t="s">
        <v>5944</v>
      </c>
      <c r="H80" s="1308"/>
      <c r="I80" s="1309"/>
      <c r="J80" s="969"/>
      <c r="K80" s="969"/>
      <c r="R80" s="1042"/>
      <c r="S80" s="1042"/>
      <c r="T80" s="1042"/>
      <c r="U80" s="1042"/>
      <c r="V80" s="1042"/>
    </row>
    <row r="81" spans="5:22" ht="49.5">
      <c r="E81" s="1306"/>
      <c r="F81" s="1307" t="s">
        <v>5979</v>
      </c>
      <c r="G81" s="1308" t="s">
        <v>5944</v>
      </c>
      <c r="H81" s="1308"/>
      <c r="I81" s="1309"/>
      <c r="J81" s="969"/>
      <c r="K81" s="969"/>
      <c r="R81" s="1042"/>
      <c r="S81" s="1042"/>
      <c r="T81" s="1042"/>
      <c r="U81" s="1042"/>
      <c r="V81" s="1042"/>
    </row>
    <row r="82" spans="5:22" ht="49.5">
      <c r="E82" s="1306"/>
      <c r="F82" s="1307" t="s">
        <v>5980</v>
      </c>
      <c r="G82" s="1308" t="s">
        <v>5944</v>
      </c>
      <c r="H82" s="1308"/>
      <c r="I82" s="1309"/>
      <c r="J82" s="969"/>
      <c r="K82" s="969"/>
      <c r="R82" s="1042"/>
      <c r="S82" s="1042"/>
      <c r="T82" s="1042"/>
      <c r="U82" s="1042"/>
      <c r="V82" s="1042"/>
    </row>
    <row r="83" spans="5:22" ht="49.5">
      <c r="E83" s="1306"/>
      <c r="F83" s="1307" t="s">
        <v>5981</v>
      </c>
      <c r="G83" s="1308" t="s">
        <v>5944</v>
      </c>
      <c r="H83" s="1308"/>
      <c r="I83" s="1309"/>
      <c r="J83" s="969"/>
      <c r="K83" s="969"/>
      <c r="R83" s="1042"/>
      <c r="S83" s="1042"/>
      <c r="T83" s="1042"/>
      <c r="U83" s="1042"/>
      <c r="V83" s="1042"/>
    </row>
    <row r="84" spans="5:22" ht="49.5">
      <c r="E84" s="1306"/>
      <c r="F84" s="1307" t="s">
        <v>5982</v>
      </c>
      <c r="G84" s="1308" t="s">
        <v>5944</v>
      </c>
      <c r="H84" s="1308"/>
      <c r="I84" s="1309"/>
      <c r="J84" s="969"/>
      <c r="K84" s="969"/>
      <c r="R84" s="1042"/>
      <c r="S84" s="1042"/>
      <c r="T84" s="1042"/>
      <c r="U84" s="1042"/>
      <c r="V84" s="1042"/>
    </row>
    <row r="85" spans="5:22" ht="49.5">
      <c r="E85" s="1306"/>
      <c r="F85" s="1307" t="s">
        <v>5983</v>
      </c>
      <c r="G85" s="1308" t="s">
        <v>5944</v>
      </c>
      <c r="H85" s="1308"/>
      <c r="I85" s="1309"/>
      <c r="J85" s="969"/>
      <c r="K85" s="969"/>
      <c r="R85" s="1042"/>
      <c r="S85" s="1042"/>
      <c r="T85" s="1042"/>
      <c r="U85" s="1042"/>
      <c r="V85" s="1042"/>
    </row>
    <row r="86" spans="5:22" ht="49.5">
      <c r="E86" s="1306"/>
      <c r="F86" s="1307" t="s">
        <v>5984</v>
      </c>
      <c r="G86" s="1308" t="s">
        <v>5944</v>
      </c>
      <c r="H86" s="1308"/>
      <c r="I86" s="1309"/>
      <c r="J86" s="969"/>
      <c r="K86" s="970"/>
      <c r="R86" s="1042"/>
      <c r="S86" s="1042"/>
      <c r="T86" s="1042"/>
      <c r="U86" s="1042"/>
      <c r="V86" s="1042"/>
    </row>
    <row r="87" spans="5:22" ht="49.5">
      <c r="E87" s="1304"/>
      <c r="F87" s="1024" t="s">
        <v>5985</v>
      </c>
      <c r="G87" s="1019" t="s">
        <v>5944</v>
      </c>
      <c r="H87" s="1019"/>
      <c r="I87" s="1029"/>
      <c r="J87" s="969"/>
      <c r="K87" s="969"/>
      <c r="R87" s="1042"/>
      <c r="S87" s="1042"/>
      <c r="T87" s="1042"/>
      <c r="U87" s="1042"/>
      <c r="V87" s="1042"/>
    </row>
    <row r="88" spans="5:22" ht="33">
      <c r="E88" s="1017">
        <v>13</v>
      </c>
      <c r="F88" s="1023" t="s">
        <v>5770</v>
      </c>
      <c r="G88" s="1018" t="s">
        <v>5949</v>
      </c>
      <c r="H88" s="1018"/>
      <c r="I88" s="1028"/>
      <c r="J88" s="969"/>
      <c r="K88" s="969"/>
      <c r="R88" s="1042"/>
      <c r="S88" s="1042"/>
      <c r="T88" s="1042"/>
      <c r="U88" s="1042"/>
      <c r="V88" s="1042"/>
    </row>
    <row r="89" spans="5:22">
      <c r="E89" s="1306"/>
      <c r="F89" s="1307" t="s">
        <v>6220</v>
      </c>
      <c r="G89" s="1308"/>
      <c r="H89" s="1308" t="s">
        <v>5483</v>
      </c>
      <c r="I89" s="1309">
        <v>43964</v>
      </c>
      <c r="J89" s="969"/>
      <c r="K89" s="969"/>
      <c r="R89" s="1042"/>
      <c r="S89" s="1042"/>
      <c r="T89" s="1042"/>
      <c r="U89" s="1042"/>
      <c r="V89" s="1042"/>
    </row>
    <row r="90" spans="5:22" ht="33">
      <c r="E90" s="1306"/>
      <c r="F90" s="1307" t="s">
        <v>5466</v>
      </c>
      <c r="G90" s="1308"/>
      <c r="H90" s="1308" t="s">
        <v>6234</v>
      </c>
      <c r="I90" s="1309">
        <v>43965</v>
      </c>
      <c r="J90" s="969"/>
      <c r="K90" s="969"/>
      <c r="R90" s="1042"/>
      <c r="S90" s="1042"/>
      <c r="T90" s="1042"/>
      <c r="U90" s="1042"/>
      <c r="V90" s="1042"/>
    </row>
    <row r="91" spans="5:22" ht="33">
      <c r="E91" s="1304"/>
      <c r="F91" s="1024" t="s">
        <v>5973</v>
      </c>
      <c r="G91" s="1019" t="s">
        <v>5949</v>
      </c>
      <c r="H91" s="1019"/>
      <c r="I91" s="1029"/>
      <c r="J91" s="969"/>
      <c r="K91" s="970"/>
      <c r="R91" s="1042"/>
      <c r="S91" s="1042"/>
      <c r="T91" s="1042"/>
      <c r="U91" s="1042"/>
      <c r="V91" s="1042"/>
    </row>
    <row r="92" spans="5:22" ht="33">
      <c r="E92" s="1017">
        <v>14</v>
      </c>
      <c r="F92" s="1023" t="s">
        <v>5952</v>
      </c>
      <c r="G92" s="1018" t="s">
        <v>5949</v>
      </c>
      <c r="H92" s="1018"/>
      <c r="I92" s="1028"/>
      <c r="J92" s="969"/>
      <c r="K92" s="969"/>
      <c r="R92" s="1042"/>
      <c r="S92" s="1042"/>
      <c r="T92" s="1042"/>
      <c r="U92" s="1042"/>
      <c r="V92" s="1042"/>
    </row>
    <row r="93" spans="5:22">
      <c r="E93" s="1306"/>
      <c r="F93" s="1307" t="s">
        <v>6220</v>
      </c>
      <c r="G93" s="1308"/>
      <c r="H93" s="1308" t="s">
        <v>5481</v>
      </c>
      <c r="I93" s="1309">
        <v>43972</v>
      </c>
      <c r="J93" s="969"/>
      <c r="K93" s="969"/>
      <c r="R93" s="1042"/>
      <c r="S93" s="1042"/>
      <c r="T93" s="1042"/>
      <c r="U93" s="1042"/>
      <c r="V93" s="1042"/>
    </row>
    <row r="94" spans="5:22" ht="33">
      <c r="E94" s="1306"/>
      <c r="F94" s="1307" t="s">
        <v>5466</v>
      </c>
      <c r="G94" s="1308"/>
      <c r="H94" s="1308" t="s">
        <v>6235</v>
      </c>
      <c r="I94" s="1309">
        <v>43973</v>
      </c>
      <c r="J94" s="969"/>
      <c r="K94" s="969"/>
      <c r="R94" s="1042"/>
      <c r="S94" s="1042"/>
      <c r="T94" s="1042"/>
      <c r="U94" s="1042"/>
      <c r="V94" s="1042"/>
    </row>
    <row r="95" spans="5:22" ht="33">
      <c r="E95" s="1306"/>
      <c r="F95" s="1307" t="s">
        <v>5974</v>
      </c>
      <c r="G95" s="1308" t="s">
        <v>5949</v>
      </c>
      <c r="H95" s="1308"/>
      <c r="I95" s="1309"/>
      <c r="J95" s="969"/>
      <c r="K95" s="969"/>
      <c r="R95" s="1042"/>
      <c r="S95" s="1042"/>
      <c r="T95" s="1042"/>
      <c r="U95" s="1042"/>
      <c r="V95" s="1042"/>
    </row>
    <row r="96" spans="5:22" ht="33">
      <c r="E96" s="1304"/>
      <c r="F96" s="1024" t="s">
        <v>5975</v>
      </c>
      <c r="G96" s="1019" t="s">
        <v>5949</v>
      </c>
      <c r="H96" s="1019"/>
      <c r="I96" s="1029"/>
      <c r="J96" s="969"/>
      <c r="K96" s="970"/>
      <c r="R96" s="1042"/>
      <c r="S96" s="1042"/>
      <c r="T96" s="1042"/>
      <c r="U96" s="1042"/>
      <c r="V96" s="1042"/>
    </row>
    <row r="97" spans="5:22" ht="33">
      <c r="E97" s="1017">
        <v>15</v>
      </c>
      <c r="F97" s="1023" t="s">
        <v>5772</v>
      </c>
      <c r="G97" s="1018" t="s">
        <v>5949</v>
      </c>
      <c r="H97" s="1018"/>
      <c r="I97" s="1028"/>
      <c r="J97" s="969"/>
      <c r="K97" s="969"/>
      <c r="R97" s="1042"/>
      <c r="S97" s="1042"/>
      <c r="T97" s="1042"/>
      <c r="U97" s="1042"/>
      <c r="V97" s="1042"/>
    </row>
    <row r="98" spans="5:22">
      <c r="E98" s="1306"/>
      <c r="F98" s="1307" t="s">
        <v>6220</v>
      </c>
      <c r="G98" s="1308"/>
      <c r="H98" s="1308" t="s">
        <v>5484</v>
      </c>
      <c r="I98" s="1309">
        <v>43973</v>
      </c>
      <c r="J98" s="969"/>
      <c r="K98" s="969"/>
      <c r="R98" s="1042"/>
      <c r="S98" s="1042"/>
      <c r="T98" s="1042"/>
      <c r="U98" s="1042"/>
      <c r="V98" s="1042"/>
    </row>
    <row r="99" spans="5:22" ht="33">
      <c r="E99" s="1306"/>
      <c r="F99" s="1307" t="s">
        <v>5466</v>
      </c>
      <c r="G99" s="1308"/>
      <c r="H99" s="1308" t="s">
        <v>6236</v>
      </c>
      <c r="I99" s="1309">
        <v>43974</v>
      </c>
      <c r="J99" s="969"/>
      <c r="K99" s="969"/>
      <c r="R99" s="1042"/>
      <c r="S99" s="1042"/>
      <c r="T99" s="1042"/>
      <c r="U99" s="1042"/>
      <c r="V99" s="1042"/>
    </row>
    <row r="100" spans="5:22" ht="33">
      <c r="E100" s="1304"/>
      <c r="F100" s="1024" t="s">
        <v>5804</v>
      </c>
      <c r="G100" s="1019" t="s">
        <v>5949</v>
      </c>
      <c r="H100" s="1019"/>
      <c r="I100" s="1029"/>
      <c r="J100" s="969"/>
      <c r="K100" s="969"/>
      <c r="R100" s="1042"/>
      <c r="S100" s="1042"/>
      <c r="T100" s="1042"/>
      <c r="U100" s="1042"/>
      <c r="V100" s="1042"/>
    </row>
    <row r="101" spans="5:22" ht="33">
      <c r="E101" s="1017">
        <v>16</v>
      </c>
      <c r="F101" s="1023" t="s">
        <v>5775</v>
      </c>
      <c r="G101" s="1018" t="s">
        <v>5949</v>
      </c>
      <c r="H101" s="1018"/>
      <c r="I101" s="1028"/>
      <c r="J101" s="969"/>
      <c r="K101" s="969"/>
      <c r="R101" s="1042"/>
      <c r="S101" s="1042"/>
      <c r="T101" s="1042"/>
      <c r="U101" s="1042"/>
      <c r="V101" s="1042"/>
    </row>
    <row r="102" spans="5:22">
      <c r="E102" s="1306"/>
      <c r="F102" s="1307" t="s">
        <v>6220</v>
      </c>
      <c r="G102" s="1308"/>
      <c r="H102" s="1308" t="s">
        <v>5472</v>
      </c>
      <c r="I102" s="1309">
        <v>43974</v>
      </c>
      <c r="J102" s="969"/>
      <c r="K102" s="969"/>
      <c r="R102" s="1042"/>
      <c r="S102" s="1042"/>
      <c r="T102" s="1042"/>
      <c r="U102" s="1042"/>
      <c r="V102" s="1042"/>
    </row>
    <row r="103" spans="5:22" ht="33">
      <c r="E103" s="1306"/>
      <c r="F103" s="1307" t="s">
        <v>5466</v>
      </c>
      <c r="G103" s="1308"/>
      <c r="H103" s="1308" t="s">
        <v>6237</v>
      </c>
      <c r="I103" s="1309">
        <v>43975</v>
      </c>
      <c r="J103" s="969"/>
      <c r="K103" s="969"/>
      <c r="R103" s="1042"/>
      <c r="S103" s="1042"/>
      <c r="T103" s="1042"/>
      <c r="U103" s="1042"/>
      <c r="V103" s="1042"/>
    </row>
    <row r="104" spans="5:22" ht="33">
      <c r="E104" s="1304"/>
      <c r="F104" s="1024" t="s">
        <v>5805</v>
      </c>
      <c r="G104" s="1019" t="s">
        <v>5949</v>
      </c>
      <c r="H104" s="1019"/>
      <c r="I104" s="1029"/>
      <c r="J104" s="969"/>
      <c r="K104" s="969"/>
      <c r="R104" s="1042"/>
      <c r="S104" s="1042"/>
      <c r="T104" s="1042"/>
      <c r="U104" s="1042"/>
      <c r="V104" s="1042"/>
    </row>
    <row r="105" spans="5:22" ht="33">
      <c r="E105" s="1017">
        <v>17</v>
      </c>
      <c r="F105" s="1023" t="s">
        <v>5953</v>
      </c>
      <c r="G105" s="1018" t="s">
        <v>5949</v>
      </c>
      <c r="H105" s="1018"/>
      <c r="I105" s="1028"/>
      <c r="J105" s="969"/>
      <c r="K105" s="970"/>
      <c r="R105" s="1042"/>
      <c r="S105" s="1042"/>
      <c r="T105" s="1042"/>
      <c r="U105" s="1042"/>
      <c r="V105" s="1042"/>
    </row>
    <row r="106" spans="5:22">
      <c r="E106" s="1306"/>
      <c r="F106" s="1307" t="s">
        <v>6220</v>
      </c>
      <c r="G106" s="1308"/>
      <c r="H106" s="1308" t="s">
        <v>5482</v>
      </c>
      <c r="I106" s="1309">
        <v>43982</v>
      </c>
      <c r="J106" s="969"/>
      <c r="K106" s="969"/>
      <c r="R106" s="1042"/>
      <c r="S106" s="1042"/>
      <c r="T106" s="1042"/>
      <c r="U106" s="1042"/>
      <c r="V106" s="1042"/>
    </row>
    <row r="107" spans="5:22" ht="33">
      <c r="E107" s="1306"/>
      <c r="F107" s="1307" t="s">
        <v>5466</v>
      </c>
      <c r="G107" s="1308"/>
      <c r="H107" s="1308" t="s">
        <v>6238</v>
      </c>
      <c r="I107" s="1309">
        <v>43983</v>
      </c>
      <c r="J107" s="969"/>
      <c r="K107" s="969"/>
      <c r="R107" s="1042"/>
      <c r="S107" s="1042"/>
      <c r="T107" s="1042"/>
      <c r="U107" s="1042"/>
      <c r="V107" s="1042"/>
    </row>
    <row r="108" spans="5:22" ht="33">
      <c r="E108" s="1306"/>
      <c r="F108" s="1307" t="s">
        <v>5806</v>
      </c>
      <c r="G108" s="1308" t="s">
        <v>5949</v>
      </c>
      <c r="H108" s="1308"/>
      <c r="I108" s="1309"/>
      <c r="J108" s="969"/>
      <c r="K108" s="969"/>
      <c r="R108" s="1042"/>
      <c r="S108" s="1042"/>
      <c r="T108" s="1042"/>
      <c r="U108" s="1042"/>
      <c r="V108" s="1042"/>
    </row>
    <row r="109" spans="5:22" ht="33">
      <c r="E109" s="1306"/>
      <c r="F109" s="1307" t="s">
        <v>5878</v>
      </c>
      <c r="G109" s="1308" t="s">
        <v>5949</v>
      </c>
      <c r="H109" s="1308"/>
      <c r="I109" s="1309"/>
      <c r="J109" s="969"/>
      <c r="K109" s="970"/>
      <c r="R109" s="1042"/>
      <c r="S109" s="1042"/>
      <c r="T109" s="1042"/>
      <c r="U109" s="1042"/>
      <c r="V109" s="1042"/>
    </row>
    <row r="110" spans="5:22" ht="33">
      <c r="E110" s="1306"/>
      <c r="F110" s="1307" t="s">
        <v>5976</v>
      </c>
      <c r="G110" s="1308" t="s">
        <v>5949</v>
      </c>
      <c r="H110" s="1308"/>
      <c r="I110" s="1309"/>
      <c r="J110" s="969"/>
      <c r="K110" s="969"/>
      <c r="R110" s="1042"/>
      <c r="S110" s="1042"/>
      <c r="T110" s="1042"/>
      <c r="U110" s="1042"/>
      <c r="V110" s="1042"/>
    </row>
    <row r="111" spans="5:22" ht="33">
      <c r="E111" s="1306"/>
      <c r="F111" s="1307" t="s">
        <v>5977</v>
      </c>
      <c r="G111" s="1308" t="s">
        <v>5949</v>
      </c>
      <c r="H111" s="1308"/>
      <c r="I111" s="1309"/>
      <c r="J111" s="969"/>
      <c r="K111" s="969"/>
      <c r="R111" s="1042"/>
      <c r="S111" s="1042"/>
      <c r="T111" s="1042"/>
      <c r="U111" s="1042"/>
      <c r="V111" s="1042"/>
    </row>
    <row r="112" spans="5:22" ht="33">
      <c r="E112" s="1306"/>
      <c r="F112" s="1307" t="s">
        <v>5807</v>
      </c>
      <c r="G112" s="1308" t="s">
        <v>5949</v>
      </c>
      <c r="H112" s="1308"/>
      <c r="I112" s="1309"/>
      <c r="J112" s="969"/>
      <c r="K112" s="969"/>
      <c r="R112" s="1042"/>
      <c r="S112" s="1042"/>
      <c r="T112" s="1042"/>
      <c r="U112" s="1042"/>
      <c r="V112" s="1042"/>
    </row>
    <row r="113" spans="5:22" ht="33">
      <c r="E113" s="1304"/>
      <c r="F113" s="1024" t="s">
        <v>5808</v>
      </c>
      <c r="G113" s="1019" t="s">
        <v>5949</v>
      </c>
      <c r="H113" s="1019"/>
      <c r="I113" s="1029"/>
      <c r="J113" s="969"/>
      <c r="K113" s="969"/>
      <c r="R113" s="1042"/>
      <c r="S113" s="1042"/>
      <c r="T113" s="1042"/>
      <c r="U113" s="1042"/>
      <c r="V113" s="1042"/>
    </row>
    <row r="114" spans="5:22" ht="33">
      <c r="E114" s="1017">
        <v>18</v>
      </c>
      <c r="F114" s="1023" t="s">
        <v>5943</v>
      </c>
      <c r="G114" s="1018" t="s">
        <v>5949</v>
      </c>
      <c r="H114" s="1018"/>
      <c r="I114" s="1028"/>
      <c r="J114" s="969"/>
      <c r="K114" s="969"/>
      <c r="R114" s="1042"/>
      <c r="S114" s="1042"/>
      <c r="T114" s="1042"/>
      <c r="U114" s="1042"/>
      <c r="V114" s="1042"/>
    </row>
    <row r="115" spans="5:22">
      <c r="E115" s="1306"/>
      <c r="F115" s="1307" t="s">
        <v>6220</v>
      </c>
      <c r="G115" s="1308"/>
      <c r="H115" s="1308" t="s">
        <v>5477</v>
      </c>
      <c r="I115" s="1309">
        <v>43987</v>
      </c>
      <c r="J115" s="969"/>
      <c r="K115" s="970"/>
      <c r="R115" s="1042"/>
      <c r="S115" s="1042"/>
      <c r="T115" s="1042"/>
      <c r="U115" s="1042"/>
      <c r="V115" s="1042"/>
    </row>
    <row r="116" spans="5:22" ht="33">
      <c r="E116" s="1306"/>
      <c r="F116" s="1307" t="s">
        <v>5466</v>
      </c>
      <c r="G116" s="1308"/>
      <c r="H116" s="1308" t="s">
        <v>6239</v>
      </c>
      <c r="I116" s="1309">
        <v>43988</v>
      </c>
      <c r="J116" s="969"/>
      <c r="K116" s="969"/>
      <c r="R116" s="1042"/>
      <c r="S116" s="1042"/>
      <c r="T116" s="1042"/>
      <c r="U116" s="1042"/>
      <c r="V116" s="1042"/>
    </row>
    <row r="117" spans="5:22" ht="49.5">
      <c r="E117" s="1306"/>
      <c r="F117" s="1307" t="s">
        <v>5978</v>
      </c>
      <c r="G117" s="1308" t="s">
        <v>5949</v>
      </c>
      <c r="H117" s="1308"/>
      <c r="I117" s="1309"/>
      <c r="J117" s="969"/>
      <c r="K117" s="969"/>
      <c r="R117" s="1042"/>
      <c r="S117" s="1042"/>
      <c r="T117" s="1042"/>
      <c r="U117" s="1042"/>
      <c r="V117" s="1042"/>
    </row>
    <row r="118" spans="5:22" ht="49.5">
      <c r="E118" s="1306"/>
      <c r="F118" s="1307" t="s">
        <v>5979</v>
      </c>
      <c r="G118" s="1308" t="s">
        <v>5949</v>
      </c>
      <c r="H118" s="1308"/>
      <c r="I118" s="1309"/>
      <c r="J118" s="969"/>
      <c r="K118" s="969"/>
      <c r="R118" s="1042"/>
      <c r="S118" s="1042"/>
      <c r="T118" s="1042"/>
      <c r="U118" s="1042"/>
      <c r="V118" s="1042"/>
    </row>
    <row r="119" spans="5:22" ht="49.5">
      <c r="E119" s="1306"/>
      <c r="F119" s="1307" t="s">
        <v>5980</v>
      </c>
      <c r="G119" s="1308" t="s">
        <v>5949</v>
      </c>
      <c r="H119" s="1308"/>
      <c r="I119" s="1309"/>
      <c r="J119" s="969"/>
      <c r="K119" s="970"/>
      <c r="R119" s="1042"/>
      <c r="S119" s="1042"/>
      <c r="T119" s="1042"/>
      <c r="U119" s="1042"/>
      <c r="V119" s="1042"/>
    </row>
    <row r="120" spans="5:22" ht="49.5">
      <c r="E120" s="1306"/>
      <c r="F120" s="1307" t="s">
        <v>5981</v>
      </c>
      <c r="G120" s="1308" t="s">
        <v>5949</v>
      </c>
      <c r="H120" s="1308"/>
      <c r="I120" s="1309"/>
      <c r="J120" s="969"/>
      <c r="K120" s="969"/>
      <c r="R120" s="1042"/>
      <c r="S120" s="1042"/>
      <c r="T120" s="1042"/>
      <c r="U120" s="1042"/>
      <c r="V120" s="1042"/>
    </row>
    <row r="121" spans="5:22" ht="49.5">
      <c r="E121" s="1306"/>
      <c r="F121" s="1307" t="s">
        <v>5982</v>
      </c>
      <c r="G121" s="1308" t="s">
        <v>5949</v>
      </c>
      <c r="H121" s="1308"/>
      <c r="I121" s="1309"/>
      <c r="J121" s="969"/>
      <c r="K121" s="969"/>
      <c r="R121" s="1042"/>
      <c r="S121" s="1042"/>
      <c r="T121" s="1042"/>
      <c r="U121" s="1042"/>
      <c r="V121" s="1042"/>
    </row>
    <row r="122" spans="5:22" ht="49.5">
      <c r="E122" s="1306"/>
      <c r="F122" s="1307" t="s">
        <v>5983</v>
      </c>
      <c r="G122" s="1308" t="s">
        <v>5949</v>
      </c>
      <c r="H122" s="1308"/>
      <c r="I122" s="1309"/>
      <c r="J122" s="969"/>
      <c r="K122" s="969"/>
      <c r="R122" s="1042"/>
      <c r="S122" s="1042"/>
      <c r="T122" s="1042"/>
      <c r="U122" s="1042"/>
      <c r="V122" s="1042"/>
    </row>
    <row r="123" spans="5:22" ht="49.5">
      <c r="E123" s="1306"/>
      <c r="F123" s="1307" t="s">
        <v>5984</v>
      </c>
      <c r="G123" s="1308" t="s">
        <v>5949</v>
      </c>
      <c r="H123" s="1308"/>
      <c r="I123" s="1309"/>
      <c r="J123" s="969"/>
      <c r="K123" s="969"/>
      <c r="R123" s="1042"/>
      <c r="S123" s="1042"/>
      <c r="T123" s="1042"/>
      <c r="U123" s="1042"/>
      <c r="V123" s="1042"/>
    </row>
    <row r="124" spans="5:22" ht="49.5">
      <c r="E124" s="1304"/>
      <c r="F124" s="1024" t="s">
        <v>5985</v>
      </c>
      <c r="G124" s="1019" t="s">
        <v>5949</v>
      </c>
      <c r="H124" s="1019"/>
      <c r="I124" s="1029"/>
      <c r="J124" s="969"/>
      <c r="K124" s="969"/>
      <c r="R124" s="1042"/>
      <c r="S124" s="1042"/>
      <c r="T124" s="1042"/>
      <c r="U124" s="1042"/>
      <c r="V124" s="1042"/>
    </row>
    <row r="125" spans="5:22" ht="33">
      <c r="E125" s="1302" t="s">
        <v>2021</v>
      </c>
      <c r="F125" s="1022" t="s">
        <v>4358</v>
      </c>
      <c r="G125" s="1016"/>
      <c r="H125" s="1016"/>
      <c r="I125" s="1027"/>
      <c r="J125" s="969"/>
      <c r="K125" s="969"/>
      <c r="R125" s="1042"/>
      <c r="S125" s="1042"/>
      <c r="T125" s="1042"/>
      <c r="U125" s="1042"/>
      <c r="V125" s="1042"/>
    </row>
    <row r="126" spans="5:22" ht="33">
      <c r="E126" s="1017">
        <v>1</v>
      </c>
      <c r="F126" s="1023" t="s">
        <v>4432</v>
      </c>
      <c r="G126" s="1018" t="s">
        <v>5951</v>
      </c>
      <c r="H126" s="1018"/>
      <c r="I126" s="1028"/>
      <c r="J126" s="969"/>
      <c r="K126" s="969"/>
      <c r="R126" s="1042"/>
      <c r="S126" s="1042"/>
      <c r="T126" s="1042"/>
      <c r="U126" s="1042"/>
      <c r="V126" s="1042"/>
    </row>
    <row r="127" spans="5:22">
      <c r="E127" s="1306"/>
      <c r="F127" s="1307" t="s">
        <v>6220</v>
      </c>
      <c r="G127" s="1308"/>
      <c r="H127" s="1308" t="s">
        <v>5486</v>
      </c>
      <c r="I127" s="1309">
        <v>43988</v>
      </c>
      <c r="J127" s="969"/>
      <c r="K127" s="969"/>
      <c r="R127" s="1042"/>
      <c r="S127" s="1042"/>
      <c r="T127" s="1042"/>
      <c r="U127" s="1042"/>
      <c r="V127" s="1042"/>
    </row>
    <row r="128" spans="5:22" ht="33">
      <c r="E128" s="1304"/>
      <c r="F128" s="1024" t="s">
        <v>5466</v>
      </c>
      <c r="G128" s="1019"/>
      <c r="H128" s="1019" t="s">
        <v>6240</v>
      </c>
      <c r="I128" s="1029">
        <v>43989</v>
      </c>
      <c r="J128" s="969"/>
      <c r="K128" s="970"/>
      <c r="R128" s="1042"/>
      <c r="S128" s="1042"/>
      <c r="T128" s="1042"/>
      <c r="U128" s="1042"/>
      <c r="V128" s="1042"/>
    </row>
    <row r="129" spans="5:22">
      <c r="E129" s="1301"/>
      <c r="F129" s="1025"/>
      <c r="G129" s="1020"/>
      <c r="H129" s="1020"/>
      <c r="I129" s="1030"/>
      <c r="J129" s="969"/>
      <c r="K129" s="969"/>
      <c r="R129" s="1042"/>
      <c r="S129" s="1042"/>
      <c r="T129" s="1042"/>
      <c r="U129" s="1042"/>
      <c r="V129" s="1042"/>
    </row>
    <row r="130" spans="5:22">
      <c r="E130" s="1301"/>
      <c r="F130" s="1025"/>
      <c r="G130" s="1020"/>
      <c r="H130" s="1020"/>
      <c r="I130" s="1030"/>
      <c r="J130" s="969"/>
      <c r="K130" s="969"/>
      <c r="R130" s="1042"/>
      <c r="S130" s="1042"/>
      <c r="T130" s="1042"/>
      <c r="U130" s="1042"/>
      <c r="V130" s="1042"/>
    </row>
    <row r="131" spans="5:22">
      <c r="E131" s="1301"/>
      <c r="F131" s="1025"/>
      <c r="G131" s="1020"/>
      <c r="H131" s="1020"/>
      <c r="I131" s="1030"/>
      <c r="J131" s="969"/>
      <c r="K131" s="969"/>
      <c r="R131" s="1042"/>
      <c r="S131" s="1042"/>
      <c r="T131" s="1042"/>
      <c r="U131" s="1042"/>
      <c r="V131" s="1042"/>
    </row>
    <row r="132" spans="5:22">
      <c r="E132" s="1301"/>
      <c r="F132" s="1025"/>
      <c r="G132" s="1020"/>
      <c r="H132" s="1020"/>
      <c r="I132" s="1030"/>
      <c r="J132" s="969"/>
      <c r="K132" s="970"/>
      <c r="R132" s="1042"/>
      <c r="S132" s="1042"/>
      <c r="T132" s="1042"/>
      <c r="U132" s="1042"/>
      <c r="V132" s="1042"/>
    </row>
    <row r="133" spans="5:22">
      <c r="E133" s="1301"/>
      <c r="F133" s="1025"/>
      <c r="G133" s="1020"/>
      <c r="H133" s="1020"/>
      <c r="I133" s="1030"/>
      <c r="J133" s="969"/>
      <c r="K133" s="969"/>
      <c r="R133" s="1042"/>
      <c r="S133" s="1042"/>
      <c r="T133" s="1042"/>
      <c r="U133" s="1042"/>
      <c r="V133" s="1042"/>
    </row>
    <row r="134" spans="5:22">
      <c r="E134" s="1301"/>
      <c r="F134" s="1025"/>
      <c r="G134" s="1020"/>
      <c r="H134" s="1020"/>
      <c r="I134" s="1030"/>
      <c r="J134" s="969"/>
      <c r="K134" s="969"/>
      <c r="R134" s="1042"/>
      <c r="S134" s="1042"/>
      <c r="T134" s="1042"/>
      <c r="U134" s="1042"/>
      <c r="V134" s="1042"/>
    </row>
    <row r="135" spans="5:22">
      <c r="E135" s="1301"/>
      <c r="F135" s="1025"/>
      <c r="G135" s="1020"/>
      <c r="H135" s="1020"/>
      <c r="I135" s="1030"/>
      <c r="J135" s="969"/>
      <c r="K135" s="969"/>
      <c r="R135" s="1042"/>
      <c r="S135" s="1042"/>
      <c r="T135" s="1042"/>
      <c r="U135" s="1042"/>
      <c r="V135" s="1042"/>
    </row>
    <row r="136" spans="5:22">
      <c r="E136" s="1301"/>
      <c r="F136" s="1025"/>
      <c r="G136" s="1020"/>
      <c r="H136" s="1020"/>
      <c r="I136" s="1030"/>
      <c r="J136" s="969"/>
      <c r="K136" s="970"/>
      <c r="R136" s="1042"/>
      <c r="S136" s="1042"/>
      <c r="T136" s="1042"/>
      <c r="U136" s="1042"/>
      <c r="V136" s="1042"/>
    </row>
    <row r="137" spans="5:22">
      <c r="E137" s="1301"/>
      <c r="F137" s="1025"/>
      <c r="G137" s="1020"/>
      <c r="H137" s="1020"/>
      <c r="I137" s="1030"/>
      <c r="J137" s="969"/>
      <c r="K137" s="969"/>
      <c r="R137" s="1042"/>
      <c r="S137" s="1042"/>
      <c r="T137" s="1042"/>
      <c r="U137" s="1042"/>
      <c r="V137" s="1042"/>
    </row>
    <row r="138" spans="5:22">
      <c r="E138" s="1301"/>
      <c r="F138" s="1025"/>
      <c r="G138" s="1020"/>
      <c r="H138" s="1020"/>
      <c r="I138" s="1030"/>
      <c r="J138" s="969"/>
      <c r="K138" s="969"/>
      <c r="R138" s="1042"/>
      <c r="S138" s="1042"/>
      <c r="T138" s="1042"/>
      <c r="U138" s="1042"/>
      <c r="V138" s="1042"/>
    </row>
    <row r="139" spans="5:22">
      <c r="E139" s="1301"/>
      <c r="F139" s="1025"/>
      <c r="G139" s="1020"/>
      <c r="H139" s="1020"/>
      <c r="I139" s="1030"/>
      <c r="J139" s="969"/>
      <c r="K139" s="969"/>
      <c r="R139" s="1042"/>
      <c r="S139" s="1042"/>
      <c r="T139" s="1042"/>
      <c r="U139" s="1042"/>
      <c r="V139" s="1042"/>
    </row>
    <row r="140" spans="5:22">
      <c r="E140" s="1301"/>
      <c r="F140" s="1025"/>
      <c r="G140" s="1020"/>
      <c r="H140" s="1020"/>
      <c r="I140" s="1030"/>
      <c r="J140" s="969"/>
      <c r="K140" s="970"/>
      <c r="R140" s="1042"/>
      <c r="S140" s="1042"/>
      <c r="T140" s="1042"/>
      <c r="U140" s="1042"/>
      <c r="V140" s="1042"/>
    </row>
    <row r="141" spans="5:22">
      <c r="E141" s="1301"/>
      <c r="F141" s="1025"/>
      <c r="G141" s="1020"/>
      <c r="H141" s="1020"/>
      <c r="I141" s="1030"/>
      <c r="J141" s="969"/>
      <c r="K141" s="969"/>
      <c r="R141" s="1042"/>
      <c r="S141" s="1042"/>
      <c r="T141" s="1042"/>
      <c r="U141" s="1042"/>
      <c r="V141" s="1042"/>
    </row>
    <row r="142" spans="5:22">
      <c r="E142" s="1301"/>
      <c r="F142" s="1025"/>
      <c r="G142" s="1020"/>
      <c r="H142" s="1020"/>
      <c r="I142" s="1030"/>
      <c r="J142" s="969"/>
      <c r="K142" s="969"/>
      <c r="R142" s="1042"/>
      <c r="S142" s="1042"/>
      <c r="T142" s="1042"/>
      <c r="U142" s="1042"/>
      <c r="V142" s="1042"/>
    </row>
    <row r="143" spans="5:22">
      <c r="E143" s="1301"/>
      <c r="F143" s="1025"/>
      <c r="G143" s="1020"/>
      <c r="H143" s="1020"/>
      <c r="I143" s="1030"/>
      <c r="J143" s="969"/>
      <c r="K143" s="969"/>
      <c r="R143" s="1042"/>
      <c r="S143" s="1042"/>
      <c r="T143" s="1042"/>
      <c r="U143" s="1042"/>
      <c r="V143" s="1042"/>
    </row>
    <row r="144" spans="5:22">
      <c r="E144" s="1301"/>
      <c r="F144" s="1025"/>
      <c r="G144" s="1020"/>
      <c r="H144" s="1020"/>
      <c r="I144" s="1030"/>
      <c r="J144" s="969"/>
      <c r="K144" s="969"/>
      <c r="R144" s="1042"/>
      <c r="S144" s="1042"/>
      <c r="T144" s="1042"/>
      <c r="U144" s="1042"/>
      <c r="V144" s="1042"/>
    </row>
    <row r="145" spans="5:22">
      <c r="E145" s="1301"/>
      <c r="F145" s="1025"/>
      <c r="G145" s="1020"/>
      <c r="H145" s="1020"/>
      <c r="I145" s="1030"/>
      <c r="J145" s="969"/>
      <c r="K145" s="969"/>
      <c r="R145" s="1042"/>
      <c r="S145" s="1042"/>
      <c r="T145" s="1042"/>
      <c r="U145" s="1042"/>
      <c r="V145" s="1042"/>
    </row>
    <row r="146" spans="5:22">
      <c r="E146" s="1301"/>
      <c r="F146" s="1025"/>
      <c r="G146" s="1020"/>
      <c r="H146" s="1020"/>
      <c r="I146" s="1030"/>
      <c r="J146" s="969"/>
      <c r="K146" s="970"/>
      <c r="R146" s="1042"/>
      <c r="S146" s="1042"/>
      <c r="T146" s="1042"/>
      <c r="U146" s="1042"/>
      <c r="V146" s="1042"/>
    </row>
    <row r="147" spans="5:22">
      <c r="E147" s="1301"/>
      <c r="F147" s="1025"/>
      <c r="G147" s="1020"/>
      <c r="H147" s="1020"/>
      <c r="I147" s="1030"/>
      <c r="J147" s="969"/>
      <c r="K147" s="969"/>
      <c r="R147" s="1042"/>
      <c r="S147" s="1042"/>
      <c r="T147" s="1042"/>
      <c r="U147" s="1042"/>
      <c r="V147" s="1042"/>
    </row>
    <row r="148" spans="5:22">
      <c r="E148" s="1301"/>
      <c r="F148" s="1025"/>
      <c r="G148" s="1020"/>
      <c r="H148" s="1020"/>
      <c r="I148" s="1030"/>
      <c r="J148" s="969"/>
      <c r="K148" s="969"/>
      <c r="R148" s="1042"/>
      <c r="S148" s="1042"/>
      <c r="T148" s="1042"/>
      <c r="U148" s="1042"/>
      <c r="V148" s="1042"/>
    </row>
    <row r="149" spans="5:22">
      <c r="E149" s="1301"/>
      <c r="F149" s="1025"/>
      <c r="G149" s="1020"/>
      <c r="H149" s="1020"/>
      <c r="I149" s="1030"/>
      <c r="J149" s="969"/>
      <c r="K149" s="969"/>
      <c r="R149" s="1042"/>
      <c r="S149" s="1042"/>
      <c r="T149" s="1042"/>
      <c r="U149" s="1042"/>
      <c r="V149" s="1042"/>
    </row>
    <row r="150" spans="5:22">
      <c r="E150" s="1301"/>
      <c r="F150" s="1025"/>
      <c r="G150" s="1020"/>
      <c r="H150" s="1020"/>
      <c r="I150" s="1030"/>
      <c r="J150" s="969"/>
      <c r="K150" s="969"/>
      <c r="R150" s="1042"/>
      <c r="S150" s="1042"/>
      <c r="T150" s="1042"/>
      <c r="U150" s="1042"/>
      <c r="V150" s="1042"/>
    </row>
    <row r="151" spans="5:22">
      <c r="E151" s="1301"/>
      <c r="F151" s="1025"/>
      <c r="G151" s="1020"/>
      <c r="H151" s="1020"/>
      <c r="I151" s="1030"/>
      <c r="J151" s="969"/>
      <c r="K151" s="970"/>
      <c r="R151" s="1042"/>
      <c r="S151" s="1042"/>
      <c r="T151" s="1042"/>
      <c r="U151" s="1042"/>
      <c r="V151" s="1042"/>
    </row>
    <row r="152" spans="5:22">
      <c r="E152" s="1301"/>
      <c r="F152" s="1025"/>
      <c r="G152" s="1020"/>
      <c r="H152" s="1020"/>
      <c r="I152" s="1030"/>
      <c r="J152" s="969"/>
      <c r="K152" s="969"/>
      <c r="R152" s="1042"/>
      <c r="S152" s="1042"/>
      <c r="T152" s="1042"/>
      <c r="U152" s="1042"/>
      <c r="V152" s="1042"/>
    </row>
    <row r="153" spans="5:22">
      <c r="E153" s="1301"/>
      <c r="F153" s="1025"/>
      <c r="G153" s="1020"/>
      <c r="H153" s="1020"/>
      <c r="I153" s="1030"/>
      <c r="J153" s="969"/>
      <c r="K153" s="969"/>
      <c r="R153" s="1042"/>
      <c r="S153" s="1042"/>
      <c r="T153" s="1042"/>
      <c r="U153" s="1042"/>
      <c r="V153" s="1042"/>
    </row>
    <row r="154" spans="5:22">
      <c r="E154" s="1301"/>
      <c r="F154" s="1025"/>
      <c r="G154" s="1020"/>
      <c r="H154" s="1020"/>
      <c r="I154" s="1030"/>
      <c r="J154" s="969"/>
      <c r="K154" s="969"/>
      <c r="R154" s="1042"/>
      <c r="S154" s="1042"/>
      <c r="T154" s="1042"/>
      <c r="U154" s="1042"/>
      <c r="V154" s="1042"/>
    </row>
    <row r="155" spans="5:22">
      <c r="E155" s="1301"/>
      <c r="F155" s="1025"/>
      <c r="G155" s="1020"/>
      <c r="H155" s="1020"/>
      <c r="I155" s="1030"/>
      <c r="J155" s="969"/>
      <c r="K155" s="969"/>
      <c r="R155" s="1042"/>
      <c r="S155" s="1042"/>
      <c r="T155" s="1042"/>
      <c r="U155" s="1042"/>
      <c r="V155" s="1042"/>
    </row>
    <row r="156" spans="5:22">
      <c r="E156" s="1301"/>
      <c r="F156" s="1025"/>
      <c r="G156" s="1020"/>
      <c r="H156" s="1020"/>
      <c r="I156" s="1030"/>
      <c r="J156" s="969"/>
      <c r="K156" s="969"/>
      <c r="R156" s="1042"/>
      <c r="S156" s="1042"/>
      <c r="T156" s="1042"/>
      <c r="U156" s="1042"/>
      <c r="V156" s="1042"/>
    </row>
    <row r="157" spans="5:22">
      <c r="E157" s="1301"/>
      <c r="F157" s="1025"/>
      <c r="G157" s="1020"/>
      <c r="H157" s="1020"/>
      <c r="I157" s="1030"/>
      <c r="J157" s="969"/>
      <c r="K157" s="970"/>
      <c r="R157" s="1042"/>
      <c r="S157" s="1042"/>
      <c r="T157" s="1042"/>
      <c r="U157" s="1042"/>
      <c r="V157" s="1042"/>
    </row>
    <row r="158" spans="5:22">
      <c r="E158" s="1301"/>
      <c r="F158" s="1025"/>
      <c r="G158" s="1020"/>
      <c r="H158" s="1020"/>
      <c r="I158" s="1030"/>
      <c r="J158" s="969"/>
      <c r="K158" s="969"/>
      <c r="R158" s="1042"/>
      <c r="S158" s="1042"/>
      <c r="T158" s="1042"/>
      <c r="U158" s="1042"/>
      <c r="V158" s="1042"/>
    </row>
    <row r="159" spans="5:22">
      <c r="E159" s="1301"/>
      <c r="F159" s="1025"/>
      <c r="G159" s="1020"/>
      <c r="H159" s="1020"/>
      <c r="I159" s="1030"/>
      <c r="J159" s="969"/>
      <c r="K159" s="969"/>
      <c r="R159" s="1042"/>
      <c r="S159" s="1042"/>
      <c r="T159" s="1042"/>
      <c r="U159" s="1042"/>
      <c r="V159" s="1042"/>
    </row>
    <row r="160" spans="5:22">
      <c r="E160" s="1301"/>
      <c r="F160" s="1025"/>
      <c r="G160" s="1020"/>
      <c r="H160" s="1020"/>
      <c r="I160" s="1030"/>
      <c r="J160" s="969"/>
      <c r="K160" s="969"/>
      <c r="R160" s="1042"/>
      <c r="S160" s="1042"/>
      <c r="T160" s="1042"/>
      <c r="U160" s="1042"/>
      <c r="V160" s="1042"/>
    </row>
    <row r="161" spans="5:22">
      <c r="E161" s="1301"/>
      <c r="F161" s="1025"/>
      <c r="G161" s="1020"/>
      <c r="H161" s="1020"/>
      <c r="I161" s="1030"/>
      <c r="J161" s="969"/>
      <c r="K161" s="969"/>
      <c r="R161" s="1042"/>
      <c r="S161" s="1042"/>
      <c r="T161" s="1042"/>
      <c r="U161" s="1042"/>
      <c r="V161" s="1042"/>
    </row>
    <row r="162" spans="5:22">
      <c r="E162" s="1301"/>
      <c r="F162" s="1025"/>
      <c r="G162" s="1020"/>
      <c r="H162" s="1020"/>
      <c r="I162" s="1030"/>
      <c r="J162" s="969"/>
      <c r="K162" s="970"/>
      <c r="R162" s="1042"/>
      <c r="S162" s="1042"/>
      <c r="T162" s="1042"/>
      <c r="U162" s="1042"/>
      <c r="V162" s="1042"/>
    </row>
    <row r="163" spans="5:22">
      <c r="E163" s="1301"/>
      <c r="F163" s="1025"/>
      <c r="G163" s="1020"/>
      <c r="H163" s="1020"/>
      <c r="I163" s="1030"/>
      <c r="J163" s="969"/>
      <c r="K163" s="969"/>
      <c r="R163" s="1042"/>
      <c r="S163" s="1042"/>
      <c r="T163" s="1042"/>
      <c r="U163" s="1042"/>
      <c r="V163" s="1042"/>
    </row>
    <row r="164" spans="5:22">
      <c r="E164" s="1301"/>
      <c r="F164" s="1025"/>
      <c r="G164" s="1020"/>
      <c r="H164" s="1020"/>
      <c r="I164" s="1030"/>
      <c r="J164" s="969"/>
      <c r="K164" s="969"/>
      <c r="R164" s="1042"/>
      <c r="S164" s="1042"/>
      <c r="T164" s="1042"/>
      <c r="U164" s="1042"/>
      <c r="V164" s="1042"/>
    </row>
    <row r="165" spans="5:22">
      <c r="E165" s="1301"/>
      <c r="F165" s="1025"/>
      <c r="G165" s="1020"/>
      <c r="H165" s="1020"/>
      <c r="I165" s="1030"/>
      <c r="J165" s="969"/>
      <c r="K165" s="969"/>
      <c r="R165" s="1042"/>
      <c r="S165" s="1042"/>
      <c r="T165" s="1042"/>
      <c r="U165" s="1042"/>
      <c r="V165" s="1042"/>
    </row>
    <row r="166" spans="5:22">
      <c r="E166" s="1301"/>
      <c r="F166" s="1025"/>
      <c r="G166" s="1020"/>
      <c r="H166" s="1020"/>
      <c r="I166" s="1030"/>
      <c r="J166" s="969"/>
      <c r="K166" s="969"/>
      <c r="R166" s="1042"/>
      <c r="S166" s="1042"/>
      <c r="T166" s="1042"/>
      <c r="U166" s="1042"/>
      <c r="V166" s="1042"/>
    </row>
    <row r="167" spans="5:22">
      <c r="E167" s="1301"/>
      <c r="F167" s="1025"/>
      <c r="G167" s="1020"/>
      <c r="H167" s="1020"/>
      <c r="I167" s="1030"/>
      <c r="J167" s="969"/>
      <c r="K167" s="969"/>
      <c r="R167" s="1042"/>
      <c r="S167" s="1042"/>
      <c r="T167" s="1042"/>
      <c r="U167" s="1042"/>
      <c r="V167" s="1042"/>
    </row>
    <row r="168" spans="5:22">
      <c r="E168" s="1301"/>
      <c r="F168" s="1025"/>
      <c r="G168" s="1020"/>
      <c r="H168" s="1020"/>
      <c r="I168" s="1030"/>
      <c r="J168" s="969"/>
      <c r="K168" s="969"/>
      <c r="R168" s="1042"/>
      <c r="S168" s="1042"/>
      <c r="T168" s="1042"/>
      <c r="U168" s="1042"/>
      <c r="V168" s="1042"/>
    </row>
    <row r="169" spans="5:22">
      <c r="E169" s="1301"/>
      <c r="F169" s="1025"/>
      <c r="G169" s="1020"/>
      <c r="H169" s="1020"/>
      <c r="I169" s="1030"/>
      <c r="J169" s="969"/>
      <c r="K169" s="969"/>
      <c r="R169" s="1042"/>
      <c r="S169" s="1042"/>
      <c r="T169" s="1042"/>
      <c r="U169" s="1042"/>
      <c r="V169" s="1042"/>
    </row>
    <row r="170" spans="5:22">
      <c r="E170" s="1301"/>
      <c r="F170" s="1025"/>
      <c r="G170" s="1020"/>
      <c r="H170" s="1020"/>
      <c r="I170" s="1030"/>
      <c r="J170" s="969"/>
      <c r="K170" s="969"/>
      <c r="R170" s="1042"/>
      <c r="S170" s="1042"/>
      <c r="T170" s="1042"/>
      <c r="U170" s="1042"/>
      <c r="V170" s="1042"/>
    </row>
    <row r="171" spans="5:22">
      <c r="E171" s="1301"/>
      <c r="F171" s="1025"/>
      <c r="G171" s="1020"/>
      <c r="H171" s="1020"/>
      <c r="I171" s="1030"/>
      <c r="J171" s="969"/>
      <c r="K171" s="970"/>
      <c r="R171" s="1042"/>
      <c r="S171" s="1042"/>
      <c r="T171" s="1042"/>
      <c r="U171" s="1042"/>
      <c r="V171" s="1042"/>
    </row>
    <row r="172" spans="5:22">
      <c r="E172" s="1301"/>
      <c r="F172" s="1025"/>
      <c r="G172" s="1020"/>
      <c r="H172" s="1020"/>
      <c r="I172" s="1030"/>
      <c r="J172" s="969"/>
      <c r="K172" s="969"/>
      <c r="R172" s="1042"/>
      <c r="S172" s="1042"/>
      <c r="T172" s="1042"/>
      <c r="U172" s="1042"/>
      <c r="V172" s="1042"/>
    </row>
    <row r="173" spans="5:22">
      <c r="E173" s="1301"/>
      <c r="F173" s="1025"/>
      <c r="G173" s="1020"/>
      <c r="H173" s="1020"/>
      <c r="I173" s="1030"/>
      <c r="J173" s="969"/>
      <c r="K173" s="969"/>
      <c r="R173" s="1042"/>
      <c r="S173" s="1042"/>
      <c r="T173" s="1042"/>
      <c r="U173" s="1042"/>
      <c r="V173" s="1042"/>
    </row>
    <row r="174" spans="5:22">
      <c r="E174" s="1301"/>
      <c r="F174" s="1025"/>
      <c r="G174" s="1020"/>
      <c r="H174" s="1020"/>
      <c r="I174" s="1030"/>
      <c r="J174" s="969"/>
      <c r="K174" s="969"/>
      <c r="R174" s="1042"/>
      <c r="S174" s="1042"/>
      <c r="T174" s="1042"/>
      <c r="U174" s="1042"/>
      <c r="V174" s="1042"/>
    </row>
    <row r="175" spans="5:22">
      <c r="E175" s="1301"/>
      <c r="F175" s="1025"/>
      <c r="G175" s="1020"/>
      <c r="H175" s="1020"/>
      <c r="I175" s="1030"/>
      <c r="J175" s="969"/>
      <c r="K175" s="969"/>
      <c r="R175" s="1042"/>
      <c r="S175" s="1042"/>
      <c r="T175" s="1042"/>
      <c r="U175" s="1042"/>
      <c r="V175" s="1042"/>
    </row>
    <row r="176" spans="5:22">
      <c r="E176" s="1301"/>
      <c r="F176" s="1025"/>
      <c r="G176" s="1020"/>
      <c r="H176" s="1020"/>
      <c r="I176" s="1030"/>
      <c r="J176" s="969"/>
      <c r="K176" s="970"/>
      <c r="R176" s="1042"/>
      <c r="S176" s="1042"/>
      <c r="T176" s="1042"/>
      <c r="U176" s="1042"/>
      <c r="V176" s="1042"/>
    </row>
    <row r="177" spans="5:22">
      <c r="E177" s="1301"/>
      <c r="F177" s="1025"/>
      <c r="G177" s="1020"/>
      <c r="H177" s="1020"/>
      <c r="I177" s="1030"/>
      <c r="J177" s="969"/>
      <c r="K177" s="969"/>
      <c r="R177" s="1042"/>
      <c r="S177" s="1042"/>
      <c r="T177" s="1042"/>
      <c r="U177" s="1042"/>
      <c r="V177" s="1042"/>
    </row>
    <row r="178" spans="5:22">
      <c r="E178" s="1301"/>
      <c r="F178" s="1025"/>
      <c r="G178" s="1020"/>
      <c r="H178" s="1020"/>
      <c r="I178" s="1030"/>
      <c r="J178" s="969"/>
      <c r="K178" s="969"/>
      <c r="R178" s="1042"/>
      <c r="S178" s="1042"/>
      <c r="T178" s="1042"/>
      <c r="U178" s="1042"/>
      <c r="V178" s="1042"/>
    </row>
    <row r="179" spans="5:22">
      <c r="E179" s="1301"/>
      <c r="F179" s="1025"/>
      <c r="G179" s="1020"/>
      <c r="H179" s="1020"/>
      <c r="I179" s="1030"/>
      <c r="J179" s="969"/>
      <c r="K179" s="969"/>
      <c r="R179" s="1042"/>
      <c r="S179" s="1042"/>
      <c r="T179" s="1042"/>
      <c r="U179" s="1042"/>
      <c r="V179" s="1042"/>
    </row>
    <row r="180" spans="5:22">
      <c r="E180" s="1301"/>
      <c r="F180" s="1025"/>
      <c r="G180" s="1020"/>
      <c r="H180" s="1020"/>
      <c r="I180" s="1030"/>
      <c r="J180" s="969"/>
      <c r="K180" s="969"/>
      <c r="R180" s="1042"/>
      <c r="S180" s="1042"/>
      <c r="T180" s="1042"/>
      <c r="U180" s="1042"/>
      <c r="V180" s="1042"/>
    </row>
    <row r="181" spans="5:22">
      <c r="E181" s="1301"/>
      <c r="F181" s="1025"/>
      <c r="G181" s="1020"/>
      <c r="H181" s="1020"/>
      <c r="I181" s="1030"/>
      <c r="J181" s="969"/>
      <c r="K181" s="969"/>
      <c r="R181" s="1042"/>
      <c r="S181" s="1042"/>
      <c r="T181" s="1042"/>
      <c r="U181" s="1042"/>
      <c r="V181" s="1042"/>
    </row>
    <row r="182" spans="5:22" ht="25.5" customHeight="1">
      <c r="E182" s="1301"/>
      <c r="F182" s="1025"/>
      <c r="G182" s="1020"/>
      <c r="H182" s="1020"/>
      <c r="I182" s="1030"/>
      <c r="J182" s="969"/>
      <c r="K182" s="969"/>
      <c r="R182" s="1042"/>
      <c r="S182" s="1042"/>
      <c r="T182" s="1042"/>
      <c r="U182" s="1042"/>
      <c r="V182" s="1042"/>
    </row>
    <row r="183" spans="5:22" ht="25.5" customHeight="1">
      <c r="E183" s="1301"/>
      <c r="F183" s="1025"/>
      <c r="G183" s="1020"/>
      <c r="H183" s="1020"/>
      <c r="I183" s="1030"/>
      <c r="J183" s="969"/>
      <c r="K183" s="969"/>
      <c r="R183" s="1042"/>
      <c r="S183" s="1042"/>
      <c r="T183" s="1042"/>
      <c r="U183" s="1042"/>
      <c r="V183" s="1042"/>
    </row>
    <row r="184" spans="5:22" ht="42" customHeight="1">
      <c r="E184" s="1301"/>
      <c r="F184" s="1025"/>
      <c r="G184" s="1020"/>
      <c r="H184" s="1020"/>
      <c r="I184" s="1030"/>
      <c r="J184" s="969"/>
      <c r="K184" s="969"/>
      <c r="R184" s="1042"/>
      <c r="S184" s="1042"/>
      <c r="T184" s="1042"/>
      <c r="U184" s="1042"/>
      <c r="V184" s="1042"/>
    </row>
    <row r="185" spans="5:22" ht="42" customHeight="1">
      <c r="E185" s="1301"/>
      <c r="F185" s="1025"/>
      <c r="G185" s="1020"/>
      <c r="H185" s="1020"/>
      <c r="I185" s="1030"/>
      <c r="J185" s="969"/>
      <c r="K185" s="970"/>
      <c r="R185" s="1042"/>
      <c r="S185" s="1042"/>
      <c r="T185" s="1042"/>
      <c r="U185" s="1042"/>
      <c r="V185" s="1042"/>
    </row>
    <row r="186" spans="5:22" ht="25.5" customHeight="1">
      <c r="E186" s="1301"/>
      <c r="F186" s="1025"/>
      <c r="G186" s="1020"/>
      <c r="H186" s="1020"/>
      <c r="I186" s="1030"/>
      <c r="J186" s="969"/>
      <c r="K186" s="969"/>
      <c r="R186" s="1042"/>
      <c r="S186" s="1042"/>
      <c r="T186" s="1042"/>
      <c r="U186" s="1042"/>
      <c r="V186" s="1042"/>
    </row>
    <row r="187" spans="5:22" ht="25.5" customHeight="1">
      <c r="E187" s="1301"/>
      <c r="F187" s="1025"/>
      <c r="G187" s="1020"/>
      <c r="H187" s="1020"/>
      <c r="I187" s="1030"/>
      <c r="J187" s="969"/>
      <c r="K187" s="969"/>
      <c r="R187" s="1042"/>
      <c r="S187" s="1042"/>
      <c r="T187" s="1042"/>
      <c r="U187" s="1042"/>
      <c r="V187" s="1042"/>
    </row>
    <row r="188" spans="5:22" ht="42" customHeight="1">
      <c r="E188" s="1301"/>
      <c r="F188" s="1025"/>
      <c r="G188" s="1020"/>
      <c r="H188" s="1020"/>
      <c r="I188" s="1030"/>
      <c r="J188" s="969"/>
      <c r="K188" s="969"/>
      <c r="R188" s="1042"/>
      <c r="S188" s="1042"/>
      <c r="T188" s="1042"/>
      <c r="U188" s="1042"/>
      <c r="V188" s="1042"/>
    </row>
    <row r="189" spans="5:22">
      <c r="E189" s="1301"/>
      <c r="F189" s="1025"/>
      <c r="G189" s="1020"/>
      <c r="H189" s="1020"/>
      <c r="I189" s="1030"/>
      <c r="J189" s="969"/>
      <c r="K189" s="969"/>
      <c r="R189" s="1042"/>
      <c r="S189" s="1042"/>
      <c r="T189" s="1042"/>
      <c r="U189" s="1042"/>
      <c r="V189" s="1042"/>
    </row>
    <row r="190" spans="5:22">
      <c r="E190" s="1301"/>
      <c r="F190" s="1025"/>
      <c r="G190" s="1020"/>
      <c r="H190" s="1020"/>
      <c r="I190" s="1030"/>
      <c r="J190" s="969"/>
      <c r="K190" s="970"/>
      <c r="R190" s="1042"/>
      <c r="S190" s="1042"/>
      <c r="T190" s="1042"/>
      <c r="U190" s="1042"/>
      <c r="V190" s="1042"/>
    </row>
    <row r="191" spans="5:22">
      <c r="E191" s="1301"/>
      <c r="F191" s="1025"/>
      <c r="G191" s="1020"/>
      <c r="H191" s="1020"/>
      <c r="I191" s="1030"/>
      <c r="J191" s="969"/>
      <c r="K191" s="969"/>
      <c r="R191" s="1042"/>
      <c r="S191" s="1042"/>
      <c r="T191" s="1042"/>
      <c r="U191" s="1042"/>
      <c r="V191" s="1042"/>
    </row>
    <row r="192" spans="5:22">
      <c r="E192" s="1301"/>
      <c r="F192" s="1025"/>
      <c r="G192" s="1020"/>
      <c r="H192" s="1020"/>
      <c r="I192" s="1030"/>
      <c r="J192" s="969"/>
      <c r="K192" s="969"/>
      <c r="R192" s="1042"/>
      <c r="S192" s="1042"/>
      <c r="T192" s="1042"/>
      <c r="U192" s="1042"/>
      <c r="V192" s="1042"/>
    </row>
    <row r="193" spans="5:22">
      <c r="E193" s="1301"/>
      <c r="F193" s="1025"/>
      <c r="G193" s="1020"/>
      <c r="H193" s="1020"/>
      <c r="I193" s="1030"/>
      <c r="J193" s="969"/>
      <c r="K193" s="969"/>
      <c r="R193" s="1042"/>
      <c r="S193" s="1042"/>
      <c r="T193" s="1042"/>
      <c r="U193" s="1042"/>
      <c r="V193" s="1042"/>
    </row>
    <row r="194" spans="5:22">
      <c r="E194" s="1301"/>
      <c r="F194" s="1025"/>
      <c r="G194" s="1020"/>
      <c r="H194" s="1020"/>
      <c r="I194" s="1030"/>
      <c r="J194" s="969"/>
      <c r="K194" s="969"/>
      <c r="R194" s="1042"/>
      <c r="S194" s="1042"/>
      <c r="T194" s="1042"/>
      <c r="U194" s="1042"/>
      <c r="V194" s="1042"/>
    </row>
    <row r="195" spans="5:22">
      <c r="E195" s="1301"/>
      <c r="F195" s="1025"/>
      <c r="G195" s="1020"/>
      <c r="H195" s="1020"/>
      <c r="I195" s="1030"/>
      <c r="J195" s="969"/>
      <c r="K195" s="969"/>
      <c r="R195" s="1042"/>
      <c r="S195" s="1042"/>
      <c r="T195" s="1042"/>
      <c r="U195" s="1042"/>
      <c r="V195" s="1042"/>
    </row>
    <row r="196" spans="5:22">
      <c r="E196" s="1301"/>
      <c r="F196" s="1025"/>
      <c r="G196" s="1020"/>
      <c r="H196" s="1020"/>
      <c r="I196" s="1030"/>
      <c r="J196" s="969"/>
      <c r="K196" s="969"/>
      <c r="R196" s="1042"/>
      <c r="S196" s="1042"/>
      <c r="T196" s="1042"/>
      <c r="U196" s="1042"/>
      <c r="V196" s="1042"/>
    </row>
    <row r="197" spans="5:22">
      <c r="E197" s="1301"/>
      <c r="F197" s="1025"/>
      <c r="G197" s="1020"/>
      <c r="H197" s="1020"/>
      <c r="I197" s="1030"/>
      <c r="J197" s="969"/>
      <c r="K197" s="969"/>
      <c r="R197" s="1042"/>
      <c r="S197" s="1042"/>
      <c r="T197" s="1042"/>
      <c r="U197" s="1042"/>
      <c r="V197" s="1042"/>
    </row>
    <row r="198" spans="5:22">
      <c r="E198" s="1301"/>
      <c r="F198" s="1025"/>
      <c r="G198" s="1020"/>
      <c r="H198" s="1020"/>
      <c r="I198" s="1030"/>
      <c r="J198" s="969"/>
      <c r="K198" s="969"/>
      <c r="R198" s="1042"/>
      <c r="S198" s="1042"/>
      <c r="T198" s="1042"/>
      <c r="U198" s="1042"/>
      <c r="V198" s="1042"/>
    </row>
    <row r="199" spans="5:22">
      <c r="E199" s="1301"/>
      <c r="F199" s="1025"/>
      <c r="G199" s="1020"/>
      <c r="H199" s="1020"/>
      <c r="I199" s="1030"/>
      <c r="J199" s="969"/>
      <c r="K199" s="970"/>
      <c r="R199" s="1042"/>
      <c r="S199" s="1042"/>
      <c r="T199" s="1042"/>
      <c r="U199" s="1042"/>
      <c r="V199" s="1042"/>
    </row>
    <row r="200" spans="5:22">
      <c r="E200" s="1301"/>
      <c r="F200" s="1025"/>
      <c r="G200" s="1020"/>
      <c r="H200" s="1020"/>
      <c r="I200" s="1030"/>
      <c r="J200" s="969"/>
      <c r="K200" s="969"/>
      <c r="R200" s="1042"/>
      <c r="S200" s="1042"/>
      <c r="T200" s="1042"/>
      <c r="U200" s="1042"/>
      <c r="V200" s="1042"/>
    </row>
    <row r="201" spans="5:22">
      <c r="E201" s="1301"/>
      <c r="F201" s="1025"/>
      <c r="G201" s="1020"/>
      <c r="H201" s="1020"/>
      <c r="I201" s="1030"/>
      <c r="J201" s="969"/>
      <c r="K201" s="969"/>
      <c r="R201" s="1042"/>
      <c r="S201" s="1042"/>
      <c r="T201" s="1042"/>
      <c r="U201" s="1042"/>
      <c r="V201" s="1042"/>
    </row>
    <row r="202" spans="5:22">
      <c r="E202" s="1301"/>
      <c r="F202" s="1025"/>
      <c r="G202" s="1020"/>
      <c r="H202" s="1020"/>
      <c r="I202" s="1030"/>
      <c r="J202" s="969"/>
      <c r="K202" s="969"/>
      <c r="R202" s="1042"/>
      <c r="S202" s="1042"/>
      <c r="T202" s="1042"/>
      <c r="U202" s="1042"/>
      <c r="V202" s="1042"/>
    </row>
    <row r="203" spans="5:22">
      <c r="E203" s="1301"/>
      <c r="F203" s="1025"/>
      <c r="G203" s="1020"/>
      <c r="H203" s="1020"/>
      <c r="I203" s="1030"/>
      <c r="J203" s="969"/>
      <c r="K203" s="969"/>
      <c r="R203" s="1042"/>
      <c r="S203" s="1042"/>
      <c r="T203" s="1042"/>
      <c r="U203" s="1042"/>
      <c r="V203" s="1042"/>
    </row>
    <row r="204" spans="5:22">
      <c r="E204" s="1301"/>
      <c r="F204" s="1025"/>
      <c r="G204" s="1020"/>
      <c r="H204" s="1020"/>
      <c r="I204" s="1030"/>
      <c r="J204" s="969"/>
      <c r="K204" s="970"/>
      <c r="R204" s="1042"/>
      <c r="S204" s="1042"/>
      <c r="T204" s="1042"/>
      <c r="U204" s="1042"/>
      <c r="V204" s="1042"/>
    </row>
    <row r="205" spans="5:22">
      <c r="E205" s="1301"/>
      <c r="F205" s="1025"/>
      <c r="G205" s="1020"/>
      <c r="H205" s="1020"/>
      <c r="I205" s="1030"/>
      <c r="J205" s="969"/>
      <c r="K205" s="969"/>
      <c r="R205" s="1042"/>
      <c r="S205" s="1042"/>
      <c r="T205" s="1042"/>
      <c r="U205" s="1042"/>
      <c r="V205" s="1042"/>
    </row>
    <row r="206" spans="5:22">
      <c r="E206" s="1301"/>
      <c r="F206" s="1025"/>
      <c r="G206" s="1020"/>
      <c r="H206" s="1020"/>
      <c r="I206" s="1030"/>
      <c r="J206" s="969"/>
      <c r="K206" s="969"/>
      <c r="R206" s="1042"/>
      <c r="S206" s="1042"/>
      <c r="T206" s="1042"/>
      <c r="U206" s="1042"/>
      <c r="V206" s="1042"/>
    </row>
    <row r="207" spans="5:22">
      <c r="E207" s="1301"/>
      <c r="F207" s="1025"/>
      <c r="G207" s="1020"/>
      <c r="H207" s="1020"/>
      <c r="I207" s="1030"/>
      <c r="J207" s="969"/>
      <c r="K207" s="969"/>
      <c r="R207" s="1042"/>
      <c r="S207" s="1042"/>
      <c r="T207" s="1042"/>
      <c r="U207" s="1042"/>
      <c r="V207" s="1042"/>
    </row>
    <row r="208" spans="5:22">
      <c r="E208" s="1301"/>
      <c r="F208" s="1025"/>
      <c r="G208" s="1020"/>
      <c r="H208" s="1020"/>
      <c r="I208" s="1030"/>
      <c r="J208" s="969"/>
      <c r="K208" s="969"/>
      <c r="R208" s="1042"/>
      <c r="S208" s="1042"/>
      <c r="T208" s="1042"/>
      <c r="U208" s="1042"/>
      <c r="V208" s="1042"/>
    </row>
    <row r="209" spans="5:22">
      <c r="E209" s="1301"/>
      <c r="F209" s="1025"/>
      <c r="G209" s="1020"/>
      <c r="H209" s="1020"/>
      <c r="I209" s="1030"/>
      <c r="J209" s="969"/>
      <c r="K209" s="969"/>
      <c r="R209" s="1042"/>
      <c r="S209" s="1042"/>
      <c r="T209" s="1042"/>
      <c r="U209" s="1042"/>
      <c r="V209" s="1042"/>
    </row>
    <row r="210" spans="5:22">
      <c r="E210" s="1301"/>
      <c r="F210" s="1025"/>
      <c r="G210" s="1020"/>
      <c r="H210" s="1020"/>
      <c r="I210" s="1030"/>
      <c r="J210" s="969"/>
      <c r="K210" s="969"/>
      <c r="R210" s="1042"/>
      <c r="S210" s="1042"/>
      <c r="T210" s="1042"/>
      <c r="U210" s="1042"/>
      <c r="V210" s="1042"/>
    </row>
    <row r="211" spans="5:22">
      <c r="E211" s="1301"/>
      <c r="F211" s="1025"/>
      <c r="G211" s="1020"/>
      <c r="H211" s="1020"/>
      <c r="I211" s="1030"/>
      <c r="J211" s="969"/>
      <c r="K211" s="969"/>
      <c r="R211" s="1042"/>
      <c r="S211" s="1042"/>
      <c r="T211" s="1042"/>
      <c r="U211" s="1042"/>
      <c r="V211" s="1042"/>
    </row>
    <row r="212" spans="5:22">
      <c r="E212" s="1301"/>
      <c r="F212" s="1025"/>
      <c r="G212" s="1020"/>
      <c r="H212" s="1020"/>
      <c r="I212" s="1030"/>
      <c r="J212" s="969"/>
      <c r="K212" s="969"/>
      <c r="R212" s="1042"/>
      <c r="S212" s="1042"/>
      <c r="T212" s="1042"/>
      <c r="U212" s="1042"/>
      <c r="V212" s="1042"/>
    </row>
    <row r="213" spans="5:22">
      <c r="E213" s="1301"/>
      <c r="F213" s="1025"/>
      <c r="G213" s="1020"/>
      <c r="H213" s="1020"/>
      <c r="I213" s="1030"/>
      <c r="J213" s="969"/>
      <c r="K213" s="970"/>
      <c r="R213" s="1042"/>
      <c r="S213" s="1042"/>
      <c r="T213" s="1042"/>
      <c r="U213" s="1042"/>
      <c r="V213" s="1042"/>
    </row>
    <row r="214" spans="5:22">
      <c r="E214" s="1301"/>
      <c r="F214" s="1025"/>
      <c r="G214" s="1020"/>
      <c r="H214" s="1020"/>
      <c r="I214" s="1030"/>
      <c r="J214" s="969"/>
      <c r="K214" s="969"/>
      <c r="R214" s="1042"/>
      <c r="S214" s="1042"/>
      <c r="T214" s="1042"/>
      <c r="U214" s="1042"/>
      <c r="V214" s="1042"/>
    </row>
    <row r="215" spans="5:22">
      <c r="E215" s="1301"/>
      <c r="F215" s="1025"/>
      <c r="G215" s="1020"/>
      <c r="H215" s="1020"/>
      <c r="I215" s="1030"/>
      <c r="J215" s="969"/>
      <c r="K215" s="969"/>
      <c r="R215" s="1042"/>
      <c r="S215" s="1042"/>
      <c r="T215" s="1042"/>
      <c r="U215" s="1042"/>
      <c r="V215" s="1042"/>
    </row>
    <row r="216" spans="5:22">
      <c r="E216" s="1301"/>
      <c r="F216" s="1025"/>
      <c r="G216" s="1020"/>
      <c r="H216" s="1020"/>
      <c r="I216" s="1030"/>
      <c r="J216" s="969"/>
      <c r="K216" s="969"/>
      <c r="R216" s="1042"/>
      <c r="S216" s="1042"/>
      <c r="T216" s="1042"/>
      <c r="U216" s="1042"/>
      <c r="V216" s="1042"/>
    </row>
    <row r="217" spans="5:22">
      <c r="E217" s="1301"/>
      <c r="F217" s="1025"/>
      <c r="G217" s="1020"/>
      <c r="H217" s="1020"/>
      <c r="I217" s="1030"/>
      <c r="J217" s="969"/>
      <c r="K217" s="969"/>
      <c r="R217" s="1042"/>
      <c r="S217" s="1042"/>
      <c r="T217" s="1042"/>
      <c r="U217" s="1042"/>
      <c r="V217" s="1042"/>
    </row>
    <row r="218" spans="5:22">
      <c r="E218" s="1301"/>
      <c r="F218" s="1025"/>
      <c r="G218" s="1020"/>
      <c r="H218" s="1020"/>
      <c r="I218" s="1030"/>
      <c r="J218" s="969"/>
      <c r="K218" s="970"/>
      <c r="R218" s="1042"/>
      <c r="S218" s="1042"/>
      <c r="T218" s="1042"/>
      <c r="U218" s="1042"/>
      <c r="V218" s="1042"/>
    </row>
    <row r="219" spans="5:22">
      <c r="E219" s="1301"/>
      <c r="F219" s="1025"/>
      <c r="G219" s="1020"/>
      <c r="H219" s="1020"/>
      <c r="I219" s="1030"/>
      <c r="J219" s="969"/>
      <c r="K219" s="969"/>
      <c r="R219" s="1042"/>
      <c r="S219" s="1042"/>
      <c r="T219" s="1042"/>
      <c r="U219" s="1042"/>
      <c r="V219" s="1042"/>
    </row>
    <row r="220" spans="5:22">
      <c r="E220" s="1301"/>
      <c r="F220" s="1025"/>
      <c r="G220" s="1020"/>
      <c r="H220" s="1020"/>
      <c r="I220" s="1030"/>
      <c r="J220" s="969"/>
      <c r="K220" s="969"/>
      <c r="R220" s="1042"/>
      <c r="S220" s="1042"/>
      <c r="T220" s="1042"/>
      <c r="U220" s="1042"/>
      <c r="V220" s="1042"/>
    </row>
    <row r="221" spans="5:22">
      <c r="E221" s="1301"/>
      <c r="F221" s="1025"/>
      <c r="G221" s="1020"/>
      <c r="H221" s="1020"/>
      <c r="I221" s="1030"/>
      <c r="J221" s="969"/>
      <c r="K221" s="969"/>
      <c r="R221" s="1042"/>
      <c r="S221" s="1042"/>
      <c r="T221" s="1042"/>
      <c r="U221" s="1042"/>
      <c r="V221" s="1042"/>
    </row>
    <row r="222" spans="5:22">
      <c r="E222" s="1301"/>
      <c r="F222" s="1025"/>
      <c r="G222" s="1020"/>
      <c r="H222" s="1020"/>
      <c r="I222" s="1030"/>
      <c r="J222" s="969"/>
      <c r="K222" s="969"/>
      <c r="R222" s="1042"/>
      <c r="S222" s="1042"/>
      <c r="T222" s="1042"/>
      <c r="U222" s="1042"/>
      <c r="V222" s="1042"/>
    </row>
    <row r="223" spans="5:22">
      <c r="E223" s="1301"/>
      <c r="F223" s="1025"/>
      <c r="G223" s="1020"/>
      <c r="H223" s="1020"/>
      <c r="I223" s="1030"/>
      <c r="J223" s="969"/>
      <c r="K223" s="970"/>
      <c r="R223" s="1042"/>
      <c r="S223" s="1042"/>
      <c r="T223" s="1042"/>
      <c r="U223" s="1042"/>
      <c r="V223" s="1042"/>
    </row>
    <row r="224" spans="5:22">
      <c r="E224" s="1301"/>
      <c r="F224" s="1025"/>
      <c r="G224" s="1020"/>
      <c r="H224" s="1020"/>
      <c r="I224" s="1030"/>
      <c r="J224" s="969"/>
      <c r="K224" s="969"/>
      <c r="R224" s="1042"/>
      <c r="S224" s="1042"/>
      <c r="T224" s="1042"/>
      <c r="U224" s="1042"/>
      <c r="V224" s="1042"/>
    </row>
    <row r="225" spans="5:22">
      <c r="E225" s="1301"/>
      <c r="F225" s="1025"/>
      <c r="G225" s="1020"/>
      <c r="H225" s="1020"/>
      <c r="I225" s="1030"/>
      <c r="J225" s="969"/>
      <c r="K225" s="969"/>
      <c r="R225" s="1042"/>
      <c r="S225" s="1042"/>
      <c r="T225" s="1042"/>
      <c r="U225" s="1042"/>
      <c r="V225" s="1042"/>
    </row>
    <row r="226" spans="5:22">
      <c r="E226" s="1301"/>
      <c r="F226" s="1025"/>
      <c r="G226" s="1020"/>
      <c r="H226" s="1020"/>
      <c r="I226" s="1030"/>
      <c r="J226" s="969"/>
      <c r="K226" s="969"/>
      <c r="R226" s="1042"/>
      <c r="S226" s="1042"/>
      <c r="T226" s="1042"/>
      <c r="U226" s="1042"/>
      <c r="V226" s="1042"/>
    </row>
    <row r="227" spans="5:22">
      <c r="E227" s="1301"/>
      <c r="F227" s="1025"/>
      <c r="G227" s="1020"/>
      <c r="H227" s="1020"/>
      <c r="I227" s="1030"/>
      <c r="J227" s="969"/>
      <c r="K227" s="969"/>
      <c r="R227" s="1042"/>
      <c r="S227" s="1042"/>
      <c r="T227" s="1042"/>
      <c r="U227" s="1042"/>
      <c r="V227" s="1042"/>
    </row>
    <row r="228" spans="5:22">
      <c r="E228" s="1301"/>
      <c r="F228" s="1025"/>
      <c r="G228" s="1020"/>
      <c r="H228" s="1020"/>
      <c r="I228" s="1030"/>
      <c r="J228" s="969"/>
      <c r="K228" s="969"/>
      <c r="R228" s="1042"/>
      <c r="S228" s="1042"/>
      <c r="T228" s="1042"/>
      <c r="U228" s="1042"/>
      <c r="V228" s="1042"/>
    </row>
    <row r="229" spans="5:22">
      <c r="E229" s="1301"/>
      <c r="F229" s="1025"/>
      <c r="G229" s="1020"/>
      <c r="H229" s="1020"/>
      <c r="I229" s="1030"/>
      <c r="J229" s="969"/>
      <c r="K229" s="969"/>
      <c r="R229" s="1042"/>
      <c r="S229" s="1042"/>
      <c r="T229" s="1042"/>
      <c r="U229" s="1042"/>
      <c r="V229" s="1042"/>
    </row>
    <row r="230" spans="5:22">
      <c r="E230" s="1301"/>
      <c r="F230" s="1025"/>
      <c r="G230" s="1020"/>
      <c r="H230" s="1020"/>
      <c r="I230" s="1030"/>
      <c r="J230" s="969"/>
      <c r="K230" s="969"/>
      <c r="R230" s="1042"/>
      <c r="S230" s="1042"/>
      <c r="T230" s="1042"/>
      <c r="U230" s="1042"/>
      <c r="V230" s="1042"/>
    </row>
    <row r="231" spans="5:22">
      <c r="E231" s="1301"/>
      <c r="F231" s="1025"/>
      <c r="G231" s="1020"/>
      <c r="H231" s="1020"/>
      <c r="I231" s="1030"/>
      <c r="J231" s="969"/>
      <c r="K231" s="969"/>
      <c r="R231" s="1042"/>
      <c r="S231" s="1042"/>
      <c r="T231" s="1042"/>
      <c r="U231" s="1042"/>
      <c r="V231" s="1042"/>
    </row>
    <row r="232" spans="5:22">
      <c r="E232" s="1301"/>
      <c r="F232" s="1025"/>
      <c r="G232" s="1020"/>
      <c r="H232" s="1020"/>
      <c r="I232" s="1030"/>
      <c r="J232" s="969"/>
      <c r="K232" s="970"/>
      <c r="R232" s="1042"/>
      <c r="S232" s="1042"/>
      <c r="T232" s="1042"/>
      <c r="U232" s="1042"/>
      <c r="V232" s="1042"/>
    </row>
    <row r="233" spans="5:22">
      <c r="E233" s="1301"/>
      <c r="F233" s="1025"/>
      <c r="G233" s="1020"/>
      <c r="H233" s="1020"/>
      <c r="I233" s="1030"/>
      <c r="J233" s="969"/>
      <c r="K233" s="969"/>
      <c r="R233" s="1042"/>
      <c r="S233" s="1042"/>
      <c r="T233" s="1042"/>
      <c r="U233" s="1042"/>
      <c r="V233" s="1042"/>
    </row>
    <row r="234" spans="5:22">
      <c r="E234" s="1301"/>
      <c r="F234" s="1025"/>
      <c r="G234" s="1020"/>
      <c r="H234" s="1020"/>
      <c r="I234" s="1030"/>
      <c r="J234" s="969"/>
      <c r="K234" s="969"/>
      <c r="R234" s="1042"/>
      <c r="S234" s="1042"/>
      <c r="T234" s="1042"/>
      <c r="U234" s="1042"/>
      <c r="V234" s="1042"/>
    </row>
    <row r="235" spans="5:22">
      <c r="E235" s="1301"/>
      <c r="F235" s="1025"/>
      <c r="G235" s="1020"/>
      <c r="H235" s="1020"/>
      <c r="I235" s="1030"/>
      <c r="J235" s="969"/>
      <c r="K235" s="969"/>
      <c r="R235" s="1042"/>
      <c r="S235" s="1042"/>
      <c r="T235" s="1042"/>
      <c r="U235" s="1042"/>
      <c r="V235" s="1042"/>
    </row>
    <row r="236" spans="5:22">
      <c r="E236" s="1301"/>
      <c r="F236" s="1025"/>
      <c r="G236" s="1020"/>
      <c r="H236" s="1020"/>
      <c r="I236" s="1030"/>
      <c r="J236" s="969"/>
      <c r="K236" s="970"/>
      <c r="R236" s="1042"/>
      <c r="S236" s="1042"/>
      <c r="T236" s="1042"/>
      <c r="U236" s="1042"/>
      <c r="V236" s="1042"/>
    </row>
    <row r="237" spans="5:22">
      <c r="E237" s="1301"/>
      <c r="F237" s="1025"/>
      <c r="G237" s="1020"/>
      <c r="H237" s="1020"/>
      <c r="I237" s="1030"/>
      <c r="J237" s="969"/>
      <c r="K237" s="969"/>
      <c r="R237" s="1042"/>
      <c r="S237" s="1042"/>
      <c r="T237" s="1042"/>
      <c r="U237" s="1042"/>
      <c r="V237" s="1042"/>
    </row>
    <row r="238" spans="5:22">
      <c r="E238" s="1301"/>
      <c r="F238" s="1025"/>
      <c r="G238" s="1020"/>
      <c r="H238" s="1020"/>
      <c r="I238" s="1030"/>
      <c r="J238" s="969"/>
      <c r="K238" s="969"/>
      <c r="R238" s="1042"/>
      <c r="S238" s="1042"/>
      <c r="T238" s="1042"/>
      <c r="U238" s="1042"/>
      <c r="V238" s="1042"/>
    </row>
    <row r="239" spans="5:22">
      <c r="E239" s="1301"/>
      <c r="F239" s="1025"/>
      <c r="G239" s="1020"/>
      <c r="H239" s="1020"/>
      <c r="I239" s="1030"/>
      <c r="J239" s="969"/>
      <c r="K239" s="969"/>
      <c r="R239" s="1042"/>
      <c r="S239" s="1042"/>
      <c r="T239" s="1042"/>
      <c r="U239" s="1042"/>
      <c r="V239" s="1042"/>
    </row>
    <row r="240" spans="5:22">
      <c r="E240" s="1301"/>
      <c r="F240" s="1025"/>
      <c r="G240" s="1020"/>
      <c r="H240" s="1020"/>
      <c r="I240" s="1030"/>
      <c r="J240" s="969"/>
      <c r="K240" s="969"/>
      <c r="R240" s="1042"/>
      <c r="S240" s="1042"/>
      <c r="T240" s="1042"/>
      <c r="U240" s="1042"/>
      <c r="V240" s="1042"/>
    </row>
    <row r="241" spans="5:22">
      <c r="E241" s="1301"/>
      <c r="F241" s="1025"/>
      <c r="G241" s="1020"/>
      <c r="H241" s="1020"/>
      <c r="I241" s="1030"/>
      <c r="J241" s="969"/>
      <c r="K241" s="969"/>
      <c r="R241" s="1042"/>
      <c r="S241" s="1042"/>
      <c r="T241" s="1042"/>
      <c r="U241" s="1042"/>
      <c r="V241" s="1042"/>
    </row>
    <row r="242" spans="5:22">
      <c r="E242" s="1301"/>
      <c r="F242" s="1025"/>
      <c r="G242" s="1020"/>
      <c r="H242" s="1020"/>
      <c r="I242" s="1030"/>
      <c r="J242" s="969"/>
      <c r="K242" s="970"/>
      <c r="R242" s="1042"/>
      <c r="S242" s="1042"/>
      <c r="T242" s="1042"/>
      <c r="U242" s="1042"/>
      <c r="V242" s="1042"/>
    </row>
    <row r="243" spans="5:22">
      <c r="E243" s="1301"/>
      <c r="F243" s="1025"/>
      <c r="G243" s="1020"/>
      <c r="H243" s="1020"/>
      <c r="I243" s="1030"/>
      <c r="J243" s="969"/>
      <c r="K243" s="969"/>
      <c r="R243" s="1042"/>
      <c r="S243" s="1042"/>
      <c r="T243" s="1042"/>
      <c r="U243" s="1042"/>
      <c r="V243" s="1042"/>
    </row>
    <row r="244" spans="5:22">
      <c r="E244" s="1301"/>
      <c r="F244" s="1025"/>
      <c r="G244" s="1020"/>
      <c r="H244" s="1020"/>
      <c r="I244" s="1030"/>
      <c r="J244" s="969"/>
      <c r="K244" s="969"/>
      <c r="R244" s="1042"/>
      <c r="S244" s="1042"/>
      <c r="T244" s="1042"/>
      <c r="U244" s="1042"/>
      <c r="V244" s="1042"/>
    </row>
    <row r="245" spans="5:22">
      <c r="E245" s="1301"/>
      <c r="F245" s="1025"/>
      <c r="G245" s="1020"/>
      <c r="H245" s="1020"/>
      <c r="I245" s="1030"/>
      <c r="J245" s="969"/>
      <c r="K245" s="969"/>
      <c r="R245" s="1042"/>
      <c r="S245" s="1042"/>
      <c r="T245" s="1042"/>
      <c r="U245" s="1042"/>
      <c r="V245" s="1042"/>
    </row>
    <row r="246" spans="5:22">
      <c r="E246" s="1301"/>
      <c r="F246" s="1025"/>
      <c r="G246" s="1020"/>
      <c r="H246" s="1020"/>
      <c r="I246" s="1030"/>
      <c r="J246" s="969"/>
      <c r="K246" s="970"/>
      <c r="R246" s="1042"/>
      <c r="S246" s="1042"/>
      <c r="T246" s="1042"/>
      <c r="U246" s="1042"/>
      <c r="V246" s="1042"/>
    </row>
    <row r="247" spans="5:22">
      <c r="E247" s="1301"/>
      <c r="F247" s="1025"/>
      <c r="G247" s="1020"/>
      <c r="H247" s="1020"/>
      <c r="I247" s="1030"/>
      <c r="J247" s="969"/>
      <c r="K247" s="969"/>
      <c r="R247" s="1042"/>
      <c r="S247" s="1042"/>
      <c r="T247" s="1042"/>
      <c r="U247" s="1042"/>
      <c r="V247" s="1042"/>
    </row>
    <row r="248" spans="5:22">
      <c r="E248" s="1301"/>
      <c r="F248" s="1025"/>
      <c r="G248" s="1020"/>
      <c r="H248" s="1020"/>
      <c r="I248" s="1030"/>
      <c r="J248" s="969"/>
      <c r="K248" s="969"/>
      <c r="R248" s="1042"/>
      <c r="S248" s="1042"/>
      <c r="T248" s="1042"/>
      <c r="U248" s="1042"/>
      <c r="V248" s="1042"/>
    </row>
    <row r="249" spans="5:22">
      <c r="E249" s="1301"/>
      <c r="F249" s="1025"/>
      <c r="G249" s="1020"/>
      <c r="H249" s="1020"/>
      <c r="I249" s="1030"/>
      <c r="J249" s="969"/>
      <c r="K249" s="969"/>
      <c r="R249" s="1042"/>
      <c r="S249" s="1042"/>
      <c r="T249" s="1042"/>
      <c r="U249" s="1042"/>
      <c r="V249" s="1042"/>
    </row>
    <row r="250" spans="5:22">
      <c r="E250" s="1301"/>
      <c r="F250" s="1025"/>
      <c r="G250" s="1020"/>
      <c r="H250" s="1020"/>
      <c r="I250" s="1030"/>
      <c r="J250" s="969"/>
      <c r="K250" s="969"/>
      <c r="R250" s="1042"/>
      <c r="S250" s="1042"/>
      <c r="T250" s="1042"/>
      <c r="U250" s="1042"/>
      <c r="V250" s="1042"/>
    </row>
    <row r="251" spans="5:22">
      <c r="E251" s="1301"/>
      <c r="F251" s="1025"/>
      <c r="G251" s="1020"/>
      <c r="H251" s="1020"/>
      <c r="I251" s="1030"/>
      <c r="J251" s="969"/>
      <c r="K251" s="969"/>
      <c r="R251" s="1042"/>
      <c r="S251" s="1042"/>
      <c r="T251" s="1042"/>
      <c r="U251" s="1042"/>
      <c r="V251" s="1042"/>
    </row>
    <row r="252" spans="5:22">
      <c r="E252" s="1301"/>
      <c r="F252" s="1025"/>
      <c r="G252" s="1020"/>
      <c r="H252" s="1020"/>
      <c r="I252" s="1030"/>
      <c r="J252" s="969"/>
      <c r="K252" s="969"/>
      <c r="R252" s="1042"/>
      <c r="S252" s="1042"/>
      <c r="T252" s="1042"/>
      <c r="U252" s="1042"/>
      <c r="V252" s="1042"/>
    </row>
    <row r="253" spans="5:22">
      <c r="E253" s="1301"/>
      <c r="F253" s="1025"/>
      <c r="G253" s="1020"/>
      <c r="H253" s="1020"/>
      <c r="I253" s="1030"/>
      <c r="J253" s="969"/>
      <c r="K253" s="969"/>
      <c r="R253" s="1042"/>
      <c r="S253" s="1042"/>
      <c r="T253" s="1042"/>
      <c r="U253" s="1042"/>
      <c r="V253" s="1042"/>
    </row>
    <row r="254" spans="5:22">
      <c r="E254" s="1301"/>
      <c r="F254" s="1025"/>
      <c r="G254" s="1020"/>
      <c r="H254" s="1020"/>
      <c r="I254" s="1030"/>
      <c r="J254" s="969"/>
      <c r="K254" s="969"/>
      <c r="R254" s="1042"/>
      <c r="S254" s="1042"/>
      <c r="T254" s="1042"/>
      <c r="U254" s="1042"/>
      <c r="V254" s="1042"/>
    </row>
    <row r="255" spans="5:22">
      <c r="E255" s="1301"/>
      <c r="F255" s="1025"/>
      <c r="G255" s="1020"/>
      <c r="H255" s="1020"/>
      <c r="I255" s="1030"/>
      <c r="J255" s="969"/>
      <c r="K255" s="970"/>
      <c r="R255" s="1042"/>
      <c r="S255" s="1042"/>
      <c r="T255" s="1042"/>
      <c r="U255" s="1042"/>
      <c r="V255" s="1042"/>
    </row>
    <row r="256" spans="5:22">
      <c r="E256" s="1301"/>
      <c r="F256" s="1025"/>
      <c r="G256" s="1020"/>
      <c r="H256" s="1020"/>
      <c r="I256" s="1030"/>
      <c r="J256" s="969"/>
      <c r="K256" s="969"/>
      <c r="R256" s="1042"/>
      <c r="S256" s="1042"/>
      <c r="T256" s="1042"/>
      <c r="U256" s="1042"/>
      <c r="V256" s="1042"/>
    </row>
    <row r="257" spans="5:22">
      <c r="E257" s="1301"/>
      <c r="F257" s="1025"/>
      <c r="G257" s="1020"/>
      <c r="H257" s="1020"/>
      <c r="I257" s="1030"/>
      <c r="J257" s="969"/>
      <c r="K257" s="969"/>
      <c r="R257" s="1042"/>
      <c r="S257" s="1042"/>
      <c r="T257" s="1042"/>
      <c r="U257" s="1042"/>
      <c r="V257" s="1042"/>
    </row>
    <row r="258" spans="5:22">
      <c r="E258" s="1301"/>
      <c r="F258" s="1025"/>
      <c r="G258" s="1020"/>
      <c r="H258" s="1020"/>
      <c r="I258" s="1030"/>
      <c r="J258" s="969"/>
      <c r="K258" s="969"/>
      <c r="R258" s="1042"/>
      <c r="S258" s="1042"/>
      <c r="T258" s="1042"/>
      <c r="U258" s="1042"/>
      <c r="V258" s="1042"/>
    </row>
    <row r="259" spans="5:22">
      <c r="E259" s="1301"/>
      <c r="F259" s="1025"/>
      <c r="G259" s="1020"/>
      <c r="H259" s="1020"/>
      <c r="I259" s="1030"/>
      <c r="J259" s="969"/>
      <c r="K259" s="970"/>
      <c r="R259" s="1042"/>
      <c r="S259" s="1042"/>
      <c r="T259" s="1042"/>
      <c r="U259" s="1042"/>
      <c r="V259" s="1042"/>
    </row>
    <row r="260" spans="5:22">
      <c r="E260" s="1301"/>
      <c r="F260" s="1025"/>
      <c r="G260" s="1020"/>
      <c r="H260" s="1020"/>
      <c r="I260" s="1030"/>
      <c r="J260" s="969"/>
      <c r="K260" s="969"/>
      <c r="R260" s="1042"/>
      <c r="S260" s="1042"/>
      <c r="T260" s="1042"/>
      <c r="U260" s="1042"/>
      <c r="V260" s="1042"/>
    </row>
    <row r="261" spans="5:22">
      <c r="E261" s="1301"/>
      <c r="F261" s="1025"/>
      <c r="G261" s="1020"/>
      <c r="H261" s="1020"/>
      <c r="I261" s="1030"/>
      <c r="J261" s="969"/>
      <c r="K261" s="969"/>
      <c r="R261" s="1042"/>
      <c r="S261" s="1042"/>
      <c r="T261" s="1042"/>
      <c r="U261" s="1042"/>
      <c r="V261" s="1042"/>
    </row>
    <row r="262" spans="5:22">
      <c r="E262" s="1301"/>
      <c r="F262" s="1025"/>
      <c r="G262" s="1020"/>
      <c r="H262" s="1020"/>
      <c r="I262" s="1030"/>
      <c r="J262" s="969"/>
      <c r="K262" s="969"/>
      <c r="R262" s="1042"/>
      <c r="S262" s="1042"/>
      <c r="T262" s="1042"/>
      <c r="U262" s="1042"/>
      <c r="V262" s="1042"/>
    </row>
    <row r="263" spans="5:22">
      <c r="E263" s="1301"/>
      <c r="F263" s="1025"/>
      <c r="G263" s="1020"/>
      <c r="H263" s="1020"/>
      <c r="I263" s="1030"/>
      <c r="J263" s="969"/>
      <c r="K263" s="970"/>
      <c r="R263" s="1042"/>
      <c r="S263" s="1042"/>
      <c r="T263" s="1042"/>
      <c r="U263" s="1042"/>
      <c r="V263" s="1042"/>
    </row>
    <row r="264" spans="5:22">
      <c r="E264" s="1301"/>
      <c r="F264" s="1025"/>
      <c r="G264" s="1020"/>
      <c r="H264" s="1020"/>
      <c r="I264" s="1030"/>
      <c r="J264" s="969"/>
      <c r="K264" s="969"/>
      <c r="R264" s="1042"/>
      <c r="S264" s="1042"/>
      <c r="T264" s="1042"/>
      <c r="U264" s="1042"/>
      <c r="V264" s="1042"/>
    </row>
    <row r="265" spans="5:22">
      <c r="E265" s="1301"/>
      <c r="F265" s="1025"/>
      <c r="G265" s="1020"/>
      <c r="H265" s="1020"/>
      <c r="I265" s="1030"/>
      <c r="J265" s="969"/>
      <c r="K265" s="969"/>
      <c r="R265" s="1042"/>
      <c r="S265" s="1042"/>
      <c r="T265" s="1042"/>
      <c r="U265" s="1042"/>
      <c r="V265" s="1042"/>
    </row>
    <row r="266" spans="5:22">
      <c r="E266" s="1301"/>
      <c r="F266" s="1025"/>
      <c r="G266" s="1020"/>
      <c r="H266" s="1020"/>
      <c r="I266" s="1030"/>
      <c r="J266" s="969"/>
      <c r="K266" s="969"/>
      <c r="R266" s="1042"/>
      <c r="S266" s="1042"/>
      <c r="T266" s="1042"/>
      <c r="U266" s="1042"/>
      <c r="V266" s="1042"/>
    </row>
    <row r="267" spans="5:22">
      <c r="E267" s="1301"/>
      <c r="F267" s="1025"/>
      <c r="G267" s="1020"/>
      <c r="H267" s="1020"/>
      <c r="I267" s="1030"/>
      <c r="J267" s="969"/>
      <c r="K267" s="970"/>
      <c r="R267" s="1042"/>
      <c r="S267" s="1042"/>
      <c r="T267" s="1042"/>
      <c r="U267" s="1042"/>
      <c r="V267" s="1042"/>
    </row>
    <row r="268" spans="5:22">
      <c r="E268" s="1301"/>
      <c r="F268" s="1025"/>
      <c r="G268" s="1020"/>
      <c r="H268" s="1020"/>
      <c r="I268" s="1030"/>
      <c r="J268" s="969"/>
      <c r="K268" s="969"/>
      <c r="R268" s="1042"/>
      <c r="S268" s="1042"/>
      <c r="T268" s="1042"/>
      <c r="U268" s="1042"/>
      <c r="V268" s="1042"/>
    </row>
    <row r="269" spans="5:22">
      <c r="E269" s="1301"/>
      <c r="F269" s="1025"/>
      <c r="G269" s="1020"/>
      <c r="H269" s="1020"/>
      <c r="I269" s="1030"/>
      <c r="J269" s="969"/>
      <c r="K269" s="969"/>
      <c r="R269" s="1042"/>
      <c r="S269" s="1042"/>
      <c r="T269" s="1042"/>
      <c r="U269" s="1042"/>
      <c r="V269" s="1042"/>
    </row>
    <row r="270" spans="5:22">
      <c r="E270" s="1301"/>
      <c r="F270" s="1025"/>
      <c r="G270" s="1020"/>
      <c r="H270" s="1020"/>
      <c r="I270" s="1030"/>
      <c r="J270" s="969"/>
      <c r="K270" s="969"/>
      <c r="R270" s="1042"/>
      <c r="S270" s="1042"/>
      <c r="T270" s="1042"/>
      <c r="U270" s="1042"/>
      <c r="V270" s="1042"/>
    </row>
    <row r="271" spans="5:22">
      <c r="E271" s="1301"/>
      <c r="F271" s="1025"/>
      <c r="G271" s="1020"/>
      <c r="H271" s="1020"/>
      <c r="I271" s="1030"/>
      <c r="J271" s="969"/>
      <c r="K271" s="969"/>
      <c r="R271" s="1042"/>
      <c r="S271" s="1042"/>
      <c r="T271" s="1042"/>
      <c r="U271" s="1042"/>
      <c r="V271" s="1042"/>
    </row>
    <row r="272" spans="5:22">
      <c r="E272" s="1301"/>
      <c r="F272" s="1025"/>
      <c r="G272" s="1020"/>
      <c r="H272" s="1020"/>
      <c r="I272" s="1030"/>
      <c r="J272" s="969"/>
      <c r="K272" s="969"/>
      <c r="R272" s="1042"/>
      <c r="S272" s="1042"/>
      <c r="T272" s="1042"/>
      <c r="U272" s="1042"/>
      <c r="V272" s="1042"/>
    </row>
    <row r="273" spans="5:22">
      <c r="E273" s="1301"/>
      <c r="F273" s="1025"/>
      <c r="G273" s="1020"/>
      <c r="H273" s="1020"/>
      <c r="I273" s="1030"/>
      <c r="J273" s="969"/>
      <c r="K273" s="970"/>
      <c r="R273" s="1042"/>
      <c r="S273" s="1042"/>
      <c r="T273" s="1042"/>
      <c r="U273" s="1042"/>
      <c r="V273" s="1042"/>
    </row>
    <row r="274" spans="5:22">
      <c r="E274" s="1301"/>
      <c r="F274" s="1025"/>
      <c r="G274" s="1020"/>
      <c r="H274" s="1020"/>
      <c r="I274" s="1030"/>
      <c r="J274" s="969"/>
      <c r="K274" s="969"/>
      <c r="R274" s="1042"/>
      <c r="S274" s="1042"/>
      <c r="T274" s="1042"/>
      <c r="U274" s="1042"/>
      <c r="V274" s="1042"/>
    </row>
    <row r="275" spans="5:22">
      <c r="E275" s="1301"/>
      <c r="F275" s="1025"/>
      <c r="G275" s="1020"/>
      <c r="H275" s="1020"/>
      <c r="I275" s="1030"/>
      <c r="J275" s="969"/>
      <c r="K275" s="969"/>
      <c r="R275" s="1042"/>
      <c r="S275" s="1042"/>
      <c r="T275" s="1042"/>
      <c r="U275" s="1042"/>
      <c r="V275" s="1042"/>
    </row>
    <row r="276" spans="5:22">
      <c r="E276" s="1301"/>
      <c r="F276" s="1025"/>
      <c r="G276" s="1020"/>
      <c r="H276" s="1020"/>
      <c r="I276" s="1030"/>
      <c r="J276" s="969"/>
      <c r="K276" s="969"/>
      <c r="R276" s="1042"/>
      <c r="S276" s="1042"/>
      <c r="T276" s="1042"/>
      <c r="U276" s="1042"/>
      <c r="V276" s="1042"/>
    </row>
    <row r="277" spans="5:22">
      <c r="E277" s="1301"/>
      <c r="F277" s="1025"/>
      <c r="G277" s="1020"/>
      <c r="H277" s="1020"/>
      <c r="I277" s="1030"/>
      <c r="J277" s="969"/>
      <c r="K277" s="970"/>
      <c r="R277" s="1042"/>
      <c r="S277" s="1042"/>
      <c r="T277" s="1042"/>
      <c r="U277" s="1042"/>
      <c r="V277" s="1042"/>
    </row>
    <row r="278" spans="5:22">
      <c r="E278" s="1301"/>
      <c r="F278" s="1025"/>
      <c r="G278" s="1020"/>
      <c r="H278" s="1020"/>
      <c r="I278" s="1030"/>
      <c r="J278" s="969"/>
      <c r="K278" s="969"/>
      <c r="R278" s="1042"/>
      <c r="S278" s="1042"/>
      <c r="T278" s="1042"/>
      <c r="U278" s="1042"/>
      <c r="V278" s="1042"/>
    </row>
    <row r="279" spans="5:22">
      <c r="E279" s="1301"/>
      <c r="F279" s="1025"/>
      <c r="G279" s="1020"/>
      <c r="H279" s="1020"/>
      <c r="I279" s="1030"/>
      <c r="J279" s="969"/>
      <c r="K279" s="969"/>
      <c r="R279" s="1042"/>
      <c r="S279" s="1042"/>
      <c r="T279" s="1042"/>
      <c r="U279" s="1042"/>
      <c r="V279" s="1042"/>
    </row>
    <row r="280" spans="5:22">
      <c r="E280" s="1301"/>
      <c r="F280" s="1025"/>
      <c r="G280" s="1020"/>
      <c r="H280" s="1020"/>
      <c r="I280" s="1030"/>
      <c r="J280" s="969"/>
      <c r="K280" s="969"/>
      <c r="R280" s="1042"/>
      <c r="S280" s="1042"/>
      <c r="T280" s="1042"/>
      <c r="U280" s="1042"/>
      <c r="V280" s="1042"/>
    </row>
    <row r="281" spans="5:22">
      <c r="E281" s="1301"/>
      <c r="F281" s="1025"/>
      <c r="G281" s="1020"/>
      <c r="H281" s="1020"/>
      <c r="I281" s="1030"/>
      <c r="J281" s="969"/>
      <c r="K281" s="969"/>
      <c r="R281" s="1042"/>
      <c r="S281" s="1042"/>
      <c r="T281" s="1042"/>
      <c r="U281" s="1042"/>
      <c r="V281" s="1042"/>
    </row>
    <row r="282" spans="5:22">
      <c r="E282" s="1301"/>
      <c r="F282" s="1025"/>
      <c r="G282" s="1020"/>
      <c r="H282" s="1020"/>
      <c r="I282" s="1030"/>
      <c r="J282" s="969"/>
      <c r="K282" s="969"/>
      <c r="R282" s="1042"/>
      <c r="S282" s="1042"/>
      <c r="T282" s="1042"/>
      <c r="U282" s="1042"/>
      <c r="V282" s="1042"/>
    </row>
    <row r="283" spans="5:22">
      <c r="E283" s="1301"/>
      <c r="F283" s="1025"/>
      <c r="G283" s="1020"/>
      <c r="H283" s="1020"/>
      <c r="I283" s="1030"/>
      <c r="J283" s="969"/>
      <c r="K283" s="969"/>
      <c r="R283" s="1042"/>
      <c r="S283" s="1042"/>
      <c r="T283" s="1042"/>
      <c r="U283" s="1042"/>
      <c r="V283" s="1042"/>
    </row>
    <row r="284" spans="5:22">
      <c r="E284" s="1301"/>
      <c r="F284" s="1025"/>
      <c r="G284" s="1020"/>
      <c r="H284" s="1020"/>
      <c r="I284" s="1030"/>
      <c r="J284" s="969"/>
      <c r="K284" s="969"/>
      <c r="R284" s="1042"/>
      <c r="S284" s="1042"/>
      <c r="T284" s="1042"/>
      <c r="U284" s="1042"/>
      <c r="V284" s="1042"/>
    </row>
    <row r="285" spans="5:22">
      <c r="E285" s="1301"/>
      <c r="F285" s="1025"/>
      <c r="G285" s="1020"/>
      <c r="H285" s="1020"/>
      <c r="I285" s="1030"/>
      <c r="J285" s="969"/>
      <c r="K285" s="969"/>
      <c r="R285" s="1042"/>
      <c r="S285" s="1042"/>
      <c r="T285" s="1042"/>
      <c r="U285" s="1042"/>
      <c r="V285" s="1042"/>
    </row>
    <row r="286" spans="5:22">
      <c r="E286" s="1301"/>
      <c r="F286" s="1025"/>
      <c r="G286" s="1020"/>
      <c r="H286" s="1020"/>
      <c r="I286" s="1030"/>
      <c r="J286" s="969"/>
      <c r="K286" s="969"/>
      <c r="R286" s="1042"/>
      <c r="S286" s="1042"/>
      <c r="T286" s="1042"/>
      <c r="U286" s="1042"/>
      <c r="V286" s="1042"/>
    </row>
    <row r="287" spans="5:22">
      <c r="E287" s="1301"/>
      <c r="F287" s="1025"/>
      <c r="G287" s="1020"/>
      <c r="H287" s="1020"/>
      <c r="I287" s="1030"/>
      <c r="J287" s="969"/>
      <c r="K287" s="969"/>
      <c r="R287" s="1042"/>
      <c r="S287" s="1042"/>
      <c r="T287" s="1042"/>
      <c r="U287" s="1042"/>
      <c r="V287" s="1042"/>
    </row>
    <row r="288" spans="5:22">
      <c r="E288" s="1301"/>
      <c r="F288" s="1025"/>
      <c r="G288" s="1020"/>
      <c r="H288" s="1020"/>
      <c r="I288" s="1030"/>
      <c r="J288" s="969"/>
      <c r="K288" s="970"/>
      <c r="R288" s="1042"/>
      <c r="S288" s="1042"/>
      <c r="T288" s="1042"/>
      <c r="U288" s="1042"/>
      <c r="V288" s="1042"/>
    </row>
    <row r="289" spans="5:22">
      <c r="E289" s="1301"/>
      <c r="F289" s="1025"/>
      <c r="G289" s="1020"/>
      <c r="H289" s="1020"/>
      <c r="I289" s="1030"/>
      <c r="J289" s="969"/>
      <c r="K289" s="969"/>
      <c r="R289" s="1042"/>
      <c r="S289" s="1042"/>
      <c r="T289" s="1042"/>
      <c r="U289" s="1042"/>
      <c r="V289" s="1042"/>
    </row>
    <row r="290" spans="5:22">
      <c r="E290" s="1301"/>
      <c r="F290" s="1025"/>
      <c r="G290" s="1020"/>
      <c r="H290" s="1020"/>
      <c r="I290" s="1030"/>
      <c r="J290" s="969"/>
      <c r="K290" s="969"/>
      <c r="R290" s="1042"/>
      <c r="S290" s="1042"/>
      <c r="T290" s="1042"/>
      <c r="U290" s="1042"/>
      <c r="V290" s="1042"/>
    </row>
    <row r="291" spans="5:22">
      <c r="E291" s="1301"/>
      <c r="F291" s="1025"/>
      <c r="G291" s="1020"/>
      <c r="H291" s="1020"/>
      <c r="I291" s="1030"/>
      <c r="J291" s="969"/>
      <c r="K291" s="969"/>
      <c r="R291" s="1042"/>
      <c r="S291" s="1042"/>
      <c r="T291" s="1042"/>
      <c r="U291" s="1042"/>
      <c r="V291" s="1042"/>
    </row>
    <row r="292" spans="5:22">
      <c r="E292" s="1301"/>
      <c r="F292" s="1025"/>
      <c r="G292" s="1020"/>
      <c r="H292" s="1020"/>
      <c r="I292" s="1030"/>
      <c r="J292" s="969"/>
      <c r="K292" s="969"/>
      <c r="R292" s="1042"/>
      <c r="S292" s="1042"/>
      <c r="T292" s="1042"/>
      <c r="U292" s="1042"/>
      <c r="V292" s="1042"/>
    </row>
    <row r="293" spans="5:22">
      <c r="E293" s="1301"/>
      <c r="F293" s="1025"/>
      <c r="G293" s="1020"/>
      <c r="H293" s="1020"/>
      <c r="I293" s="1030"/>
      <c r="J293" s="969"/>
      <c r="K293" s="969"/>
      <c r="R293" s="1042"/>
      <c r="S293" s="1042"/>
      <c r="T293" s="1042"/>
      <c r="U293" s="1042"/>
      <c r="V293" s="1042"/>
    </row>
    <row r="294" spans="5:22">
      <c r="E294" s="1301"/>
      <c r="F294" s="1025"/>
      <c r="G294" s="1020"/>
      <c r="H294" s="1020"/>
      <c r="I294" s="1030"/>
      <c r="J294" s="969"/>
      <c r="K294" s="969"/>
      <c r="R294" s="1042"/>
      <c r="S294" s="1042"/>
      <c r="T294" s="1042"/>
      <c r="U294" s="1042"/>
      <c r="V294" s="1042"/>
    </row>
    <row r="295" spans="5:22">
      <c r="E295" s="1301"/>
      <c r="F295" s="1025"/>
      <c r="G295" s="1020"/>
      <c r="H295" s="1020"/>
      <c r="I295" s="1030"/>
      <c r="J295" s="969"/>
      <c r="K295" s="969"/>
      <c r="R295" s="1042"/>
      <c r="S295" s="1042"/>
      <c r="T295" s="1042"/>
      <c r="U295" s="1042"/>
      <c r="V295" s="1042"/>
    </row>
    <row r="296" spans="5:22">
      <c r="E296" s="1301"/>
      <c r="F296" s="1025"/>
      <c r="G296" s="1020"/>
      <c r="H296" s="1020"/>
      <c r="I296" s="1030"/>
      <c r="J296" s="969"/>
      <c r="K296" s="969"/>
      <c r="R296" s="1042"/>
      <c r="S296" s="1042"/>
      <c r="T296" s="1042"/>
      <c r="U296" s="1042"/>
      <c r="V296" s="1042"/>
    </row>
    <row r="297" spans="5:22">
      <c r="E297" s="1301"/>
      <c r="F297" s="1025"/>
      <c r="G297" s="1020"/>
      <c r="H297" s="1020"/>
      <c r="I297" s="1030"/>
      <c r="J297" s="969"/>
      <c r="K297" s="970"/>
      <c r="R297" s="1042"/>
      <c r="S297" s="1042"/>
      <c r="T297" s="1042"/>
      <c r="U297" s="1042"/>
      <c r="V297" s="1042"/>
    </row>
    <row r="298" spans="5:22">
      <c r="E298" s="1301"/>
      <c r="F298" s="1025"/>
      <c r="G298" s="1020"/>
      <c r="H298" s="1020"/>
      <c r="I298" s="1030"/>
      <c r="J298" s="969"/>
      <c r="K298" s="969"/>
      <c r="R298" s="1042"/>
      <c r="S298" s="1042"/>
      <c r="T298" s="1042"/>
      <c r="U298" s="1042"/>
      <c r="V298" s="1042"/>
    </row>
    <row r="299" spans="5:22">
      <c r="E299" s="1301"/>
      <c r="F299" s="1025"/>
      <c r="G299" s="1020"/>
      <c r="H299" s="1020"/>
      <c r="I299" s="1030"/>
      <c r="J299" s="969"/>
      <c r="K299" s="969"/>
      <c r="R299" s="1042"/>
      <c r="S299" s="1042"/>
      <c r="T299" s="1042"/>
      <c r="U299" s="1042"/>
      <c r="V299" s="1042"/>
    </row>
    <row r="300" spans="5:22">
      <c r="E300" s="1301"/>
      <c r="F300" s="1025"/>
      <c r="G300" s="1020"/>
      <c r="H300" s="1020"/>
      <c r="I300" s="1030"/>
      <c r="J300" s="969"/>
      <c r="K300" s="969"/>
      <c r="R300" s="1042"/>
      <c r="S300" s="1042"/>
      <c r="T300" s="1042"/>
      <c r="U300" s="1042"/>
      <c r="V300" s="1042"/>
    </row>
    <row r="301" spans="5:22">
      <c r="E301" s="1301"/>
      <c r="F301" s="1025"/>
      <c r="G301" s="1020"/>
      <c r="H301" s="1020"/>
      <c r="I301" s="1030"/>
      <c r="J301" s="969"/>
      <c r="K301" s="969"/>
      <c r="R301" s="1042"/>
      <c r="S301" s="1042"/>
      <c r="T301" s="1042"/>
      <c r="U301" s="1042"/>
      <c r="V301" s="1042"/>
    </row>
    <row r="302" spans="5:22">
      <c r="E302" s="1301"/>
      <c r="F302" s="1025"/>
      <c r="G302" s="1020"/>
      <c r="H302" s="1020"/>
      <c r="I302" s="1030"/>
      <c r="J302" s="969"/>
      <c r="K302" s="970"/>
      <c r="R302" s="1042"/>
      <c r="S302" s="1042"/>
      <c r="T302" s="1042"/>
      <c r="U302" s="1042"/>
      <c r="V302" s="1042"/>
    </row>
    <row r="303" spans="5:22">
      <c r="E303" s="1301"/>
      <c r="F303" s="1025"/>
      <c r="G303" s="1020"/>
      <c r="H303" s="1020"/>
      <c r="I303" s="1030"/>
      <c r="J303" s="969"/>
      <c r="K303" s="969"/>
      <c r="R303" s="1042"/>
      <c r="S303" s="1042"/>
      <c r="T303" s="1042"/>
      <c r="U303" s="1042"/>
      <c r="V303" s="1042"/>
    </row>
    <row r="304" spans="5:22">
      <c r="E304" s="1301"/>
      <c r="F304" s="1025"/>
      <c r="G304" s="1020"/>
      <c r="H304" s="1020"/>
      <c r="I304" s="1030"/>
      <c r="J304" s="969"/>
      <c r="K304" s="969"/>
      <c r="R304" s="1042"/>
      <c r="S304" s="1042"/>
      <c r="T304" s="1042"/>
      <c r="U304" s="1042"/>
      <c r="V304" s="1042"/>
    </row>
    <row r="305" spans="5:22">
      <c r="E305" s="1301"/>
      <c r="F305" s="1025"/>
      <c r="G305" s="1020"/>
      <c r="H305" s="1020"/>
      <c r="I305" s="1030"/>
      <c r="J305" s="969"/>
      <c r="K305" s="969"/>
      <c r="R305" s="1042"/>
      <c r="S305" s="1042"/>
      <c r="T305" s="1042"/>
      <c r="U305" s="1042"/>
      <c r="V305" s="1042"/>
    </row>
    <row r="306" spans="5:22">
      <c r="E306" s="1301"/>
      <c r="F306" s="1025"/>
      <c r="G306" s="1020"/>
      <c r="H306" s="1020"/>
      <c r="I306" s="1030"/>
      <c r="J306" s="969"/>
      <c r="K306" s="969"/>
      <c r="R306" s="1042"/>
      <c r="S306" s="1042"/>
      <c r="T306" s="1042"/>
      <c r="U306" s="1042"/>
      <c r="V306" s="1042"/>
    </row>
    <row r="307" spans="5:22">
      <c r="E307" s="1301"/>
      <c r="F307" s="1025"/>
      <c r="G307" s="1020"/>
      <c r="H307" s="1020"/>
      <c r="I307" s="1030"/>
      <c r="J307" s="969"/>
      <c r="K307" s="969"/>
      <c r="R307" s="1042"/>
      <c r="S307" s="1042"/>
      <c r="T307" s="1042"/>
      <c r="U307" s="1042"/>
      <c r="V307" s="1042"/>
    </row>
    <row r="308" spans="5:22">
      <c r="E308" s="1301"/>
      <c r="F308" s="1025"/>
      <c r="G308" s="1020"/>
      <c r="H308" s="1020"/>
      <c r="I308" s="1030"/>
      <c r="J308" s="969"/>
      <c r="K308" s="969"/>
      <c r="R308" s="1042"/>
      <c r="S308" s="1042"/>
      <c r="T308" s="1042"/>
      <c r="U308" s="1042"/>
      <c r="V308" s="1042"/>
    </row>
    <row r="309" spans="5:22">
      <c r="E309" s="1301"/>
      <c r="F309" s="1025"/>
      <c r="G309" s="1020"/>
      <c r="H309" s="1020"/>
      <c r="I309" s="1030"/>
      <c r="J309" s="969"/>
      <c r="K309" s="969"/>
      <c r="R309" s="1042"/>
      <c r="S309" s="1042"/>
      <c r="T309" s="1042"/>
      <c r="U309" s="1042"/>
      <c r="V309" s="1042"/>
    </row>
    <row r="310" spans="5:22">
      <c r="E310" s="1301"/>
      <c r="F310" s="1025"/>
      <c r="G310" s="1020"/>
      <c r="H310" s="1020"/>
      <c r="I310" s="1030"/>
      <c r="J310" s="969"/>
      <c r="K310" s="969"/>
      <c r="R310" s="1042"/>
      <c r="S310" s="1042"/>
      <c r="T310" s="1042"/>
      <c r="U310" s="1042"/>
      <c r="V310" s="1042"/>
    </row>
    <row r="311" spans="5:22">
      <c r="E311" s="1301"/>
      <c r="F311" s="1025"/>
      <c r="G311" s="1020"/>
      <c r="H311" s="1020"/>
      <c r="I311" s="1030"/>
      <c r="J311" s="969"/>
      <c r="K311" s="970"/>
      <c r="R311" s="1042"/>
      <c r="S311" s="1042"/>
      <c r="T311" s="1042"/>
      <c r="U311" s="1042"/>
      <c r="V311" s="1042"/>
    </row>
    <row r="312" spans="5:22">
      <c r="E312" s="1301"/>
      <c r="F312" s="1025"/>
      <c r="G312" s="1020"/>
      <c r="H312" s="1020"/>
      <c r="I312" s="1030"/>
      <c r="J312" s="969"/>
      <c r="K312" s="969"/>
      <c r="R312" s="1042"/>
      <c r="S312" s="1042"/>
      <c r="T312" s="1042"/>
      <c r="U312" s="1042"/>
      <c r="V312" s="1042"/>
    </row>
    <row r="313" spans="5:22">
      <c r="E313" s="1301"/>
      <c r="F313" s="1025"/>
      <c r="G313" s="1020"/>
      <c r="H313" s="1020"/>
      <c r="I313" s="1030"/>
      <c r="J313" s="969"/>
      <c r="K313" s="969"/>
      <c r="R313" s="1042"/>
      <c r="S313" s="1042"/>
      <c r="T313" s="1042"/>
      <c r="U313" s="1042"/>
      <c r="V313" s="1042"/>
    </row>
    <row r="314" spans="5:22">
      <c r="E314" s="1301"/>
      <c r="F314" s="1025"/>
      <c r="G314" s="1020"/>
      <c r="H314" s="1020"/>
      <c r="I314" s="1030"/>
      <c r="J314" s="969"/>
      <c r="K314" s="969"/>
      <c r="R314" s="1042"/>
      <c r="S314" s="1042"/>
      <c r="T314" s="1042"/>
      <c r="U314" s="1042"/>
      <c r="V314" s="1042"/>
    </row>
    <row r="315" spans="5:22">
      <c r="E315" s="1301"/>
      <c r="F315" s="1025"/>
      <c r="G315" s="1020"/>
      <c r="H315" s="1020"/>
      <c r="I315" s="1030"/>
      <c r="J315" s="969"/>
      <c r="K315" s="969"/>
      <c r="R315" s="1042"/>
      <c r="S315" s="1042"/>
      <c r="T315" s="1042"/>
      <c r="U315" s="1042"/>
      <c r="V315" s="1042"/>
    </row>
    <row r="316" spans="5:22">
      <c r="E316" s="1301"/>
      <c r="F316" s="1025"/>
      <c r="G316" s="1020"/>
      <c r="H316" s="1020"/>
      <c r="I316" s="1030"/>
      <c r="J316" s="969"/>
      <c r="K316" s="970"/>
      <c r="R316" s="1042"/>
      <c r="S316" s="1042"/>
      <c r="T316" s="1042"/>
      <c r="U316" s="1042"/>
      <c r="V316" s="1042"/>
    </row>
    <row r="317" spans="5:22">
      <c r="E317" s="1301"/>
      <c r="F317" s="1025"/>
      <c r="G317" s="1020"/>
      <c r="H317" s="1020"/>
      <c r="I317" s="1030"/>
      <c r="J317" s="969"/>
      <c r="K317" s="969"/>
      <c r="R317" s="1042"/>
      <c r="S317" s="1042"/>
      <c r="T317" s="1042"/>
      <c r="U317" s="1042"/>
      <c r="V317" s="1042"/>
    </row>
    <row r="318" spans="5:22">
      <c r="E318" s="1301"/>
      <c r="F318" s="1025"/>
      <c r="G318" s="1020"/>
      <c r="H318" s="1020"/>
      <c r="I318" s="1030"/>
      <c r="J318" s="969"/>
      <c r="K318" s="969"/>
      <c r="R318" s="1042"/>
      <c r="S318" s="1042"/>
      <c r="T318" s="1042"/>
      <c r="U318" s="1042"/>
      <c r="V318" s="1042"/>
    </row>
    <row r="319" spans="5:22">
      <c r="E319" s="1301"/>
      <c r="F319" s="1025"/>
      <c r="G319" s="1020"/>
      <c r="H319" s="1020"/>
      <c r="I319" s="1030"/>
      <c r="J319" s="969"/>
      <c r="K319" s="969"/>
      <c r="R319" s="1042"/>
      <c r="S319" s="1042"/>
      <c r="T319" s="1042"/>
      <c r="U319" s="1042"/>
      <c r="V319" s="1042"/>
    </row>
    <row r="320" spans="5:22">
      <c r="E320" s="1301"/>
      <c r="F320" s="1025"/>
      <c r="G320" s="1020"/>
      <c r="H320" s="1020"/>
      <c r="I320" s="1030"/>
      <c r="J320" s="969"/>
      <c r="K320" s="969"/>
      <c r="R320" s="1042"/>
      <c r="S320" s="1042"/>
      <c r="T320" s="1042"/>
      <c r="U320" s="1042"/>
      <c r="V320" s="1042"/>
    </row>
    <row r="321" spans="5:22">
      <c r="E321" s="1301"/>
      <c r="F321" s="1025"/>
      <c r="G321" s="1020"/>
      <c r="H321" s="1020"/>
      <c r="I321" s="1030"/>
      <c r="J321" s="969"/>
      <c r="K321" s="969"/>
      <c r="R321" s="1042"/>
      <c r="S321" s="1042"/>
      <c r="T321" s="1042"/>
      <c r="U321" s="1042"/>
      <c r="V321" s="1042"/>
    </row>
    <row r="322" spans="5:22">
      <c r="E322" s="1301"/>
      <c r="F322" s="1025"/>
      <c r="G322" s="1020"/>
      <c r="H322" s="1020"/>
      <c r="I322" s="1030"/>
      <c r="J322" s="969"/>
      <c r="K322" s="969"/>
      <c r="R322" s="1042"/>
      <c r="S322" s="1042"/>
      <c r="T322" s="1042"/>
      <c r="U322" s="1042"/>
      <c r="V322" s="1042"/>
    </row>
    <row r="323" spans="5:22">
      <c r="E323" s="1301"/>
      <c r="F323" s="1025"/>
      <c r="G323" s="1020"/>
      <c r="H323" s="1020"/>
      <c r="I323" s="1030"/>
      <c r="J323" s="969"/>
      <c r="K323" s="969"/>
      <c r="R323" s="1042"/>
      <c r="S323" s="1042"/>
      <c r="T323" s="1042"/>
      <c r="U323" s="1042"/>
      <c r="V323" s="1042"/>
    </row>
    <row r="324" spans="5:22">
      <c r="E324" s="1301"/>
      <c r="F324" s="1025"/>
      <c r="G324" s="1020"/>
      <c r="H324" s="1020"/>
      <c r="I324" s="1030"/>
      <c r="J324" s="969"/>
      <c r="K324" s="969"/>
      <c r="R324" s="1042"/>
      <c r="S324" s="1042"/>
      <c r="T324" s="1042"/>
      <c r="U324" s="1042"/>
      <c r="V324" s="1042"/>
    </row>
    <row r="325" spans="5:22">
      <c r="E325" s="1301"/>
      <c r="F325" s="1025"/>
      <c r="G325" s="1020"/>
      <c r="H325" s="1020"/>
      <c r="I325" s="1030"/>
      <c r="J325" s="969"/>
      <c r="K325" s="970"/>
      <c r="R325" s="1042"/>
      <c r="S325" s="1042"/>
      <c r="T325" s="1042"/>
      <c r="U325" s="1042"/>
      <c r="V325" s="1042"/>
    </row>
    <row r="326" spans="5:22">
      <c r="E326" s="1301"/>
      <c r="F326" s="1025"/>
      <c r="G326" s="1020"/>
      <c r="H326" s="1020"/>
      <c r="I326" s="1030"/>
      <c r="J326" s="969"/>
      <c r="K326" s="969"/>
      <c r="R326" s="1042"/>
      <c r="S326" s="1042"/>
      <c r="T326" s="1042"/>
      <c r="U326" s="1042"/>
      <c r="V326" s="1042"/>
    </row>
    <row r="327" spans="5:22">
      <c r="E327" s="1301"/>
      <c r="F327" s="1025"/>
      <c r="G327" s="1020"/>
      <c r="H327" s="1020"/>
      <c r="I327" s="1030"/>
      <c r="J327" s="969"/>
      <c r="K327" s="969"/>
      <c r="R327" s="1042"/>
      <c r="S327" s="1042"/>
      <c r="T327" s="1042"/>
      <c r="U327" s="1042"/>
      <c r="V327" s="1042"/>
    </row>
    <row r="328" spans="5:22">
      <c r="E328" s="1301"/>
      <c r="F328" s="1025"/>
      <c r="G328" s="1020"/>
      <c r="H328" s="1020"/>
      <c r="I328" s="1030"/>
      <c r="J328" s="969"/>
      <c r="K328" s="969"/>
      <c r="R328" s="1042"/>
      <c r="S328" s="1042"/>
      <c r="T328" s="1042"/>
      <c r="U328" s="1042"/>
      <c r="V328" s="1042"/>
    </row>
    <row r="329" spans="5:22">
      <c r="E329" s="1301"/>
      <c r="F329" s="1025"/>
      <c r="G329" s="1020"/>
      <c r="H329" s="1020"/>
      <c r="I329" s="1030"/>
      <c r="J329" s="969"/>
      <c r="K329" s="969"/>
      <c r="R329" s="1042"/>
      <c r="S329" s="1042"/>
      <c r="T329" s="1042"/>
      <c r="U329" s="1042"/>
      <c r="V329" s="1042"/>
    </row>
    <row r="330" spans="5:22">
      <c r="E330" s="1301"/>
      <c r="F330" s="1025"/>
      <c r="G330" s="1020"/>
      <c r="H330" s="1020"/>
      <c r="I330" s="1030"/>
      <c r="J330" s="969"/>
      <c r="K330" s="970"/>
      <c r="R330" s="1042"/>
      <c r="S330" s="1042"/>
      <c r="T330" s="1042"/>
      <c r="U330" s="1042"/>
      <c r="V330" s="1042"/>
    </row>
    <row r="331" spans="5:22">
      <c r="E331" s="1301"/>
      <c r="F331" s="1025"/>
      <c r="G331" s="1020"/>
      <c r="H331" s="1020"/>
      <c r="I331" s="1030"/>
      <c r="J331" s="969"/>
      <c r="K331" s="969"/>
      <c r="R331" s="1042"/>
      <c r="S331" s="1042"/>
      <c r="T331" s="1042"/>
      <c r="U331" s="1042"/>
      <c r="V331" s="1042"/>
    </row>
    <row r="332" spans="5:22">
      <c r="E332" s="1301"/>
      <c r="F332" s="1025"/>
      <c r="G332" s="1020"/>
      <c r="H332" s="1020"/>
      <c r="I332" s="1030"/>
      <c r="J332" s="969"/>
      <c r="K332" s="969"/>
      <c r="R332" s="1042"/>
      <c r="S332" s="1042"/>
      <c r="T332" s="1042"/>
      <c r="U332" s="1042"/>
      <c r="V332" s="1042"/>
    </row>
    <row r="333" spans="5:22">
      <c r="E333" s="1301"/>
      <c r="F333" s="1025"/>
      <c r="G333" s="1020"/>
      <c r="H333" s="1020"/>
      <c r="I333" s="1030"/>
      <c r="J333" s="969"/>
      <c r="K333" s="969"/>
      <c r="R333" s="1042"/>
      <c r="S333" s="1042"/>
      <c r="T333" s="1042"/>
      <c r="U333" s="1042"/>
      <c r="V333" s="1042"/>
    </row>
    <row r="334" spans="5:22">
      <c r="E334" s="1301"/>
      <c r="F334" s="1025"/>
      <c r="G334" s="1020"/>
      <c r="H334" s="1020"/>
      <c r="I334" s="1030"/>
      <c r="J334" s="969"/>
      <c r="K334" s="969"/>
      <c r="R334" s="1042"/>
      <c r="S334" s="1042"/>
      <c r="T334" s="1042"/>
      <c r="U334" s="1042"/>
      <c r="V334" s="1042"/>
    </row>
    <row r="335" spans="5:22">
      <c r="E335" s="1301"/>
      <c r="F335" s="1025"/>
      <c r="G335" s="1020"/>
      <c r="H335" s="1020"/>
      <c r="I335" s="1030"/>
      <c r="J335" s="969"/>
      <c r="K335" s="969"/>
      <c r="R335" s="1042"/>
      <c r="S335" s="1042"/>
      <c r="T335" s="1042"/>
      <c r="U335" s="1042"/>
      <c r="V335" s="1042"/>
    </row>
    <row r="336" spans="5:22">
      <c r="E336" s="1301"/>
      <c r="F336" s="1025"/>
      <c r="G336" s="1020"/>
      <c r="H336" s="1020"/>
      <c r="I336" s="1030"/>
      <c r="J336" s="969"/>
      <c r="K336" s="969"/>
      <c r="R336" s="1042"/>
      <c r="S336" s="1042"/>
      <c r="T336" s="1042"/>
      <c r="U336" s="1042"/>
      <c r="V336" s="1042"/>
    </row>
    <row r="337" spans="5:22">
      <c r="E337" s="1301"/>
      <c r="F337" s="1025"/>
      <c r="G337" s="1020"/>
      <c r="H337" s="1020"/>
      <c r="I337" s="1030"/>
      <c r="J337" s="969"/>
      <c r="K337" s="969"/>
      <c r="R337" s="1042"/>
      <c r="S337" s="1042"/>
      <c r="T337" s="1042"/>
      <c r="U337" s="1042"/>
      <c r="V337" s="1042"/>
    </row>
    <row r="338" spans="5:22">
      <c r="E338" s="1301"/>
      <c r="F338" s="1025"/>
      <c r="G338" s="1020"/>
      <c r="H338" s="1020"/>
      <c r="I338" s="1030"/>
      <c r="J338" s="969"/>
      <c r="K338" s="969"/>
      <c r="R338" s="1042"/>
      <c r="S338" s="1042"/>
      <c r="T338" s="1042"/>
      <c r="U338" s="1042"/>
      <c r="V338" s="1042"/>
    </row>
    <row r="339" spans="5:22">
      <c r="E339" s="1301"/>
      <c r="F339" s="1025"/>
      <c r="G339" s="1020"/>
      <c r="H339" s="1020"/>
      <c r="I339" s="1030"/>
      <c r="J339" s="969"/>
      <c r="K339" s="970"/>
      <c r="R339" s="1042"/>
      <c r="S339" s="1042"/>
      <c r="T339" s="1042"/>
      <c r="U339" s="1042"/>
      <c r="V339" s="1042"/>
    </row>
    <row r="340" spans="5:22">
      <c r="E340" s="1301"/>
      <c r="F340" s="1025"/>
      <c r="G340" s="1020"/>
      <c r="H340" s="1020"/>
      <c r="I340" s="1030"/>
      <c r="J340" s="969"/>
      <c r="K340" s="969"/>
      <c r="R340" s="1042"/>
      <c r="S340" s="1042"/>
      <c r="T340" s="1042"/>
      <c r="U340" s="1042"/>
      <c r="V340" s="1042"/>
    </row>
    <row r="341" spans="5:22">
      <c r="E341" s="1301"/>
      <c r="F341" s="1025"/>
      <c r="G341" s="1020"/>
      <c r="H341" s="1020"/>
      <c r="I341" s="1030"/>
      <c r="J341" s="969"/>
      <c r="K341" s="969"/>
      <c r="R341" s="1042"/>
      <c r="S341" s="1042"/>
      <c r="T341" s="1042"/>
      <c r="U341" s="1042"/>
      <c r="V341" s="1042"/>
    </row>
    <row r="342" spans="5:22">
      <c r="E342" s="1301"/>
      <c r="F342" s="1025"/>
      <c r="G342" s="1020"/>
      <c r="H342" s="1020"/>
      <c r="I342" s="1030"/>
      <c r="J342" s="969"/>
      <c r="K342" s="969"/>
      <c r="R342" s="1042"/>
      <c r="S342" s="1042"/>
      <c r="T342" s="1042"/>
      <c r="U342" s="1042"/>
      <c r="V342" s="1042"/>
    </row>
    <row r="343" spans="5:22">
      <c r="E343" s="1301"/>
      <c r="F343" s="1025"/>
      <c r="G343" s="1020"/>
      <c r="H343" s="1020"/>
      <c r="I343" s="1030"/>
      <c r="J343" s="969"/>
      <c r="K343" s="969"/>
      <c r="R343" s="1042"/>
      <c r="S343" s="1042"/>
      <c r="T343" s="1042"/>
      <c r="U343" s="1042"/>
      <c r="V343" s="1042"/>
    </row>
    <row r="344" spans="5:22">
      <c r="E344" s="1301"/>
      <c r="F344" s="1025"/>
      <c r="G344" s="1020"/>
      <c r="H344" s="1020"/>
      <c r="I344" s="1030"/>
      <c r="J344" s="969"/>
      <c r="K344" s="970"/>
      <c r="R344" s="1042"/>
      <c r="S344" s="1042"/>
      <c r="T344" s="1042"/>
      <c r="U344" s="1042"/>
      <c r="V344" s="1042"/>
    </row>
    <row r="345" spans="5:22">
      <c r="E345" s="1301"/>
      <c r="F345" s="1025"/>
      <c r="G345" s="1020"/>
      <c r="H345" s="1020"/>
      <c r="I345" s="1030"/>
      <c r="J345" s="969"/>
      <c r="K345" s="969"/>
      <c r="R345" s="1042"/>
      <c r="S345" s="1042"/>
      <c r="T345" s="1042"/>
      <c r="U345" s="1042"/>
      <c r="V345" s="1042"/>
    </row>
    <row r="346" spans="5:22">
      <c r="E346" s="1301"/>
      <c r="F346" s="1025"/>
      <c r="G346" s="1020"/>
      <c r="H346" s="1020"/>
      <c r="I346" s="1030"/>
      <c r="J346" s="969"/>
      <c r="K346" s="969"/>
      <c r="R346" s="1042"/>
      <c r="S346" s="1042"/>
      <c r="T346" s="1042"/>
      <c r="U346" s="1042"/>
      <c r="V346" s="1042"/>
    </row>
    <row r="347" spans="5:22">
      <c r="E347" s="1301"/>
      <c r="F347" s="1025"/>
      <c r="G347" s="1020"/>
      <c r="H347" s="1020"/>
      <c r="I347" s="1030"/>
      <c r="J347" s="969"/>
      <c r="K347" s="969"/>
      <c r="R347" s="1042"/>
      <c r="S347" s="1042"/>
      <c r="T347" s="1042"/>
      <c r="U347" s="1042"/>
      <c r="V347" s="1042"/>
    </row>
    <row r="348" spans="5:22">
      <c r="E348" s="1301"/>
      <c r="F348" s="1025"/>
      <c r="G348" s="1020"/>
      <c r="H348" s="1020"/>
      <c r="I348" s="1030"/>
      <c r="J348" s="969"/>
      <c r="K348" s="969"/>
      <c r="R348" s="1042"/>
      <c r="S348" s="1042"/>
      <c r="T348" s="1042"/>
      <c r="U348" s="1042"/>
      <c r="V348" s="1042"/>
    </row>
    <row r="349" spans="5:22">
      <c r="E349" s="1301"/>
      <c r="F349" s="1025"/>
      <c r="G349" s="1020"/>
      <c r="H349" s="1020"/>
      <c r="I349" s="1030"/>
      <c r="J349" s="969"/>
      <c r="K349" s="969"/>
      <c r="R349" s="1042"/>
      <c r="S349" s="1042"/>
      <c r="T349" s="1042"/>
      <c r="U349" s="1042"/>
      <c r="V349" s="1042"/>
    </row>
    <row r="350" spans="5:22">
      <c r="E350" s="1301"/>
      <c r="F350" s="1025"/>
      <c r="G350" s="1020"/>
      <c r="H350" s="1020"/>
      <c r="I350" s="1030"/>
      <c r="J350" s="969"/>
      <c r="K350" s="969"/>
      <c r="R350" s="1042"/>
      <c r="S350" s="1042"/>
      <c r="T350" s="1042"/>
      <c r="U350" s="1042"/>
      <c r="V350" s="1042"/>
    </row>
    <row r="351" spans="5:22">
      <c r="E351" s="1301"/>
      <c r="F351" s="1025"/>
      <c r="G351" s="1020"/>
      <c r="H351" s="1020"/>
      <c r="I351" s="1030"/>
      <c r="J351" s="969"/>
      <c r="K351" s="969"/>
      <c r="R351" s="1042"/>
      <c r="S351" s="1042"/>
      <c r="T351" s="1042"/>
      <c r="U351" s="1042"/>
      <c r="V351" s="1042"/>
    </row>
    <row r="352" spans="5:22">
      <c r="E352" s="1301"/>
      <c r="F352" s="1025"/>
      <c r="G352" s="1020"/>
      <c r="H352" s="1020"/>
      <c r="I352" s="1030"/>
      <c r="J352" s="969"/>
      <c r="K352" s="969"/>
      <c r="R352" s="1042"/>
      <c r="S352" s="1042"/>
      <c r="T352" s="1042"/>
      <c r="U352" s="1042"/>
      <c r="V352" s="1042"/>
    </row>
    <row r="353" spans="5:22">
      <c r="E353" s="1301"/>
      <c r="F353" s="1025"/>
      <c r="G353" s="1020"/>
      <c r="H353" s="1020"/>
      <c r="I353" s="1030"/>
      <c r="J353" s="969"/>
      <c r="K353" s="970"/>
      <c r="R353" s="1042"/>
      <c r="S353" s="1042"/>
      <c r="T353" s="1042"/>
      <c r="U353" s="1042"/>
      <c r="V353" s="1042"/>
    </row>
    <row r="354" spans="5:22">
      <c r="E354" s="1301"/>
      <c r="F354" s="1025"/>
      <c r="G354" s="1020"/>
      <c r="H354" s="1020"/>
      <c r="I354" s="1030"/>
      <c r="J354" s="969"/>
      <c r="K354" s="969"/>
      <c r="R354" s="1042"/>
      <c r="S354" s="1042"/>
      <c r="T354" s="1042"/>
      <c r="U354" s="1042"/>
      <c r="V354" s="1042"/>
    </row>
    <row r="355" spans="5:22">
      <c r="E355" s="1301"/>
      <c r="F355" s="1025"/>
      <c r="G355" s="1020"/>
      <c r="H355" s="1020"/>
      <c r="I355" s="1030"/>
      <c r="J355" s="969"/>
      <c r="K355" s="969"/>
      <c r="R355" s="1042"/>
      <c r="S355" s="1042"/>
      <c r="T355" s="1042"/>
      <c r="U355" s="1042"/>
      <c r="V355" s="1042"/>
    </row>
    <row r="356" spans="5:22">
      <c r="E356" s="1301"/>
      <c r="F356" s="1025"/>
      <c r="G356" s="1020"/>
      <c r="H356" s="1020"/>
      <c r="I356" s="1030"/>
      <c r="J356" s="969"/>
      <c r="K356" s="969"/>
      <c r="R356" s="1042"/>
      <c r="S356" s="1042"/>
      <c r="T356" s="1042"/>
      <c r="U356" s="1042"/>
      <c r="V356" s="1042"/>
    </row>
    <row r="357" spans="5:22">
      <c r="E357" s="1301"/>
      <c r="F357" s="1025"/>
      <c r="G357" s="1020"/>
      <c r="H357" s="1020"/>
      <c r="I357" s="1030"/>
      <c r="J357" s="969"/>
      <c r="K357" s="969"/>
      <c r="R357" s="1042"/>
      <c r="S357" s="1042"/>
      <c r="T357" s="1042"/>
      <c r="U357" s="1042"/>
      <c r="V357" s="1042"/>
    </row>
    <row r="358" spans="5:22">
      <c r="E358" s="1301"/>
      <c r="F358" s="1025"/>
      <c r="G358" s="1020"/>
      <c r="H358" s="1020"/>
      <c r="I358" s="1030"/>
      <c r="J358" s="969"/>
      <c r="K358" s="970"/>
      <c r="R358" s="1042"/>
      <c r="S358" s="1042"/>
      <c r="T358" s="1042"/>
      <c r="U358" s="1042"/>
      <c r="V358" s="1042"/>
    </row>
    <row r="359" spans="5:22">
      <c r="E359" s="1301"/>
      <c r="F359" s="1025"/>
      <c r="G359" s="1020"/>
      <c r="H359" s="1020"/>
      <c r="I359" s="1030"/>
      <c r="J359" s="969"/>
      <c r="K359" s="969"/>
      <c r="R359" s="1042"/>
      <c r="S359" s="1042"/>
      <c r="T359" s="1042"/>
      <c r="U359" s="1042"/>
      <c r="V359" s="1042"/>
    </row>
    <row r="360" spans="5:22">
      <c r="E360" s="1301"/>
      <c r="F360" s="1025"/>
      <c r="G360" s="1020"/>
      <c r="H360" s="1020"/>
      <c r="I360" s="1030"/>
      <c r="J360" s="969"/>
      <c r="K360" s="969"/>
      <c r="R360" s="1042"/>
      <c r="S360" s="1042"/>
      <c r="T360" s="1042"/>
      <c r="U360" s="1042"/>
      <c r="V360" s="1042"/>
    </row>
    <row r="361" spans="5:22">
      <c r="E361" s="1301"/>
      <c r="F361" s="1025"/>
      <c r="G361" s="1020"/>
      <c r="H361" s="1020"/>
      <c r="I361" s="1030"/>
      <c r="J361" s="969"/>
      <c r="K361" s="969"/>
      <c r="R361" s="1042"/>
      <c r="S361" s="1042"/>
      <c r="T361" s="1042"/>
      <c r="U361" s="1042"/>
      <c r="V361" s="1042"/>
    </row>
    <row r="362" spans="5:22">
      <c r="E362" s="1301"/>
      <c r="F362" s="1025"/>
      <c r="G362" s="1020"/>
      <c r="H362" s="1020"/>
      <c r="I362" s="1030"/>
      <c r="J362" s="969"/>
      <c r="K362" s="969"/>
      <c r="R362" s="1042"/>
      <c r="S362" s="1042"/>
      <c r="T362" s="1042"/>
      <c r="U362" s="1042"/>
      <c r="V362" s="1042"/>
    </row>
    <row r="363" spans="5:22">
      <c r="E363" s="1301"/>
      <c r="F363" s="1025"/>
      <c r="G363" s="1020"/>
      <c r="H363" s="1020"/>
      <c r="I363" s="1030"/>
      <c r="J363" s="969"/>
      <c r="K363" s="969"/>
      <c r="R363" s="1042"/>
      <c r="S363" s="1042"/>
      <c r="T363" s="1042"/>
      <c r="U363" s="1042"/>
      <c r="V363" s="1042"/>
    </row>
    <row r="364" spans="5:22">
      <c r="E364" s="1301"/>
      <c r="F364" s="1025"/>
      <c r="G364" s="1020"/>
      <c r="H364" s="1020"/>
      <c r="I364" s="1030"/>
      <c r="J364" s="969"/>
      <c r="K364" s="969"/>
      <c r="R364" s="1042"/>
      <c r="S364" s="1042"/>
      <c r="T364" s="1042"/>
      <c r="U364" s="1042"/>
      <c r="V364" s="1042"/>
    </row>
    <row r="365" spans="5:22">
      <c r="E365" s="1301"/>
      <c r="F365" s="1025"/>
      <c r="G365" s="1020"/>
      <c r="H365" s="1020"/>
      <c r="I365" s="1030"/>
      <c r="J365" s="969"/>
      <c r="K365" s="969"/>
      <c r="R365" s="1042"/>
      <c r="S365" s="1042"/>
      <c r="T365" s="1042"/>
      <c r="U365" s="1042"/>
      <c r="V365" s="1042"/>
    </row>
    <row r="366" spans="5:22">
      <c r="E366" s="1301"/>
      <c r="F366" s="1025"/>
      <c r="G366" s="1020"/>
      <c r="H366" s="1020"/>
      <c r="I366" s="1030"/>
      <c r="J366" s="969"/>
      <c r="K366" s="969"/>
      <c r="R366" s="1042"/>
      <c r="S366" s="1042"/>
      <c r="T366" s="1042"/>
      <c r="U366" s="1042"/>
      <c r="V366" s="1042"/>
    </row>
    <row r="367" spans="5:22">
      <c r="E367" s="1301"/>
      <c r="F367" s="1025"/>
      <c r="G367" s="1020"/>
      <c r="H367" s="1020"/>
      <c r="I367" s="1030"/>
      <c r="J367" s="969"/>
      <c r="K367" s="970"/>
      <c r="R367" s="1042"/>
      <c r="S367" s="1042"/>
      <c r="T367" s="1042"/>
      <c r="U367" s="1042"/>
      <c r="V367" s="1042"/>
    </row>
    <row r="368" spans="5:22">
      <c r="E368" s="1301"/>
      <c r="F368" s="1025"/>
      <c r="G368" s="1020"/>
      <c r="H368" s="1020"/>
      <c r="I368" s="1030"/>
      <c r="J368" s="969"/>
      <c r="K368" s="969"/>
      <c r="R368" s="1042"/>
      <c r="S368" s="1042"/>
      <c r="T368" s="1042"/>
      <c r="U368" s="1042"/>
      <c r="V368" s="1042"/>
    </row>
    <row r="369" spans="5:22">
      <c r="E369" s="1301"/>
      <c r="F369" s="1025"/>
      <c r="G369" s="1020"/>
      <c r="H369" s="1020"/>
      <c r="I369" s="1030"/>
      <c r="J369" s="969"/>
      <c r="K369" s="969"/>
      <c r="R369" s="1042"/>
      <c r="S369" s="1042"/>
      <c r="T369" s="1042"/>
      <c r="U369" s="1042"/>
      <c r="V369" s="1042"/>
    </row>
    <row r="370" spans="5:22">
      <c r="E370" s="1301"/>
      <c r="F370" s="1025"/>
      <c r="G370" s="1020"/>
      <c r="H370" s="1020"/>
      <c r="I370" s="1030"/>
      <c r="J370" s="969"/>
      <c r="K370" s="969"/>
      <c r="R370" s="1042"/>
      <c r="S370" s="1042"/>
      <c r="T370" s="1042"/>
      <c r="U370" s="1042"/>
      <c r="V370" s="1042"/>
    </row>
    <row r="371" spans="5:22">
      <c r="E371" s="1301"/>
      <c r="F371" s="1025"/>
      <c r="G371" s="1020"/>
      <c r="H371" s="1020"/>
      <c r="I371" s="1030"/>
      <c r="J371" s="969"/>
      <c r="K371" s="969"/>
      <c r="R371" s="1042"/>
      <c r="S371" s="1042"/>
      <c r="T371" s="1042"/>
      <c r="U371" s="1042"/>
      <c r="V371" s="1042"/>
    </row>
    <row r="372" spans="5:22">
      <c r="E372" s="1301"/>
      <c r="F372" s="1025"/>
      <c r="G372" s="1020"/>
      <c r="H372" s="1020"/>
      <c r="I372" s="1030"/>
      <c r="J372" s="969"/>
      <c r="K372" s="970"/>
      <c r="R372" s="1042"/>
      <c r="S372" s="1042"/>
      <c r="T372" s="1042"/>
      <c r="U372" s="1042"/>
      <c r="V372" s="1042"/>
    </row>
    <row r="373" spans="5:22">
      <c r="E373" s="1301"/>
      <c r="F373" s="1025"/>
      <c r="G373" s="1020"/>
      <c r="H373" s="1020"/>
      <c r="I373" s="1030"/>
      <c r="J373" s="969"/>
      <c r="K373" s="969"/>
      <c r="R373" s="1042"/>
      <c r="S373" s="1042"/>
      <c r="T373" s="1042"/>
      <c r="U373" s="1042"/>
      <c r="V373" s="1042"/>
    </row>
    <row r="374" spans="5:22">
      <c r="E374" s="1301"/>
      <c r="F374" s="1025"/>
      <c r="G374" s="1020"/>
      <c r="H374" s="1020"/>
      <c r="I374" s="1030"/>
      <c r="J374" s="969"/>
      <c r="K374" s="969"/>
      <c r="R374" s="1042"/>
      <c r="S374" s="1042"/>
      <c r="T374" s="1042"/>
      <c r="U374" s="1042"/>
      <c r="V374" s="1042"/>
    </row>
    <row r="375" spans="5:22">
      <c r="E375" s="1301"/>
      <c r="F375" s="1025"/>
      <c r="G375" s="1020"/>
      <c r="H375" s="1020"/>
      <c r="I375" s="1030"/>
      <c r="J375" s="969"/>
      <c r="K375" s="969"/>
      <c r="R375" s="1042"/>
      <c r="S375" s="1042"/>
      <c r="T375" s="1042"/>
      <c r="U375" s="1042"/>
      <c r="V375" s="1042"/>
    </row>
    <row r="376" spans="5:22">
      <c r="E376" s="1301"/>
      <c r="F376" s="1025"/>
      <c r="G376" s="1020"/>
      <c r="H376" s="1020"/>
      <c r="I376" s="1030"/>
      <c r="J376" s="969"/>
      <c r="K376" s="969"/>
      <c r="R376" s="1042"/>
      <c r="S376" s="1042"/>
      <c r="T376" s="1042"/>
      <c r="U376" s="1042"/>
      <c r="V376" s="1042"/>
    </row>
    <row r="377" spans="5:22">
      <c r="E377" s="1301"/>
      <c r="F377" s="1025"/>
      <c r="G377" s="1020"/>
      <c r="H377" s="1020"/>
      <c r="I377" s="1030"/>
      <c r="J377" s="969"/>
      <c r="K377" s="969"/>
      <c r="R377" s="1042"/>
      <c r="S377" s="1042"/>
      <c r="T377" s="1042"/>
      <c r="U377" s="1042"/>
      <c r="V377" s="1042"/>
    </row>
    <row r="378" spans="5:22">
      <c r="E378" s="1301"/>
      <c r="F378" s="1025"/>
      <c r="G378" s="1020"/>
      <c r="H378" s="1020"/>
      <c r="I378" s="1030"/>
      <c r="J378" s="969"/>
      <c r="K378" s="969"/>
      <c r="R378" s="1042"/>
      <c r="S378" s="1042"/>
      <c r="T378" s="1042"/>
      <c r="U378" s="1042"/>
      <c r="V378" s="1042"/>
    </row>
    <row r="379" spans="5:22">
      <c r="E379" s="1301"/>
      <c r="F379" s="1025"/>
      <c r="G379" s="1020"/>
      <c r="H379" s="1020"/>
      <c r="I379" s="1030"/>
      <c r="J379" s="969"/>
      <c r="K379" s="969"/>
      <c r="R379" s="1042"/>
      <c r="S379" s="1042"/>
      <c r="T379" s="1042"/>
      <c r="U379" s="1042"/>
      <c r="V379" s="1042"/>
    </row>
    <row r="380" spans="5:22">
      <c r="E380" s="1301"/>
      <c r="F380" s="1025"/>
      <c r="G380" s="1020"/>
      <c r="H380" s="1020"/>
      <c r="I380" s="1030"/>
      <c r="J380" s="969"/>
      <c r="K380" s="969"/>
      <c r="R380" s="1042"/>
      <c r="S380" s="1042"/>
      <c r="T380" s="1042"/>
      <c r="U380" s="1042"/>
      <c r="V380" s="1042"/>
    </row>
    <row r="381" spans="5:22">
      <c r="E381" s="1301"/>
      <c r="F381" s="1025"/>
      <c r="G381" s="1020"/>
      <c r="H381" s="1020"/>
      <c r="I381" s="1030"/>
      <c r="J381" s="969"/>
      <c r="K381" s="970"/>
      <c r="R381" s="1042"/>
      <c r="S381" s="1042"/>
      <c r="T381" s="1042"/>
      <c r="U381" s="1042"/>
      <c r="V381" s="1042"/>
    </row>
    <row r="382" spans="5:22">
      <c r="E382" s="1301"/>
      <c r="F382" s="1025"/>
      <c r="G382" s="1020"/>
      <c r="H382" s="1020"/>
      <c r="I382" s="1030"/>
      <c r="J382" s="969"/>
      <c r="K382" s="969"/>
      <c r="R382" s="1042"/>
      <c r="S382" s="1042"/>
      <c r="T382" s="1042"/>
      <c r="U382" s="1042"/>
      <c r="V382" s="1042"/>
    </row>
    <row r="383" spans="5:22">
      <c r="E383" s="1301"/>
      <c r="F383" s="1025"/>
      <c r="G383" s="1020"/>
      <c r="H383" s="1020"/>
      <c r="I383" s="1030"/>
      <c r="J383" s="969"/>
      <c r="K383" s="969"/>
      <c r="R383" s="1042"/>
      <c r="S383" s="1042"/>
      <c r="T383" s="1042"/>
      <c r="U383" s="1042"/>
      <c r="V383" s="1042"/>
    </row>
    <row r="384" spans="5:22">
      <c r="E384" s="1301"/>
      <c r="F384" s="1025"/>
      <c r="G384" s="1020"/>
      <c r="H384" s="1020"/>
      <c r="I384" s="1030"/>
      <c r="J384" s="969"/>
      <c r="K384" s="969"/>
      <c r="R384" s="1042"/>
      <c r="S384" s="1042"/>
      <c r="T384" s="1042"/>
      <c r="U384" s="1042"/>
      <c r="V384" s="1042"/>
    </row>
    <row r="385" spans="5:22">
      <c r="E385" s="1301"/>
      <c r="F385" s="1025"/>
      <c r="G385" s="1020"/>
      <c r="H385" s="1020"/>
      <c r="I385" s="1030"/>
      <c r="J385" s="969"/>
      <c r="K385" s="969"/>
      <c r="R385" s="1042"/>
      <c r="S385" s="1042"/>
      <c r="T385" s="1042"/>
      <c r="U385" s="1042"/>
      <c r="V385" s="1042"/>
    </row>
    <row r="386" spans="5:22">
      <c r="E386" s="1301"/>
      <c r="F386" s="1025"/>
      <c r="G386" s="1020"/>
      <c r="H386" s="1020"/>
      <c r="I386" s="1030"/>
      <c r="J386" s="969"/>
      <c r="K386" s="970"/>
      <c r="R386" s="1042"/>
      <c r="S386" s="1042"/>
      <c r="T386" s="1042"/>
      <c r="U386" s="1042"/>
      <c r="V386" s="1042"/>
    </row>
    <row r="387" spans="5:22">
      <c r="E387" s="1301"/>
      <c r="F387" s="1025"/>
      <c r="G387" s="1020"/>
      <c r="H387" s="1020"/>
      <c r="I387" s="1030"/>
      <c r="J387" s="969"/>
      <c r="K387" s="969"/>
      <c r="R387" s="1042"/>
      <c r="S387" s="1042"/>
      <c r="T387" s="1042"/>
      <c r="U387" s="1042"/>
      <c r="V387" s="1042"/>
    </row>
    <row r="388" spans="5:22">
      <c r="E388" s="1301"/>
      <c r="F388" s="1025"/>
      <c r="G388" s="1020"/>
      <c r="H388" s="1020"/>
      <c r="I388" s="1030"/>
      <c r="J388" s="969"/>
      <c r="K388" s="969"/>
      <c r="R388" s="1042"/>
      <c r="S388" s="1042"/>
      <c r="T388" s="1042"/>
      <c r="U388" s="1042"/>
      <c r="V388" s="1042"/>
    </row>
    <row r="389" spans="5:22">
      <c r="E389" s="1301"/>
      <c r="F389" s="1025"/>
      <c r="G389" s="1020"/>
      <c r="H389" s="1020"/>
      <c r="I389" s="1030"/>
      <c r="J389" s="969"/>
      <c r="K389" s="969"/>
      <c r="R389" s="1042"/>
      <c r="S389" s="1042"/>
      <c r="T389" s="1042"/>
      <c r="U389" s="1042"/>
      <c r="V389" s="1042"/>
    </row>
    <row r="390" spans="5:22">
      <c r="E390" s="1301"/>
      <c r="F390" s="1025"/>
      <c r="G390" s="1020"/>
      <c r="H390" s="1020"/>
      <c r="I390" s="1030"/>
      <c r="J390" s="969"/>
      <c r="K390" s="969"/>
      <c r="R390" s="1042"/>
      <c r="S390" s="1042"/>
      <c r="T390" s="1042"/>
      <c r="U390" s="1042"/>
      <c r="V390" s="1042"/>
    </row>
    <row r="391" spans="5:22">
      <c r="E391" s="1301"/>
      <c r="F391" s="1025"/>
      <c r="G391" s="1020"/>
      <c r="H391" s="1020"/>
      <c r="I391" s="1030"/>
      <c r="J391" s="969"/>
      <c r="K391" s="969"/>
      <c r="R391" s="1042"/>
      <c r="S391" s="1042"/>
      <c r="T391" s="1042"/>
      <c r="U391" s="1042"/>
      <c r="V391" s="1042"/>
    </row>
    <row r="392" spans="5:22">
      <c r="E392" s="1301"/>
      <c r="F392" s="1025"/>
      <c r="G392" s="1020"/>
      <c r="H392" s="1020"/>
      <c r="I392" s="1030"/>
      <c r="J392" s="969"/>
      <c r="K392" s="969"/>
      <c r="R392" s="1042"/>
      <c r="S392" s="1042"/>
      <c r="T392" s="1042"/>
      <c r="U392" s="1042"/>
      <c r="V392" s="1042"/>
    </row>
    <row r="393" spans="5:22">
      <c r="E393" s="1301"/>
      <c r="F393" s="1025"/>
      <c r="G393" s="1020"/>
      <c r="H393" s="1020"/>
      <c r="I393" s="1030"/>
      <c r="J393" s="969"/>
      <c r="K393" s="969"/>
      <c r="R393" s="1042"/>
      <c r="S393" s="1042"/>
      <c r="T393" s="1042"/>
      <c r="U393" s="1042"/>
      <c r="V393" s="1042"/>
    </row>
    <row r="394" spans="5:22">
      <c r="E394" s="1301"/>
      <c r="F394" s="1025"/>
      <c r="G394" s="1020"/>
      <c r="H394" s="1020"/>
      <c r="I394" s="1030"/>
      <c r="J394" s="969"/>
      <c r="K394" s="969"/>
      <c r="R394" s="1042"/>
      <c r="S394" s="1042"/>
      <c r="T394" s="1042"/>
      <c r="U394" s="1042"/>
      <c r="V394" s="1042"/>
    </row>
    <row r="395" spans="5:22">
      <c r="E395" s="1301"/>
      <c r="F395" s="1025"/>
      <c r="G395" s="1020"/>
      <c r="H395" s="1020"/>
      <c r="I395" s="1030"/>
      <c r="J395" s="969"/>
      <c r="K395" s="970"/>
      <c r="R395" s="1042"/>
      <c r="S395" s="1042"/>
      <c r="T395" s="1042"/>
      <c r="U395" s="1042"/>
      <c r="V395" s="1042"/>
    </row>
    <row r="396" spans="5:22">
      <c r="E396" s="1301"/>
      <c r="F396" s="1025"/>
      <c r="G396" s="1020"/>
      <c r="H396" s="1020"/>
      <c r="I396" s="1030"/>
      <c r="J396" s="969"/>
      <c r="K396" s="969"/>
      <c r="R396" s="1042"/>
      <c r="S396" s="1042"/>
      <c r="T396" s="1042"/>
      <c r="U396" s="1042"/>
      <c r="V396" s="1042"/>
    </row>
    <row r="397" spans="5:22">
      <c r="E397" s="1301"/>
      <c r="F397" s="1025"/>
      <c r="G397" s="1020"/>
      <c r="H397" s="1020"/>
      <c r="I397" s="1030"/>
      <c r="J397" s="969"/>
      <c r="K397" s="969"/>
      <c r="R397" s="1042"/>
      <c r="S397" s="1042"/>
      <c r="T397" s="1042"/>
      <c r="U397" s="1042"/>
      <c r="V397" s="1042"/>
    </row>
    <row r="398" spans="5:22">
      <c r="E398" s="1301"/>
      <c r="F398" s="1025"/>
      <c r="G398" s="1020"/>
      <c r="H398" s="1020"/>
      <c r="I398" s="1030"/>
      <c r="J398" s="969"/>
      <c r="K398" s="969"/>
      <c r="R398" s="1042"/>
      <c r="S398" s="1042"/>
      <c r="T398" s="1042"/>
      <c r="U398" s="1042"/>
      <c r="V398" s="1042"/>
    </row>
    <row r="399" spans="5:22">
      <c r="E399" s="1301"/>
      <c r="F399" s="1025"/>
      <c r="G399" s="1020"/>
      <c r="H399" s="1020"/>
      <c r="I399" s="1030"/>
      <c r="J399" s="969"/>
      <c r="K399" s="969"/>
      <c r="R399" s="1042"/>
      <c r="S399" s="1042"/>
      <c r="T399" s="1042"/>
      <c r="U399" s="1042"/>
      <c r="V399" s="1042"/>
    </row>
    <row r="400" spans="5:22">
      <c r="E400" s="1301"/>
      <c r="F400" s="1025"/>
      <c r="G400" s="1020"/>
      <c r="H400" s="1020"/>
      <c r="I400" s="1030"/>
      <c r="J400" s="969"/>
      <c r="K400" s="970"/>
      <c r="R400" s="1042"/>
      <c r="S400" s="1042"/>
      <c r="T400" s="1042"/>
      <c r="U400" s="1042"/>
      <c r="V400" s="1042"/>
    </row>
    <row r="401" spans="5:22">
      <c r="E401" s="1301"/>
      <c r="F401" s="1025"/>
      <c r="G401" s="1020"/>
      <c r="H401" s="1020"/>
      <c r="I401" s="1030"/>
      <c r="J401" s="969"/>
      <c r="K401" s="969"/>
      <c r="R401" s="1042"/>
      <c r="S401" s="1042"/>
      <c r="T401" s="1042"/>
      <c r="U401" s="1042"/>
      <c r="V401" s="1042"/>
    </row>
    <row r="402" spans="5:22">
      <c r="E402" s="1301"/>
      <c r="F402" s="1025"/>
      <c r="G402" s="1020"/>
      <c r="H402" s="1020"/>
      <c r="I402" s="1030"/>
      <c r="J402" s="969"/>
      <c r="K402" s="969"/>
      <c r="R402" s="1042"/>
      <c r="S402" s="1042"/>
      <c r="T402" s="1042"/>
      <c r="U402" s="1042"/>
      <c r="V402" s="1042"/>
    </row>
    <row r="403" spans="5:22">
      <c r="E403" s="1301"/>
      <c r="F403" s="1025"/>
      <c r="G403" s="1020"/>
      <c r="H403" s="1020"/>
      <c r="I403" s="1030"/>
      <c r="J403" s="969"/>
      <c r="K403" s="969"/>
      <c r="R403" s="1042"/>
      <c r="S403" s="1042"/>
      <c r="T403" s="1042"/>
      <c r="U403" s="1042"/>
      <c r="V403" s="1042"/>
    </row>
    <row r="404" spans="5:22">
      <c r="E404" s="1301"/>
      <c r="F404" s="1025"/>
      <c r="G404" s="1020"/>
      <c r="H404" s="1020"/>
      <c r="I404" s="1030"/>
      <c r="J404" s="969"/>
      <c r="K404" s="969"/>
      <c r="R404" s="1042"/>
      <c r="S404" s="1042"/>
      <c r="T404" s="1042"/>
      <c r="U404" s="1042"/>
      <c r="V404" s="1042"/>
    </row>
    <row r="405" spans="5:22">
      <c r="E405" s="1301"/>
      <c r="F405" s="1025"/>
      <c r="G405" s="1020"/>
      <c r="H405" s="1020"/>
      <c r="I405" s="1030"/>
      <c r="J405" s="969"/>
      <c r="K405" s="969"/>
      <c r="R405" s="1042"/>
      <c r="S405" s="1042"/>
      <c r="T405" s="1042"/>
      <c r="U405" s="1042"/>
      <c r="V405" s="1042"/>
    </row>
    <row r="406" spans="5:22">
      <c r="E406" s="1301"/>
      <c r="F406" s="1025"/>
      <c r="G406" s="1020"/>
      <c r="H406" s="1020"/>
      <c r="I406" s="1030"/>
      <c r="J406" s="969"/>
      <c r="K406" s="969"/>
      <c r="R406" s="1042"/>
      <c r="S406" s="1042"/>
      <c r="T406" s="1042"/>
      <c r="U406" s="1042"/>
      <c r="V406" s="1042"/>
    </row>
    <row r="407" spans="5:22">
      <c r="E407" s="1301"/>
      <c r="F407" s="1025"/>
      <c r="G407" s="1020"/>
      <c r="H407" s="1020"/>
      <c r="I407" s="1030"/>
      <c r="J407" s="969"/>
      <c r="K407" s="969"/>
      <c r="R407" s="1042"/>
      <c r="S407" s="1042"/>
      <c r="T407" s="1042"/>
      <c r="U407" s="1042"/>
      <c r="V407" s="1042"/>
    </row>
    <row r="408" spans="5:22">
      <c r="E408" s="1301"/>
      <c r="F408" s="1025"/>
      <c r="G408" s="1020"/>
      <c r="H408" s="1020"/>
      <c r="I408" s="1030"/>
      <c r="J408" s="969"/>
      <c r="K408" s="969"/>
      <c r="R408" s="1042"/>
      <c r="S408" s="1042"/>
      <c r="T408" s="1042"/>
      <c r="U408" s="1042"/>
      <c r="V408" s="1042"/>
    </row>
    <row r="409" spans="5:22">
      <c r="E409" s="1301"/>
      <c r="F409" s="1025"/>
      <c r="G409" s="1020"/>
      <c r="H409" s="1020"/>
      <c r="I409" s="1030"/>
      <c r="J409" s="969"/>
      <c r="K409" s="970"/>
      <c r="R409" s="1042"/>
      <c r="S409" s="1042"/>
      <c r="T409" s="1042"/>
      <c r="U409" s="1042"/>
      <c r="V409" s="1042"/>
    </row>
    <row r="410" spans="5:22">
      <c r="E410" s="1301"/>
      <c r="F410" s="1025"/>
      <c r="G410" s="1020"/>
      <c r="H410" s="1020"/>
      <c r="I410" s="1030"/>
      <c r="J410" s="969"/>
      <c r="K410" s="969"/>
      <c r="R410" s="1042"/>
      <c r="S410" s="1042"/>
      <c r="T410" s="1042"/>
      <c r="U410" s="1042"/>
      <c r="V410" s="1042"/>
    </row>
    <row r="411" spans="5:22">
      <c r="E411" s="1301"/>
      <c r="F411" s="1025"/>
      <c r="G411" s="1020"/>
      <c r="H411" s="1020"/>
      <c r="I411" s="1030"/>
      <c r="J411" s="969"/>
      <c r="K411" s="969"/>
      <c r="R411" s="1042"/>
      <c r="S411" s="1042"/>
      <c r="T411" s="1042"/>
      <c r="U411" s="1042"/>
      <c r="V411" s="1042"/>
    </row>
    <row r="412" spans="5:22">
      <c r="E412" s="1301"/>
      <c r="F412" s="1025"/>
      <c r="G412" s="1020"/>
      <c r="H412" s="1020"/>
      <c r="I412" s="1030"/>
      <c r="J412" s="969"/>
      <c r="K412" s="969"/>
      <c r="R412" s="1042"/>
      <c r="S412" s="1042"/>
      <c r="T412" s="1042"/>
      <c r="U412" s="1042"/>
      <c r="V412" s="1042"/>
    </row>
    <row r="413" spans="5:22">
      <c r="E413" s="1301"/>
      <c r="F413" s="1025"/>
      <c r="G413" s="1020"/>
      <c r="H413" s="1020"/>
      <c r="I413" s="1030"/>
      <c r="J413" s="969"/>
      <c r="K413" s="969"/>
      <c r="R413" s="1042"/>
      <c r="S413" s="1042"/>
      <c r="T413" s="1042"/>
      <c r="U413" s="1042"/>
      <c r="V413" s="1042"/>
    </row>
    <row r="414" spans="5:22">
      <c r="E414" s="1301"/>
      <c r="F414" s="1025"/>
      <c r="G414" s="1020"/>
      <c r="H414" s="1020"/>
      <c r="I414" s="1030"/>
      <c r="J414" s="969"/>
      <c r="K414" s="970"/>
      <c r="R414" s="1042"/>
      <c r="S414" s="1042"/>
      <c r="T414" s="1042"/>
      <c r="U414" s="1042"/>
      <c r="V414" s="1042"/>
    </row>
    <row r="415" spans="5:22">
      <c r="E415" s="1301"/>
      <c r="F415" s="1025"/>
      <c r="G415" s="1020"/>
      <c r="H415" s="1020"/>
      <c r="I415" s="1030"/>
      <c r="J415" s="969"/>
      <c r="K415" s="969"/>
      <c r="R415" s="1042"/>
      <c r="S415" s="1042"/>
      <c r="T415" s="1042"/>
      <c r="U415" s="1042"/>
      <c r="V415" s="1042"/>
    </row>
    <row r="416" spans="5:22">
      <c r="E416" s="1301"/>
      <c r="F416" s="1025"/>
      <c r="G416" s="1020"/>
      <c r="H416" s="1020"/>
      <c r="I416" s="1030"/>
      <c r="J416" s="969"/>
      <c r="K416" s="969"/>
      <c r="R416" s="1042"/>
      <c r="S416" s="1042"/>
      <c r="T416" s="1042"/>
      <c r="U416" s="1042"/>
      <c r="V416" s="1042"/>
    </row>
    <row r="417" spans="5:22">
      <c r="E417" s="1301"/>
      <c r="F417" s="1025"/>
      <c r="G417" s="1020"/>
      <c r="H417" s="1020"/>
      <c r="I417" s="1030"/>
      <c r="J417" s="969"/>
      <c r="K417" s="969"/>
      <c r="R417" s="1042"/>
      <c r="S417" s="1042"/>
      <c r="T417" s="1042"/>
      <c r="U417" s="1042"/>
      <c r="V417" s="1042"/>
    </row>
    <row r="418" spans="5:22">
      <c r="E418" s="1301"/>
      <c r="F418" s="1025"/>
      <c r="G418" s="1020"/>
      <c r="H418" s="1020"/>
      <c r="I418" s="1030"/>
      <c r="J418" s="969"/>
      <c r="K418" s="969"/>
      <c r="R418" s="1042"/>
      <c r="S418" s="1042"/>
      <c r="T418" s="1042"/>
      <c r="U418" s="1042"/>
      <c r="V418" s="1042"/>
    </row>
    <row r="419" spans="5:22">
      <c r="E419" s="1301"/>
      <c r="F419" s="1025"/>
      <c r="G419" s="1020"/>
      <c r="H419" s="1020"/>
      <c r="I419" s="1030"/>
      <c r="J419" s="969"/>
      <c r="K419" s="969"/>
      <c r="R419" s="1042"/>
      <c r="S419" s="1042"/>
      <c r="T419" s="1042"/>
      <c r="U419" s="1042"/>
      <c r="V419" s="1042"/>
    </row>
    <row r="420" spans="5:22">
      <c r="E420" s="1301"/>
      <c r="F420" s="1025"/>
      <c r="G420" s="1020"/>
      <c r="H420" s="1020"/>
      <c r="I420" s="1030"/>
      <c r="J420" s="969"/>
      <c r="K420" s="969"/>
      <c r="R420" s="1042"/>
      <c r="S420" s="1042"/>
      <c r="T420" s="1042"/>
      <c r="U420" s="1042"/>
      <c r="V420" s="1042"/>
    </row>
    <row r="421" spans="5:22">
      <c r="E421" s="1301"/>
      <c r="F421" s="1025"/>
      <c r="G421" s="1020"/>
      <c r="H421" s="1020"/>
      <c r="I421" s="1030"/>
      <c r="J421" s="969"/>
      <c r="K421" s="969"/>
      <c r="R421" s="1042"/>
      <c r="S421" s="1042"/>
      <c r="T421" s="1042"/>
      <c r="U421" s="1042"/>
      <c r="V421" s="1042"/>
    </row>
    <row r="422" spans="5:22">
      <c r="E422" s="1301"/>
      <c r="F422" s="1025"/>
      <c r="G422" s="1020"/>
      <c r="H422" s="1020"/>
      <c r="I422" s="1030"/>
      <c r="J422" s="969"/>
      <c r="K422" s="969"/>
      <c r="R422" s="1042"/>
      <c r="S422" s="1042"/>
      <c r="T422" s="1042"/>
      <c r="U422" s="1042"/>
      <c r="V422" s="1042"/>
    </row>
    <row r="423" spans="5:22">
      <c r="E423" s="1301"/>
      <c r="F423" s="1025"/>
      <c r="G423" s="1020"/>
      <c r="H423" s="1020"/>
      <c r="I423" s="1030"/>
      <c r="J423" s="969"/>
      <c r="K423" s="970"/>
      <c r="R423" s="1042"/>
      <c r="S423" s="1042"/>
      <c r="T423" s="1042"/>
      <c r="U423" s="1042"/>
      <c r="V423" s="1042"/>
    </row>
    <row r="424" spans="5:22">
      <c r="E424" s="1301"/>
      <c r="F424" s="1025"/>
      <c r="G424" s="1020"/>
      <c r="H424" s="1020"/>
      <c r="I424" s="1030"/>
      <c r="J424" s="969"/>
      <c r="K424" s="969"/>
      <c r="R424" s="1042"/>
      <c r="S424" s="1042"/>
      <c r="T424" s="1042"/>
      <c r="U424" s="1042"/>
      <c r="V424" s="1042"/>
    </row>
    <row r="425" spans="5:22">
      <c r="E425" s="1301"/>
      <c r="F425" s="1025"/>
      <c r="G425" s="1020"/>
      <c r="H425" s="1020"/>
      <c r="I425" s="1030"/>
      <c r="J425" s="969"/>
      <c r="K425" s="969"/>
      <c r="R425" s="1042"/>
      <c r="S425" s="1042"/>
      <c r="T425" s="1042"/>
      <c r="U425" s="1042"/>
      <c r="V425" s="1042"/>
    </row>
    <row r="426" spans="5:22">
      <c r="E426" s="1301"/>
      <c r="F426" s="1025"/>
      <c r="G426" s="1020"/>
      <c r="H426" s="1020"/>
      <c r="I426" s="1030"/>
      <c r="J426" s="969"/>
      <c r="K426" s="969"/>
      <c r="R426" s="1042"/>
      <c r="S426" s="1042"/>
      <c r="T426" s="1042"/>
      <c r="U426" s="1042"/>
      <c r="V426" s="1042"/>
    </row>
    <row r="427" spans="5:22">
      <c r="E427" s="1301"/>
      <c r="F427" s="1025"/>
      <c r="G427" s="1020"/>
      <c r="H427" s="1020"/>
      <c r="I427" s="1030"/>
      <c r="J427" s="969"/>
      <c r="K427" s="969"/>
      <c r="R427" s="1042"/>
      <c r="S427" s="1042"/>
      <c r="T427" s="1042"/>
      <c r="U427" s="1042"/>
      <c r="V427" s="1042"/>
    </row>
    <row r="428" spans="5:22">
      <c r="E428" s="1301"/>
      <c r="F428" s="1025"/>
      <c r="G428" s="1020"/>
      <c r="H428" s="1020"/>
      <c r="I428" s="1030"/>
      <c r="J428" s="969"/>
      <c r="K428" s="970"/>
      <c r="R428" s="1042"/>
      <c r="S428" s="1042"/>
      <c r="T428" s="1042"/>
      <c r="U428" s="1042"/>
      <c r="V428" s="1042"/>
    </row>
    <row r="429" spans="5:22">
      <c r="E429" s="1301"/>
      <c r="F429" s="1025"/>
      <c r="G429" s="1020"/>
      <c r="H429" s="1020"/>
      <c r="I429" s="1030"/>
      <c r="J429" s="969"/>
      <c r="K429" s="969"/>
      <c r="R429" s="1042"/>
      <c r="S429" s="1042"/>
      <c r="T429" s="1042"/>
      <c r="U429" s="1042"/>
      <c r="V429" s="1042"/>
    </row>
    <row r="430" spans="5:22">
      <c r="E430" s="1301"/>
      <c r="F430" s="1025"/>
      <c r="G430" s="1020"/>
      <c r="H430" s="1020"/>
      <c r="I430" s="1030"/>
      <c r="J430" s="969"/>
      <c r="K430" s="969"/>
      <c r="R430" s="1042"/>
      <c r="S430" s="1042"/>
      <c r="T430" s="1042"/>
      <c r="U430" s="1042"/>
      <c r="V430" s="1042"/>
    </row>
    <row r="431" spans="5:22">
      <c r="E431" s="1301"/>
      <c r="F431" s="1025"/>
      <c r="G431" s="1020"/>
      <c r="H431" s="1020"/>
      <c r="I431" s="1030"/>
      <c r="J431" s="969"/>
      <c r="K431" s="969"/>
      <c r="R431" s="1042"/>
      <c r="S431" s="1042"/>
      <c r="T431" s="1042"/>
      <c r="U431" s="1042"/>
      <c r="V431" s="1042"/>
    </row>
    <row r="432" spans="5:22">
      <c r="E432" s="1301"/>
      <c r="F432" s="1025"/>
      <c r="G432" s="1020"/>
      <c r="H432" s="1020"/>
      <c r="I432" s="1030"/>
      <c r="J432" s="969"/>
      <c r="K432" s="969"/>
      <c r="R432" s="1042"/>
      <c r="S432" s="1042"/>
      <c r="T432" s="1042"/>
      <c r="U432" s="1042"/>
      <c r="V432" s="1042"/>
    </row>
    <row r="433" spans="5:22">
      <c r="E433" s="1301"/>
      <c r="F433" s="1025"/>
      <c r="G433" s="1020"/>
      <c r="H433" s="1020"/>
      <c r="I433" s="1030"/>
      <c r="J433" s="969"/>
      <c r="K433" s="969"/>
      <c r="R433" s="1042"/>
      <c r="S433" s="1042"/>
      <c r="T433" s="1042"/>
      <c r="U433" s="1042"/>
      <c r="V433" s="1042"/>
    </row>
    <row r="434" spans="5:22">
      <c r="E434" s="1301"/>
      <c r="F434" s="1025"/>
      <c r="G434" s="1020"/>
      <c r="H434" s="1020"/>
      <c r="I434" s="1030"/>
      <c r="J434" s="969"/>
      <c r="K434" s="969"/>
      <c r="R434" s="1042"/>
      <c r="S434" s="1042"/>
      <c r="T434" s="1042"/>
      <c r="U434" s="1042"/>
      <c r="V434" s="1042"/>
    </row>
    <row r="435" spans="5:22">
      <c r="E435" s="1301"/>
      <c r="F435" s="1025"/>
      <c r="G435" s="1020"/>
      <c r="H435" s="1020"/>
      <c r="I435" s="1030"/>
      <c r="J435" s="969"/>
      <c r="K435" s="969"/>
      <c r="R435" s="1042"/>
      <c r="S435" s="1042"/>
      <c r="T435" s="1042"/>
      <c r="U435" s="1042"/>
      <c r="V435" s="1042"/>
    </row>
    <row r="436" spans="5:22">
      <c r="E436" s="1301"/>
      <c r="F436" s="1025"/>
      <c r="G436" s="1020"/>
      <c r="H436" s="1020"/>
      <c r="I436" s="1030"/>
      <c r="J436" s="969"/>
      <c r="K436" s="969"/>
      <c r="R436" s="1042"/>
      <c r="S436" s="1042"/>
      <c r="T436" s="1042"/>
      <c r="U436" s="1042"/>
      <c r="V436" s="1042"/>
    </row>
    <row r="437" spans="5:22">
      <c r="E437" s="1301"/>
      <c r="F437" s="1025"/>
      <c r="G437" s="1020"/>
      <c r="H437" s="1020"/>
      <c r="I437" s="1030"/>
      <c r="J437" s="969"/>
      <c r="K437" s="970"/>
      <c r="R437" s="1042"/>
      <c r="S437" s="1042"/>
      <c r="T437" s="1042"/>
      <c r="U437" s="1042"/>
      <c r="V437" s="1042"/>
    </row>
    <row r="438" spans="5:22">
      <c r="E438" s="1301"/>
      <c r="F438" s="1025"/>
      <c r="G438" s="1020"/>
      <c r="H438" s="1020"/>
      <c r="I438" s="1030"/>
      <c r="J438" s="969"/>
      <c r="K438" s="969"/>
      <c r="R438" s="1042"/>
      <c r="S438" s="1042"/>
      <c r="T438" s="1042"/>
      <c r="U438" s="1042"/>
      <c r="V438" s="1042"/>
    </row>
    <row r="439" spans="5:22">
      <c r="E439" s="1301"/>
      <c r="F439" s="1025"/>
      <c r="G439" s="1020"/>
      <c r="H439" s="1020"/>
      <c r="I439" s="1030"/>
      <c r="J439" s="969"/>
      <c r="K439" s="969"/>
      <c r="R439" s="1042"/>
      <c r="S439" s="1042"/>
      <c r="T439" s="1042"/>
      <c r="U439" s="1042"/>
      <c r="V439" s="1042"/>
    </row>
    <row r="440" spans="5:22">
      <c r="E440" s="1301"/>
      <c r="F440" s="1025"/>
      <c r="G440" s="1020"/>
      <c r="H440" s="1020"/>
      <c r="I440" s="1030"/>
      <c r="J440" s="969"/>
      <c r="K440" s="969"/>
      <c r="R440" s="1042"/>
      <c r="S440" s="1042"/>
      <c r="T440" s="1042"/>
      <c r="U440" s="1042"/>
      <c r="V440" s="1042"/>
    </row>
    <row r="441" spans="5:22">
      <c r="E441" s="1301"/>
      <c r="F441" s="1025"/>
      <c r="G441" s="1020"/>
      <c r="H441" s="1020"/>
      <c r="I441" s="1030"/>
      <c r="J441" s="969"/>
      <c r="K441" s="969"/>
      <c r="R441" s="1042"/>
      <c r="S441" s="1042"/>
      <c r="T441" s="1042"/>
      <c r="U441" s="1042"/>
      <c r="V441" s="1042"/>
    </row>
    <row r="442" spans="5:22">
      <c r="E442" s="1301"/>
      <c r="F442" s="1025"/>
      <c r="G442" s="1020"/>
      <c r="H442" s="1020"/>
      <c r="I442" s="1030"/>
      <c r="J442" s="969"/>
      <c r="K442" s="970"/>
      <c r="R442" s="1042"/>
      <c r="S442" s="1042"/>
      <c r="T442" s="1042"/>
      <c r="U442" s="1042"/>
      <c r="V442" s="1042"/>
    </row>
    <row r="443" spans="5:22">
      <c r="E443" s="1301"/>
      <c r="F443" s="1025"/>
      <c r="G443" s="1020"/>
      <c r="H443" s="1020"/>
      <c r="I443" s="1030"/>
      <c r="J443" s="969"/>
      <c r="K443" s="969"/>
      <c r="R443" s="1042"/>
      <c r="S443" s="1042"/>
      <c r="T443" s="1042"/>
      <c r="U443" s="1042"/>
      <c r="V443" s="1042"/>
    </row>
    <row r="444" spans="5:22">
      <c r="E444" s="1301"/>
      <c r="F444" s="1025"/>
      <c r="G444" s="1020"/>
      <c r="H444" s="1020"/>
      <c r="I444" s="1030"/>
      <c r="J444" s="969"/>
      <c r="K444" s="969"/>
      <c r="R444" s="1042"/>
      <c r="S444" s="1042"/>
      <c r="T444" s="1042"/>
      <c r="U444" s="1042"/>
      <c r="V444" s="1042"/>
    </row>
    <row r="445" spans="5:22">
      <c r="E445" s="1301"/>
      <c r="F445" s="1025"/>
      <c r="G445" s="1020"/>
      <c r="H445" s="1020"/>
      <c r="I445" s="1030"/>
      <c r="J445" s="969"/>
      <c r="K445" s="969"/>
      <c r="R445" s="1042"/>
      <c r="S445" s="1042"/>
      <c r="T445" s="1042"/>
      <c r="U445" s="1042"/>
      <c r="V445" s="1042"/>
    </row>
    <row r="446" spans="5:22">
      <c r="E446" s="1301"/>
      <c r="F446" s="1025"/>
      <c r="G446" s="1020"/>
      <c r="H446" s="1020"/>
      <c r="I446" s="1030"/>
      <c r="J446" s="969"/>
      <c r="K446" s="969"/>
      <c r="R446" s="1042"/>
      <c r="S446" s="1042"/>
      <c r="T446" s="1042"/>
      <c r="U446" s="1042"/>
      <c r="V446" s="1042"/>
    </row>
    <row r="447" spans="5:22">
      <c r="E447" s="1301"/>
      <c r="F447" s="1025"/>
      <c r="G447" s="1020"/>
      <c r="H447" s="1020"/>
      <c r="I447" s="1030"/>
      <c r="J447" s="969"/>
      <c r="K447" s="969"/>
      <c r="R447" s="1042"/>
      <c r="S447" s="1042"/>
      <c r="T447" s="1042"/>
      <c r="U447" s="1042"/>
      <c r="V447" s="1042"/>
    </row>
    <row r="448" spans="5:22">
      <c r="E448" s="1301"/>
      <c r="F448" s="1025"/>
      <c r="G448" s="1020"/>
      <c r="H448" s="1020"/>
      <c r="I448" s="1030"/>
      <c r="J448" s="969"/>
      <c r="K448" s="969"/>
      <c r="R448" s="1042"/>
      <c r="S448" s="1042"/>
      <c r="T448" s="1042"/>
      <c r="U448" s="1042"/>
      <c r="V448" s="1042"/>
    </row>
    <row r="449" spans="5:22">
      <c r="E449" s="1301"/>
      <c r="F449" s="1025"/>
      <c r="G449" s="1020"/>
      <c r="H449" s="1020"/>
      <c r="I449" s="1030"/>
      <c r="J449" s="969"/>
      <c r="K449" s="969"/>
      <c r="R449" s="1042"/>
      <c r="S449" s="1042"/>
      <c r="T449" s="1042"/>
      <c r="U449" s="1042"/>
      <c r="V449" s="1042"/>
    </row>
    <row r="450" spans="5:22">
      <c r="E450" s="1301"/>
      <c r="F450" s="1025"/>
      <c r="G450" s="1020"/>
      <c r="H450" s="1020"/>
      <c r="I450" s="1030"/>
      <c r="J450" s="969"/>
      <c r="K450" s="969"/>
      <c r="R450" s="1042"/>
      <c r="S450" s="1042"/>
      <c r="T450" s="1042"/>
      <c r="U450" s="1042"/>
      <c r="V450" s="1042"/>
    </row>
    <row r="451" spans="5:22">
      <c r="E451" s="1301"/>
      <c r="F451" s="1025"/>
      <c r="G451" s="1020"/>
      <c r="H451" s="1020"/>
      <c r="I451" s="1030"/>
      <c r="J451" s="969"/>
      <c r="K451" s="970"/>
      <c r="R451" s="1042"/>
      <c r="S451" s="1042"/>
      <c r="T451" s="1042"/>
      <c r="U451" s="1042"/>
      <c r="V451" s="1042"/>
    </row>
    <row r="452" spans="5:22">
      <c r="E452" s="1301"/>
      <c r="F452" s="1025"/>
      <c r="G452" s="1020"/>
      <c r="H452" s="1020"/>
      <c r="I452" s="1030"/>
      <c r="J452" s="969"/>
      <c r="K452" s="969"/>
      <c r="R452" s="1042"/>
      <c r="S452" s="1042"/>
      <c r="T452" s="1042"/>
      <c r="U452" s="1042"/>
      <c r="V452" s="1042"/>
    </row>
    <row r="453" spans="5:22">
      <c r="E453" s="1301"/>
      <c r="F453" s="1025"/>
      <c r="G453" s="1020"/>
      <c r="H453" s="1020"/>
      <c r="I453" s="1030"/>
      <c r="J453" s="969"/>
      <c r="K453" s="969"/>
      <c r="R453" s="1042"/>
      <c r="S453" s="1042"/>
      <c r="T453" s="1042"/>
      <c r="U453" s="1042"/>
      <c r="V453" s="1042"/>
    </row>
    <row r="454" spans="5:22">
      <c r="E454" s="1301"/>
      <c r="F454" s="1025"/>
      <c r="G454" s="1020"/>
      <c r="H454" s="1020"/>
      <c r="I454" s="1030"/>
      <c r="J454" s="969"/>
      <c r="K454" s="969"/>
      <c r="R454" s="1042"/>
      <c r="S454" s="1042"/>
      <c r="T454" s="1042"/>
      <c r="U454" s="1042"/>
      <c r="V454" s="1042"/>
    </row>
    <row r="455" spans="5:22">
      <c r="E455" s="1301"/>
      <c r="F455" s="1025"/>
      <c r="G455" s="1020"/>
      <c r="H455" s="1020"/>
      <c r="I455" s="1030"/>
      <c r="J455" s="969"/>
      <c r="K455" s="969"/>
      <c r="R455" s="1042"/>
      <c r="S455" s="1042"/>
      <c r="T455" s="1042"/>
      <c r="U455" s="1042"/>
      <c r="V455" s="1042"/>
    </row>
    <row r="456" spans="5:22">
      <c r="E456" s="1301"/>
      <c r="F456" s="1025"/>
      <c r="G456" s="1020"/>
      <c r="H456" s="1020"/>
      <c r="I456" s="1030"/>
      <c r="J456" s="969"/>
      <c r="K456" s="970"/>
      <c r="R456" s="1042"/>
      <c r="S456" s="1042"/>
      <c r="T456" s="1042"/>
      <c r="U456" s="1042"/>
      <c r="V456" s="1042"/>
    </row>
    <row r="457" spans="5:22">
      <c r="E457" s="1301"/>
      <c r="F457" s="1025"/>
      <c r="G457" s="1020"/>
      <c r="H457" s="1020"/>
      <c r="I457" s="1030"/>
      <c r="J457" s="969"/>
      <c r="K457" s="969"/>
      <c r="R457" s="1042"/>
      <c r="S457" s="1042"/>
      <c r="T457" s="1042"/>
      <c r="U457" s="1042"/>
      <c r="V457" s="1042"/>
    </row>
    <row r="458" spans="5:22">
      <c r="E458" s="1301"/>
      <c r="F458" s="1025"/>
      <c r="G458" s="1020"/>
      <c r="H458" s="1020"/>
      <c r="I458" s="1030"/>
      <c r="J458" s="969"/>
      <c r="K458" s="969"/>
      <c r="R458" s="1042"/>
      <c r="S458" s="1042"/>
      <c r="T458" s="1042"/>
      <c r="U458" s="1042"/>
      <c r="V458" s="1042"/>
    </row>
    <row r="459" spans="5:22">
      <c r="E459" s="1301"/>
      <c r="F459" s="1025"/>
      <c r="G459" s="1020"/>
      <c r="H459" s="1020"/>
      <c r="I459" s="1030"/>
      <c r="J459" s="969"/>
      <c r="K459" s="969"/>
      <c r="R459" s="1042"/>
      <c r="S459" s="1042"/>
      <c r="T459" s="1042"/>
      <c r="U459" s="1042"/>
      <c r="V459" s="1042"/>
    </row>
    <row r="460" spans="5:22">
      <c r="E460" s="1301"/>
      <c r="F460" s="1025"/>
      <c r="G460" s="1020"/>
      <c r="H460" s="1020"/>
      <c r="I460" s="1030"/>
      <c r="J460" s="969"/>
      <c r="K460" s="969"/>
      <c r="R460" s="1042"/>
      <c r="S460" s="1042"/>
      <c r="T460" s="1042"/>
      <c r="U460" s="1042"/>
      <c r="V460" s="1042"/>
    </row>
    <row r="461" spans="5:22">
      <c r="E461" s="1301"/>
      <c r="F461" s="1025"/>
      <c r="G461" s="1020"/>
      <c r="H461" s="1020"/>
      <c r="I461" s="1030"/>
      <c r="J461" s="969"/>
      <c r="K461" s="969"/>
      <c r="R461" s="1042"/>
      <c r="S461" s="1042"/>
      <c r="T461" s="1042"/>
      <c r="U461" s="1042"/>
      <c r="V461" s="1042"/>
    </row>
    <row r="462" spans="5:22">
      <c r="E462" s="1301"/>
      <c r="F462" s="1025"/>
      <c r="G462" s="1020"/>
      <c r="H462" s="1020"/>
      <c r="I462" s="1030"/>
      <c r="J462" s="969"/>
      <c r="K462" s="969"/>
      <c r="R462" s="1042"/>
      <c r="S462" s="1042"/>
      <c r="T462" s="1042"/>
      <c r="U462" s="1042"/>
      <c r="V462" s="1042"/>
    </row>
    <row r="463" spans="5:22">
      <c r="E463" s="1301"/>
      <c r="F463" s="1025"/>
      <c r="G463" s="1020"/>
      <c r="H463" s="1020"/>
      <c r="I463" s="1030"/>
      <c r="J463" s="969"/>
      <c r="K463" s="969"/>
      <c r="R463" s="1042"/>
      <c r="S463" s="1042"/>
      <c r="T463" s="1042"/>
      <c r="U463" s="1042"/>
      <c r="V463" s="1042"/>
    </row>
    <row r="464" spans="5:22">
      <c r="E464" s="1301"/>
      <c r="F464" s="1025"/>
      <c r="G464" s="1020"/>
      <c r="H464" s="1020"/>
      <c r="I464" s="1030"/>
      <c r="J464" s="969"/>
      <c r="K464" s="969"/>
      <c r="R464" s="1042"/>
      <c r="S464" s="1042"/>
      <c r="T464" s="1042"/>
      <c r="U464" s="1042"/>
      <c r="V464" s="1042"/>
    </row>
    <row r="465" spans="5:22">
      <c r="E465" s="1301"/>
      <c r="F465" s="1025"/>
      <c r="G465" s="1020"/>
      <c r="H465" s="1020"/>
      <c r="I465" s="1030"/>
      <c r="J465" s="969"/>
      <c r="K465" s="970"/>
      <c r="R465" s="1042"/>
      <c r="S465" s="1042"/>
      <c r="T465" s="1042"/>
      <c r="U465" s="1042"/>
      <c r="V465" s="1042"/>
    </row>
    <row r="466" spans="5:22">
      <c r="E466" s="1301"/>
      <c r="F466" s="1025"/>
      <c r="G466" s="1020"/>
      <c r="H466" s="1020"/>
      <c r="I466" s="1030"/>
      <c r="J466" s="969"/>
      <c r="K466" s="969"/>
      <c r="R466" s="1042"/>
      <c r="S466" s="1042"/>
      <c r="T466" s="1042"/>
      <c r="U466" s="1042"/>
      <c r="V466" s="1042"/>
    </row>
    <row r="467" spans="5:22">
      <c r="E467" s="1301"/>
      <c r="F467" s="1025"/>
      <c r="G467" s="1020"/>
      <c r="H467" s="1020"/>
      <c r="I467" s="1030"/>
      <c r="J467" s="969"/>
      <c r="K467" s="969"/>
      <c r="R467" s="1042"/>
      <c r="S467" s="1042"/>
      <c r="T467" s="1042"/>
      <c r="U467" s="1042"/>
      <c r="V467" s="1042"/>
    </row>
    <row r="468" spans="5:22">
      <c r="E468" s="1301"/>
      <c r="F468" s="1025"/>
      <c r="G468" s="1020"/>
      <c r="H468" s="1020"/>
      <c r="I468" s="1030"/>
      <c r="J468" s="969"/>
      <c r="K468" s="969"/>
      <c r="R468" s="1042"/>
      <c r="S468" s="1042"/>
      <c r="T468" s="1042"/>
      <c r="U468" s="1042"/>
      <c r="V468" s="1042"/>
    </row>
    <row r="469" spans="5:22">
      <c r="E469" s="1301"/>
      <c r="F469" s="1025"/>
      <c r="G469" s="1020"/>
      <c r="H469" s="1020"/>
      <c r="I469" s="1030"/>
      <c r="J469" s="969"/>
      <c r="K469" s="969"/>
      <c r="R469" s="1042"/>
      <c r="S469" s="1042"/>
      <c r="T469" s="1042"/>
      <c r="U469" s="1042"/>
      <c r="V469" s="1042"/>
    </row>
    <row r="470" spans="5:22">
      <c r="E470" s="1301"/>
      <c r="F470" s="1025"/>
      <c r="G470" s="1020"/>
      <c r="H470" s="1020"/>
      <c r="I470" s="1030"/>
      <c r="J470" s="969"/>
      <c r="K470" s="970"/>
      <c r="R470" s="1042"/>
      <c r="S470" s="1042"/>
      <c r="T470" s="1042"/>
      <c r="U470" s="1042"/>
      <c r="V470" s="1042"/>
    </row>
    <row r="471" spans="5:22">
      <c r="E471" s="1301"/>
      <c r="F471" s="1025"/>
      <c r="G471" s="1020"/>
      <c r="H471" s="1020"/>
      <c r="I471" s="1030"/>
      <c r="J471" s="969"/>
      <c r="K471" s="969"/>
      <c r="R471" s="1042"/>
      <c r="S471" s="1042"/>
      <c r="T471" s="1042"/>
      <c r="U471" s="1042"/>
      <c r="V471" s="1042"/>
    </row>
    <row r="472" spans="5:22">
      <c r="E472" s="1301"/>
      <c r="F472" s="1025"/>
      <c r="G472" s="1020"/>
      <c r="H472" s="1020"/>
      <c r="I472" s="1030"/>
      <c r="J472" s="969"/>
      <c r="K472" s="969"/>
      <c r="R472" s="1042"/>
      <c r="S472" s="1042"/>
      <c r="T472" s="1042"/>
      <c r="U472" s="1042"/>
      <c r="V472" s="1042"/>
    </row>
    <row r="473" spans="5:22">
      <c r="E473" s="1301"/>
      <c r="F473" s="1025"/>
      <c r="G473" s="1020"/>
      <c r="H473" s="1020"/>
      <c r="I473" s="1030"/>
      <c r="J473" s="969"/>
      <c r="K473" s="969"/>
      <c r="R473" s="1042"/>
      <c r="S473" s="1042"/>
      <c r="T473" s="1042"/>
      <c r="U473" s="1042"/>
      <c r="V473" s="1042"/>
    </row>
    <row r="474" spans="5:22">
      <c r="E474" s="1301"/>
      <c r="F474" s="1025"/>
      <c r="G474" s="1020"/>
      <c r="H474" s="1020"/>
      <c r="I474" s="1030"/>
      <c r="J474" s="969"/>
      <c r="K474" s="969"/>
      <c r="R474" s="1042"/>
      <c r="S474" s="1042"/>
      <c r="T474" s="1042"/>
      <c r="U474" s="1042"/>
      <c r="V474" s="1042"/>
    </row>
    <row r="475" spans="5:22">
      <c r="E475" s="1301"/>
      <c r="F475" s="1025"/>
      <c r="G475" s="1020"/>
      <c r="H475" s="1020"/>
      <c r="I475" s="1030"/>
      <c r="J475" s="969"/>
      <c r="K475" s="969"/>
      <c r="R475" s="1042"/>
      <c r="S475" s="1042"/>
      <c r="T475" s="1042"/>
      <c r="U475" s="1042"/>
      <c r="V475" s="1042"/>
    </row>
    <row r="476" spans="5:22">
      <c r="E476" s="1301"/>
      <c r="F476" s="1025"/>
      <c r="G476" s="1020"/>
      <c r="H476" s="1020"/>
      <c r="I476" s="1030"/>
      <c r="J476" s="969"/>
      <c r="K476" s="969"/>
      <c r="R476" s="1042"/>
      <c r="S476" s="1042"/>
      <c r="T476" s="1042"/>
      <c r="U476" s="1042"/>
      <c r="V476" s="1042"/>
    </row>
    <row r="477" spans="5:22">
      <c r="E477" s="1301"/>
      <c r="F477" s="1025"/>
      <c r="G477" s="1020"/>
      <c r="H477" s="1020"/>
      <c r="I477" s="1030"/>
      <c r="J477" s="969"/>
      <c r="K477" s="969"/>
      <c r="R477" s="1042"/>
      <c r="S477" s="1042"/>
      <c r="T477" s="1042"/>
      <c r="U477" s="1042"/>
      <c r="V477" s="1042"/>
    </row>
    <row r="478" spans="5:22">
      <c r="E478" s="1301"/>
      <c r="F478" s="1025"/>
      <c r="G478" s="1020"/>
      <c r="H478" s="1020"/>
      <c r="I478" s="1030"/>
      <c r="J478" s="969"/>
      <c r="K478" s="969"/>
      <c r="R478" s="1042"/>
      <c r="S478" s="1042"/>
      <c r="T478" s="1042"/>
      <c r="U478" s="1042"/>
      <c r="V478" s="1042"/>
    </row>
    <row r="479" spans="5:22">
      <c r="E479" s="1301"/>
      <c r="F479" s="1025"/>
      <c r="G479" s="1020"/>
      <c r="H479" s="1020"/>
      <c r="I479" s="1030"/>
      <c r="J479" s="969"/>
      <c r="K479" s="970"/>
      <c r="R479" s="1042"/>
      <c r="S479" s="1042"/>
      <c r="T479" s="1042"/>
      <c r="U479" s="1042"/>
      <c r="V479" s="1042"/>
    </row>
    <row r="480" spans="5:22">
      <c r="E480" s="1301"/>
      <c r="F480" s="1025"/>
      <c r="G480" s="1020"/>
      <c r="H480" s="1020"/>
      <c r="I480" s="1030"/>
      <c r="J480" s="969"/>
      <c r="K480" s="969"/>
      <c r="R480" s="1042"/>
      <c r="S480" s="1042"/>
      <c r="T480" s="1042"/>
      <c r="U480" s="1042"/>
      <c r="V480" s="1042"/>
    </row>
    <row r="481" spans="5:22">
      <c r="E481" s="1301"/>
      <c r="F481" s="1025"/>
      <c r="G481" s="1020"/>
      <c r="H481" s="1020"/>
      <c r="I481" s="1030"/>
      <c r="J481" s="969"/>
      <c r="K481" s="969"/>
      <c r="R481" s="1042"/>
      <c r="S481" s="1042"/>
      <c r="T481" s="1042"/>
      <c r="U481" s="1042"/>
      <c r="V481" s="1042"/>
    </row>
    <row r="482" spans="5:22">
      <c r="E482" s="1301"/>
      <c r="F482" s="1025"/>
      <c r="G482" s="1020"/>
      <c r="H482" s="1020"/>
      <c r="I482" s="1030"/>
      <c r="J482" s="969"/>
      <c r="K482" s="969"/>
      <c r="R482" s="1042"/>
      <c r="S482" s="1042"/>
      <c r="T482" s="1042"/>
      <c r="U482" s="1042"/>
      <c r="V482" s="1042"/>
    </row>
    <row r="483" spans="5:22">
      <c r="E483" s="1301"/>
      <c r="F483" s="1025"/>
      <c r="G483" s="1020"/>
      <c r="H483" s="1020"/>
      <c r="I483" s="1030"/>
      <c r="J483" s="969"/>
      <c r="K483" s="969"/>
      <c r="R483" s="1042"/>
      <c r="S483" s="1042"/>
      <c r="T483" s="1042"/>
      <c r="U483" s="1042"/>
      <c r="V483" s="1042"/>
    </row>
    <row r="484" spans="5:22">
      <c r="E484" s="1301"/>
      <c r="F484" s="1025"/>
      <c r="G484" s="1020"/>
      <c r="H484" s="1020"/>
      <c r="I484" s="1030"/>
      <c r="J484" s="969"/>
      <c r="K484" s="970"/>
      <c r="R484" s="1042"/>
      <c r="S484" s="1042"/>
      <c r="T484" s="1042"/>
      <c r="U484" s="1042"/>
      <c r="V484" s="1042"/>
    </row>
    <row r="485" spans="5:22">
      <c r="E485" s="1301"/>
      <c r="F485" s="1025"/>
      <c r="G485" s="1020"/>
      <c r="H485" s="1020"/>
      <c r="I485" s="1030"/>
      <c r="J485" s="969"/>
      <c r="K485" s="969"/>
      <c r="R485" s="1042"/>
      <c r="S485" s="1042"/>
      <c r="T485" s="1042"/>
      <c r="U485" s="1042"/>
      <c r="V485" s="1042"/>
    </row>
    <row r="486" spans="5:22">
      <c r="E486" s="1301"/>
      <c r="F486" s="1025"/>
      <c r="G486" s="1020"/>
      <c r="H486" s="1020"/>
      <c r="I486" s="1030"/>
      <c r="J486" s="969"/>
      <c r="K486" s="969"/>
      <c r="R486" s="1042"/>
      <c r="S486" s="1042"/>
      <c r="T486" s="1042"/>
      <c r="U486" s="1042"/>
      <c r="V486" s="1042"/>
    </row>
    <row r="487" spans="5:22">
      <c r="E487" s="1301"/>
      <c r="F487" s="1025"/>
      <c r="G487" s="1020"/>
      <c r="H487" s="1020"/>
      <c r="I487" s="1030"/>
      <c r="J487" s="969"/>
      <c r="K487" s="969"/>
      <c r="R487" s="1042"/>
      <c r="S487" s="1042"/>
      <c r="T487" s="1042"/>
      <c r="U487" s="1042"/>
      <c r="V487" s="1042"/>
    </row>
    <row r="488" spans="5:22">
      <c r="E488" s="1301"/>
      <c r="F488" s="1025"/>
      <c r="G488" s="1020"/>
      <c r="H488" s="1020"/>
      <c r="I488" s="1030"/>
      <c r="J488" s="969"/>
      <c r="K488" s="969"/>
      <c r="R488" s="1042"/>
      <c r="S488" s="1042"/>
      <c r="T488" s="1042"/>
      <c r="U488" s="1042"/>
      <c r="V488" s="1042"/>
    </row>
    <row r="489" spans="5:22">
      <c r="E489" s="1301"/>
      <c r="F489" s="1025"/>
      <c r="G489" s="1020"/>
      <c r="H489" s="1020"/>
      <c r="I489" s="1030"/>
      <c r="J489" s="969"/>
      <c r="K489" s="969"/>
      <c r="R489" s="1042"/>
      <c r="S489" s="1042"/>
      <c r="T489" s="1042"/>
      <c r="U489" s="1042"/>
      <c r="V489" s="1042"/>
    </row>
    <row r="490" spans="5:22">
      <c r="E490" s="1301"/>
      <c r="F490" s="1025"/>
      <c r="G490" s="1020"/>
      <c r="H490" s="1020"/>
      <c r="I490" s="1030"/>
      <c r="J490" s="969"/>
      <c r="K490" s="969"/>
      <c r="R490" s="1042"/>
      <c r="S490" s="1042"/>
      <c r="T490" s="1042"/>
      <c r="U490" s="1042"/>
      <c r="V490" s="1042"/>
    </row>
    <row r="491" spans="5:22">
      <c r="E491" s="1301"/>
      <c r="F491" s="1025"/>
      <c r="G491" s="1020"/>
      <c r="H491" s="1020"/>
      <c r="I491" s="1030"/>
      <c r="J491" s="969"/>
      <c r="K491" s="969"/>
      <c r="R491" s="1042"/>
      <c r="S491" s="1042"/>
      <c r="T491" s="1042"/>
      <c r="U491" s="1042"/>
      <c r="V491" s="1042"/>
    </row>
    <row r="492" spans="5:22">
      <c r="E492" s="1301"/>
      <c r="F492" s="1025"/>
      <c r="G492" s="1020"/>
      <c r="H492" s="1020"/>
      <c r="I492" s="1030"/>
      <c r="J492" s="969"/>
      <c r="K492" s="969"/>
      <c r="R492" s="1042"/>
      <c r="S492" s="1042"/>
      <c r="T492" s="1042"/>
      <c r="U492" s="1042"/>
      <c r="V492" s="1042"/>
    </row>
    <row r="493" spans="5:22">
      <c r="E493" s="1301"/>
      <c r="F493" s="1025"/>
      <c r="G493" s="1020"/>
      <c r="H493" s="1020"/>
      <c r="I493" s="1030"/>
      <c r="J493" s="969"/>
      <c r="K493" s="970"/>
      <c r="R493" s="1042"/>
      <c r="S493" s="1042"/>
      <c r="T493" s="1042"/>
      <c r="U493" s="1042"/>
      <c r="V493" s="1042"/>
    </row>
    <row r="494" spans="5:22">
      <c r="E494" s="1301"/>
      <c r="F494" s="1025"/>
      <c r="G494" s="1020"/>
      <c r="H494" s="1020"/>
      <c r="I494" s="1030"/>
      <c r="J494" s="969"/>
      <c r="K494" s="969"/>
      <c r="R494" s="1042"/>
      <c r="S494" s="1042"/>
      <c r="T494" s="1042"/>
      <c r="U494" s="1042"/>
      <c r="V494" s="1042"/>
    </row>
    <row r="495" spans="5:22">
      <c r="E495" s="1301"/>
      <c r="F495" s="1025"/>
      <c r="G495" s="1020"/>
      <c r="H495" s="1020"/>
      <c r="I495" s="1030"/>
      <c r="J495" s="969"/>
      <c r="K495" s="969"/>
      <c r="R495" s="1042"/>
      <c r="S495" s="1042"/>
      <c r="T495" s="1042"/>
      <c r="U495" s="1042"/>
      <c r="V495" s="1042"/>
    </row>
    <row r="496" spans="5:22">
      <c r="E496" s="1301"/>
      <c r="F496" s="1025"/>
      <c r="G496" s="1020"/>
      <c r="H496" s="1020"/>
      <c r="I496" s="1030"/>
      <c r="J496" s="969"/>
      <c r="K496" s="969"/>
      <c r="R496" s="1042"/>
      <c r="S496" s="1042"/>
      <c r="T496" s="1042"/>
      <c r="U496" s="1042"/>
      <c r="V496" s="1042"/>
    </row>
    <row r="497" spans="5:22">
      <c r="E497" s="1301"/>
      <c r="F497" s="1025"/>
      <c r="G497" s="1020"/>
      <c r="H497" s="1020"/>
      <c r="I497" s="1030"/>
      <c r="J497" s="969"/>
      <c r="K497" s="969"/>
      <c r="R497" s="1042"/>
      <c r="S497" s="1042"/>
      <c r="T497" s="1042"/>
      <c r="U497" s="1042"/>
      <c r="V497" s="1042"/>
    </row>
    <row r="498" spans="5:22">
      <c r="E498" s="1301"/>
      <c r="F498" s="1025"/>
      <c r="G498" s="1020"/>
      <c r="H498" s="1020"/>
      <c r="I498" s="1030"/>
      <c r="J498" s="969"/>
      <c r="K498" s="969"/>
      <c r="R498" s="1042"/>
      <c r="S498" s="1042"/>
      <c r="T498" s="1042"/>
      <c r="U498" s="1042"/>
      <c r="V498" s="1042"/>
    </row>
    <row r="499" spans="5:22">
      <c r="E499" s="1301"/>
      <c r="F499" s="1025"/>
      <c r="G499" s="1020"/>
      <c r="H499" s="1020"/>
      <c r="I499" s="1030"/>
      <c r="J499" s="969"/>
      <c r="K499" s="970"/>
      <c r="R499" s="1042"/>
      <c r="S499" s="1042"/>
      <c r="T499" s="1042"/>
      <c r="U499" s="1042"/>
      <c r="V499" s="1042"/>
    </row>
    <row r="500" spans="5:22">
      <c r="E500" s="1301"/>
      <c r="F500" s="1025"/>
      <c r="G500" s="1020"/>
      <c r="H500" s="1020"/>
      <c r="I500" s="1030"/>
      <c r="J500" s="969"/>
      <c r="K500" s="969"/>
      <c r="R500" s="1042"/>
      <c r="S500" s="1042"/>
      <c r="T500" s="1042"/>
      <c r="U500" s="1042"/>
      <c r="V500" s="1042"/>
    </row>
    <row r="501" spans="5:22">
      <c r="E501" s="1301"/>
      <c r="F501" s="1025"/>
      <c r="G501" s="1020"/>
      <c r="H501" s="1020"/>
      <c r="I501" s="1030"/>
      <c r="J501" s="969"/>
      <c r="K501" s="969"/>
      <c r="R501" s="1042"/>
      <c r="S501" s="1042"/>
      <c r="T501" s="1042"/>
      <c r="U501" s="1042"/>
      <c r="V501" s="1042"/>
    </row>
    <row r="502" spans="5:22">
      <c r="E502" s="1301"/>
      <c r="F502" s="1025"/>
      <c r="G502" s="1020"/>
      <c r="H502" s="1020"/>
      <c r="I502" s="1030"/>
      <c r="J502" s="969"/>
      <c r="K502" s="969"/>
      <c r="R502" s="1042"/>
      <c r="S502" s="1042"/>
      <c r="T502" s="1042"/>
      <c r="U502" s="1042"/>
      <c r="V502" s="1042"/>
    </row>
    <row r="503" spans="5:22">
      <c r="E503" s="1301"/>
      <c r="F503" s="1025"/>
      <c r="G503" s="1020"/>
      <c r="H503" s="1020"/>
      <c r="I503" s="1030"/>
      <c r="J503" s="969"/>
      <c r="K503" s="970"/>
      <c r="R503" s="1042"/>
      <c r="S503" s="1042"/>
      <c r="T503" s="1042"/>
      <c r="U503" s="1042"/>
      <c r="V503" s="1042"/>
    </row>
    <row r="504" spans="5:22">
      <c r="E504" s="1301"/>
      <c r="F504" s="1025"/>
      <c r="G504" s="1020"/>
      <c r="H504" s="1020"/>
      <c r="I504" s="1030"/>
      <c r="J504" s="969"/>
      <c r="K504" s="969"/>
      <c r="R504" s="1042"/>
      <c r="S504" s="1042"/>
      <c r="T504" s="1042"/>
      <c r="U504" s="1042"/>
      <c r="V504" s="1042"/>
    </row>
    <row r="505" spans="5:22">
      <c r="E505" s="1301"/>
      <c r="F505" s="1025"/>
      <c r="G505" s="1020"/>
      <c r="H505" s="1020"/>
      <c r="I505" s="1030"/>
      <c r="J505" s="969"/>
      <c r="K505" s="969"/>
      <c r="R505" s="1042"/>
      <c r="S505" s="1042"/>
      <c r="T505" s="1042"/>
      <c r="U505" s="1042"/>
      <c r="V505" s="1042"/>
    </row>
    <row r="506" spans="5:22">
      <c r="E506" s="1301"/>
      <c r="F506" s="1025"/>
      <c r="G506" s="1020"/>
      <c r="H506" s="1020"/>
      <c r="I506" s="1030"/>
      <c r="J506" s="969"/>
      <c r="K506" s="969"/>
      <c r="R506" s="1042"/>
      <c r="S506" s="1042"/>
      <c r="T506" s="1042"/>
      <c r="U506" s="1042"/>
      <c r="V506" s="1042"/>
    </row>
    <row r="507" spans="5:22">
      <c r="E507" s="1301"/>
      <c r="F507" s="1025"/>
      <c r="G507" s="1020"/>
      <c r="H507" s="1020"/>
      <c r="I507" s="1030"/>
      <c r="J507" s="969"/>
      <c r="K507" s="970"/>
      <c r="R507" s="1042"/>
      <c r="S507" s="1042"/>
      <c r="T507" s="1042"/>
      <c r="U507" s="1042"/>
      <c r="V507" s="1042"/>
    </row>
    <row r="508" spans="5:22">
      <c r="E508" s="1301"/>
      <c r="F508" s="1025"/>
      <c r="G508" s="1020"/>
      <c r="H508" s="1020"/>
      <c r="I508" s="1030"/>
      <c r="J508" s="969"/>
      <c r="K508" s="969"/>
      <c r="R508" s="1042"/>
      <c r="S508" s="1042"/>
      <c r="T508" s="1042"/>
      <c r="U508" s="1042"/>
      <c r="V508" s="1042"/>
    </row>
    <row r="509" spans="5:22">
      <c r="E509" s="1301"/>
      <c r="F509" s="1025"/>
      <c r="G509" s="1020"/>
      <c r="H509" s="1020"/>
      <c r="I509" s="1030"/>
      <c r="J509" s="969"/>
      <c r="K509" s="969"/>
      <c r="R509" s="1042"/>
      <c r="S509" s="1042"/>
      <c r="T509" s="1042"/>
      <c r="U509" s="1042"/>
      <c r="V509" s="1042"/>
    </row>
    <row r="510" spans="5:22">
      <c r="E510" s="1301"/>
      <c r="F510" s="1025"/>
      <c r="G510" s="1020"/>
      <c r="H510" s="1020"/>
      <c r="I510" s="1030"/>
      <c r="J510" s="969"/>
      <c r="K510" s="969"/>
      <c r="R510" s="1042"/>
      <c r="S510" s="1042"/>
      <c r="T510" s="1042"/>
      <c r="U510" s="1042"/>
      <c r="V510" s="1042"/>
    </row>
    <row r="511" spans="5:22">
      <c r="E511" s="1301"/>
      <c r="F511" s="1025"/>
      <c r="G511" s="1020"/>
      <c r="H511" s="1020"/>
      <c r="I511" s="1030"/>
      <c r="J511" s="969"/>
      <c r="K511" s="969"/>
      <c r="R511" s="1042"/>
      <c r="S511" s="1042"/>
      <c r="T511" s="1042"/>
      <c r="U511" s="1042"/>
      <c r="V511" s="1042"/>
    </row>
    <row r="512" spans="5:22">
      <c r="E512" s="1301"/>
      <c r="F512" s="1025"/>
      <c r="G512" s="1020"/>
      <c r="H512" s="1020"/>
      <c r="I512" s="1030"/>
      <c r="J512" s="969"/>
      <c r="K512" s="970"/>
      <c r="R512" s="1042"/>
      <c r="S512" s="1042"/>
      <c r="T512" s="1042"/>
      <c r="U512" s="1042"/>
      <c r="V512" s="1042"/>
    </row>
    <row r="513" spans="5:22">
      <c r="E513" s="1301"/>
      <c r="F513" s="1025"/>
      <c r="G513" s="1020"/>
      <c r="H513" s="1020"/>
      <c r="I513" s="1030"/>
      <c r="J513" s="969"/>
      <c r="K513" s="969"/>
      <c r="R513" s="1042"/>
      <c r="S513" s="1042"/>
      <c r="T513" s="1042"/>
      <c r="U513" s="1042"/>
      <c r="V513" s="1042"/>
    </row>
    <row r="514" spans="5:22">
      <c r="E514" s="1301"/>
      <c r="F514" s="1025"/>
      <c r="G514" s="1020"/>
      <c r="H514" s="1020"/>
      <c r="I514" s="1030"/>
      <c r="J514" s="969"/>
      <c r="K514" s="969"/>
      <c r="R514" s="1042"/>
      <c r="S514" s="1042"/>
      <c r="T514" s="1042"/>
      <c r="U514" s="1042"/>
      <c r="V514" s="1042"/>
    </row>
    <row r="515" spans="5:22">
      <c r="E515" s="1301"/>
      <c r="F515" s="1025"/>
      <c r="G515" s="1020"/>
      <c r="H515" s="1020"/>
      <c r="I515" s="1030"/>
      <c r="J515" s="969"/>
      <c r="K515" s="969"/>
      <c r="R515" s="1042"/>
      <c r="S515" s="1042"/>
      <c r="T515" s="1042"/>
      <c r="U515" s="1042"/>
      <c r="V515" s="1042"/>
    </row>
    <row r="516" spans="5:22">
      <c r="E516" s="1301"/>
      <c r="F516" s="1025"/>
      <c r="G516" s="1020"/>
      <c r="H516" s="1020"/>
      <c r="I516" s="1030"/>
      <c r="J516" s="969"/>
      <c r="K516" s="969"/>
      <c r="R516" s="1042"/>
      <c r="S516" s="1042"/>
      <c r="T516" s="1042"/>
      <c r="U516" s="1042"/>
      <c r="V516" s="1042"/>
    </row>
    <row r="517" spans="5:22">
      <c r="E517" s="1301"/>
      <c r="F517" s="1025"/>
      <c r="G517" s="1020"/>
      <c r="H517" s="1020"/>
      <c r="I517" s="1030"/>
      <c r="J517" s="969"/>
      <c r="K517" s="969"/>
      <c r="R517" s="1042"/>
      <c r="S517" s="1042"/>
      <c r="T517" s="1042"/>
      <c r="U517" s="1042"/>
      <c r="V517" s="1042"/>
    </row>
    <row r="518" spans="5:22">
      <c r="E518" s="1301"/>
      <c r="F518" s="1025"/>
      <c r="G518" s="1020"/>
      <c r="H518" s="1020"/>
      <c r="I518" s="1030"/>
      <c r="J518" s="969"/>
      <c r="K518" s="969"/>
      <c r="R518" s="1042"/>
      <c r="S518" s="1042"/>
      <c r="T518" s="1042"/>
      <c r="U518" s="1042"/>
      <c r="V518" s="1042"/>
    </row>
    <row r="519" spans="5:22">
      <c r="E519" s="1301"/>
      <c r="F519" s="1025"/>
      <c r="G519" s="1020"/>
      <c r="H519" s="1020"/>
      <c r="I519" s="1030"/>
      <c r="J519" s="969"/>
      <c r="K519" s="969"/>
      <c r="R519" s="1042"/>
      <c r="S519" s="1042"/>
      <c r="T519" s="1042"/>
      <c r="U519" s="1042"/>
      <c r="V519" s="1042"/>
    </row>
    <row r="520" spans="5:22">
      <c r="E520" s="1301"/>
      <c r="F520" s="1025"/>
      <c r="G520" s="1020"/>
      <c r="H520" s="1020"/>
      <c r="I520" s="1030"/>
      <c r="J520" s="969"/>
      <c r="K520" s="969"/>
      <c r="R520" s="1042"/>
      <c r="S520" s="1042"/>
      <c r="T520" s="1042"/>
      <c r="U520" s="1042"/>
      <c r="V520" s="1042"/>
    </row>
    <row r="521" spans="5:22">
      <c r="E521" s="1301"/>
      <c r="F521" s="1025"/>
      <c r="G521" s="1020"/>
      <c r="H521" s="1020"/>
      <c r="I521" s="1030"/>
      <c r="J521" s="969"/>
      <c r="K521" s="970"/>
      <c r="R521" s="1042"/>
      <c r="S521" s="1042"/>
      <c r="T521" s="1042"/>
      <c r="U521" s="1042"/>
      <c r="V521" s="1042"/>
    </row>
    <row r="522" spans="5:22">
      <c r="E522" s="1301"/>
      <c r="F522" s="1025"/>
      <c r="G522" s="1020"/>
      <c r="H522" s="1020"/>
      <c r="I522" s="1030"/>
      <c r="J522" s="969"/>
      <c r="K522" s="969"/>
      <c r="R522" s="1042"/>
      <c r="S522" s="1042"/>
      <c r="T522" s="1042"/>
      <c r="U522" s="1042"/>
      <c r="V522" s="1042"/>
    </row>
    <row r="523" spans="5:22">
      <c r="E523" s="1301"/>
      <c r="F523" s="1025"/>
      <c r="G523" s="1020"/>
      <c r="H523" s="1020"/>
      <c r="I523" s="1030"/>
      <c r="J523" s="969"/>
      <c r="K523" s="969"/>
      <c r="R523" s="1042"/>
      <c r="S523" s="1042"/>
      <c r="T523" s="1042"/>
      <c r="U523" s="1042"/>
      <c r="V523" s="1042"/>
    </row>
    <row r="524" spans="5:22">
      <c r="E524" s="1301"/>
      <c r="F524" s="1025"/>
      <c r="G524" s="1020"/>
      <c r="H524" s="1020"/>
      <c r="I524" s="1030"/>
      <c r="J524" s="969"/>
      <c r="K524" s="969"/>
      <c r="R524" s="1042"/>
      <c r="S524" s="1042"/>
      <c r="T524" s="1042"/>
      <c r="U524" s="1042"/>
      <c r="V524" s="1042"/>
    </row>
    <row r="525" spans="5:22">
      <c r="E525" s="1301"/>
      <c r="F525" s="1025"/>
      <c r="G525" s="1020"/>
      <c r="H525" s="1020"/>
      <c r="I525" s="1030"/>
      <c r="J525" s="969"/>
      <c r="K525" s="970"/>
      <c r="R525" s="1042"/>
      <c r="S525" s="1042"/>
      <c r="T525" s="1042"/>
      <c r="U525" s="1042"/>
      <c r="V525" s="1042"/>
    </row>
    <row r="526" spans="5:22">
      <c r="E526" s="1301"/>
      <c r="F526" s="1025"/>
      <c r="G526" s="1020"/>
      <c r="H526" s="1020"/>
      <c r="I526" s="1030"/>
      <c r="J526" s="969"/>
      <c r="K526" s="969"/>
      <c r="R526" s="1042"/>
      <c r="S526" s="1042"/>
      <c r="T526" s="1042"/>
      <c r="U526" s="1042"/>
      <c r="V526" s="1042"/>
    </row>
    <row r="527" spans="5:22">
      <c r="E527" s="1301"/>
      <c r="F527" s="1025"/>
      <c r="G527" s="1020"/>
      <c r="H527" s="1020"/>
      <c r="I527" s="1030"/>
      <c r="J527" s="969"/>
      <c r="K527" s="969"/>
      <c r="R527" s="1042"/>
      <c r="S527" s="1042"/>
      <c r="T527" s="1042"/>
      <c r="U527" s="1042"/>
      <c r="V527" s="1042"/>
    </row>
    <row r="528" spans="5:22">
      <c r="E528" s="1301"/>
      <c r="F528" s="1025"/>
      <c r="G528" s="1020"/>
      <c r="H528" s="1020"/>
      <c r="I528" s="1030"/>
      <c r="J528" s="969"/>
      <c r="K528" s="969"/>
      <c r="R528" s="1042"/>
      <c r="S528" s="1042"/>
      <c r="T528" s="1042"/>
      <c r="U528" s="1042"/>
      <c r="V528" s="1042"/>
    </row>
    <row r="529" spans="5:22">
      <c r="E529" s="1301"/>
      <c r="F529" s="1025"/>
      <c r="G529" s="1020"/>
      <c r="H529" s="1020"/>
      <c r="I529" s="1030"/>
      <c r="J529" s="969"/>
      <c r="K529" s="970"/>
      <c r="R529" s="1042"/>
      <c r="S529" s="1042"/>
      <c r="T529" s="1042"/>
      <c r="U529" s="1042"/>
      <c r="V529" s="1042"/>
    </row>
    <row r="530" spans="5:22">
      <c r="E530" s="1301"/>
      <c r="F530" s="1025"/>
      <c r="G530" s="1020"/>
      <c r="H530" s="1020"/>
      <c r="I530" s="1030"/>
      <c r="J530" s="969"/>
      <c r="K530" s="969"/>
      <c r="R530" s="1042"/>
      <c r="S530" s="1042"/>
      <c r="T530" s="1042"/>
      <c r="U530" s="1042"/>
      <c r="V530" s="1042"/>
    </row>
    <row r="531" spans="5:22">
      <c r="E531" s="1301"/>
      <c r="F531" s="1025"/>
      <c r="G531" s="1020"/>
      <c r="H531" s="1020"/>
      <c r="I531" s="1030"/>
      <c r="J531" s="969"/>
      <c r="K531" s="969"/>
      <c r="R531" s="1042"/>
      <c r="S531" s="1042"/>
      <c r="T531" s="1042"/>
      <c r="U531" s="1042"/>
      <c r="V531" s="1042"/>
    </row>
    <row r="532" spans="5:22">
      <c r="E532" s="1301"/>
      <c r="F532" s="1025"/>
      <c r="G532" s="1020"/>
      <c r="H532" s="1020"/>
      <c r="I532" s="1030"/>
      <c r="J532" s="969"/>
      <c r="K532" s="969"/>
      <c r="R532" s="1042"/>
      <c r="S532" s="1042"/>
      <c r="T532" s="1042"/>
      <c r="U532" s="1042"/>
      <c r="V532" s="1042"/>
    </row>
    <row r="533" spans="5:22">
      <c r="E533" s="1301"/>
      <c r="F533" s="1025"/>
      <c r="G533" s="1020"/>
      <c r="H533" s="1020"/>
      <c r="I533" s="1030"/>
      <c r="J533" s="969"/>
      <c r="K533" s="970"/>
      <c r="R533" s="1042"/>
      <c r="S533" s="1042"/>
      <c r="T533" s="1042"/>
      <c r="U533" s="1042"/>
      <c r="V533" s="1042"/>
    </row>
    <row r="534" spans="5:22">
      <c r="E534" s="1301"/>
      <c r="F534" s="1025"/>
      <c r="G534" s="1020"/>
      <c r="H534" s="1020"/>
      <c r="I534" s="1030"/>
      <c r="J534" s="969"/>
      <c r="K534" s="969"/>
      <c r="R534" s="1042"/>
      <c r="S534" s="1042"/>
      <c r="T534" s="1042"/>
      <c r="U534" s="1042"/>
      <c r="V534" s="1042"/>
    </row>
    <row r="535" spans="5:22">
      <c r="E535" s="1301"/>
      <c r="F535" s="1025"/>
      <c r="G535" s="1020"/>
      <c r="H535" s="1020"/>
      <c r="I535" s="1030"/>
      <c r="J535" s="969"/>
      <c r="K535" s="969"/>
      <c r="R535" s="1042"/>
      <c r="S535" s="1042"/>
      <c r="T535" s="1042"/>
      <c r="U535" s="1042"/>
      <c r="V535" s="1042"/>
    </row>
    <row r="536" spans="5:22">
      <c r="E536" s="1301"/>
      <c r="F536" s="1025"/>
      <c r="G536" s="1020"/>
      <c r="H536" s="1020"/>
      <c r="I536" s="1030"/>
      <c r="J536" s="969"/>
      <c r="K536" s="969"/>
      <c r="R536" s="1042"/>
      <c r="S536" s="1042"/>
      <c r="T536" s="1042"/>
      <c r="U536" s="1042"/>
      <c r="V536" s="1042"/>
    </row>
    <row r="537" spans="5:22">
      <c r="E537" s="1301"/>
      <c r="F537" s="1025"/>
      <c r="G537" s="1020"/>
      <c r="H537" s="1020"/>
      <c r="I537" s="1030"/>
      <c r="J537" s="969"/>
      <c r="K537" s="969"/>
      <c r="R537" s="1042"/>
      <c r="S537" s="1042"/>
      <c r="T537" s="1042"/>
      <c r="U537" s="1042"/>
      <c r="V537" s="1042"/>
    </row>
    <row r="538" spans="5:22">
      <c r="E538" s="1301"/>
      <c r="F538" s="1025"/>
      <c r="G538" s="1020"/>
      <c r="H538" s="1020"/>
      <c r="I538" s="1030"/>
      <c r="J538" s="969"/>
      <c r="K538" s="970"/>
      <c r="R538" s="1042"/>
      <c r="S538" s="1042"/>
      <c r="T538" s="1042"/>
      <c r="U538" s="1042"/>
      <c r="V538" s="1042"/>
    </row>
    <row r="539" spans="5:22">
      <c r="E539" s="1301"/>
      <c r="F539" s="1025"/>
      <c r="G539" s="1020"/>
      <c r="H539" s="1020"/>
      <c r="I539" s="1030"/>
      <c r="J539" s="969"/>
      <c r="K539" s="969"/>
      <c r="R539" s="1042"/>
      <c r="S539" s="1042"/>
      <c r="T539" s="1042"/>
      <c r="U539" s="1042"/>
      <c r="V539" s="1042"/>
    </row>
    <row r="540" spans="5:22">
      <c r="E540" s="1301"/>
      <c r="F540" s="1025"/>
      <c r="G540" s="1020"/>
      <c r="H540" s="1020"/>
      <c r="I540" s="1030"/>
      <c r="J540" s="969"/>
      <c r="K540" s="969"/>
      <c r="R540" s="1042"/>
      <c r="S540" s="1042"/>
      <c r="T540" s="1042"/>
      <c r="U540" s="1042"/>
      <c r="V540" s="1042"/>
    </row>
    <row r="541" spans="5:22">
      <c r="E541" s="1301"/>
      <c r="F541" s="1025"/>
      <c r="G541" s="1020"/>
      <c r="H541" s="1020"/>
      <c r="I541" s="1030"/>
      <c r="J541" s="969"/>
      <c r="K541" s="969"/>
      <c r="R541" s="1042"/>
      <c r="S541" s="1042"/>
      <c r="T541" s="1042"/>
      <c r="U541" s="1042"/>
      <c r="V541" s="1042"/>
    </row>
    <row r="542" spans="5:22">
      <c r="E542" s="1301"/>
      <c r="F542" s="1025"/>
      <c r="G542" s="1020"/>
      <c r="H542" s="1020"/>
      <c r="I542" s="1030"/>
      <c r="J542" s="969"/>
      <c r="K542" s="969"/>
      <c r="R542" s="1042"/>
      <c r="S542" s="1042"/>
      <c r="T542" s="1042"/>
      <c r="U542" s="1042"/>
      <c r="V542" s="1042"/>
    </row>
    <row r="543" spans="5:22">
      <c r="E543" s="1301"/>
      <c r="F543" s="1025"/>
      <c r="G543" s="1020"/>
      <c r="H543" s="1020"/>
      <c r="I543" s="1030"/>
      <c r="J543" s="969"/>
      <c r="K543" s="969"/>
      <c r="R543" s="1042"/>
      <c r="S543" s="1042"/>
      <c r="T543" s="1042"/>
      <c r="U543" s="1042"/>
      <c r="V543" s="1042"/>
    </row>
    <row r="544" spans="5:22">
      <c r="E544" s="1301"/>
      <c r="F544" s="1025"/>
      <c r="G544" s="1020"/>
      <c r="H544" s="1020"/>
      <c r="I544" s="1030"/>
      <c r="J544" s="969"/>
      <c r="K544" s="969"/>
      <c r="R544" s="1042"/>
      <c r="S544" s="1042"/>
      <c r="T544" s="1042"/>
      <c r="U544" s="1042"/>
      <c r="V544" s="1042"/>
    </row>
    <row r="545" spans="5:22">
      <c r="E545" s="1301"/>
      <c r="F545" s="1025"/>
      <c r="G545" s="1020"/>
      <c r="H545" s="1020"/>
      <c r="I545" s="1030"/>
      <c r="J545" s="969"/>
      <c r="K545" s="969"/>
      <c r="R545" s="1042"/>
      <c r="S545" s="1042"/>
      <c r="T545" s="1042"/>
      <c r="U545" s="1042"/>
      <c r="V545" s="1042"/>
    </row>
    <row r="546" spans="5:22">
      <c r="E546" s="1301"/>
      <c r="F546" s="1025"/>
      <c r="G546" s="1020"/>
      <c r="H546" s="1020"/>
      <c r="I546" s="1030"/>
      <c r="J546" s="969"/>
      <c r="K546" s="969"/>
      <c r="R546" s="1042"/>
      <c r="S546" s="1042"/>
      <c r="T546" s="1042"/>
      <c r="U546" s="1042"/>
      <c r="V546" s="1042"/>
    </row>
    <row r="547" spans="5:22">
      <c r="E547" s="1301"/>
      <c r="F547" s="1025"/>
      <c r="G547" s="1020"/>
      <c r="H547" s="1020"/>
      <c r="I547" s="1030"/>
      <c r="J547" s="969"/>
      <c r="K547" s="970"/>
      <c r="R547" s="1042"/>
      <c r="S547" s="1042"/>
      <c r="T547" s="1042"/>
      <c r="U547" s="1042"/>
      <c r="V547" s="1042"/>
    </row>
    <row r="548" spans="5:22">
      <c r="E548" s="1301"/>
      <c r="F548" s="1025"/>
      <c r="G548" s="1020"/>
      <c r="H548" s="1020"/>
      <c r="I548" s="1030"/>
      <c r="J548" s="969"/>
      <c r="K548" s="969"/>
      <c r="R548" s="1042"/>
      <c r="S548" s="1042"/>
      <c r="T548" s="1042"/>
      <c r="U548" s="1042"/>
      <c r="V548" s="1042"/>
    </row>
    <row r="549" spans="5:22">
      <c r="E549" s="1301"/>
      <c r="F549" s="1025"/>
      <c r="G549" s="1020"/>
      <c r="H549" s="1020"/>
      <c r="I549" s="1030"/>
      <c r="J549" s="969"/>
      <c r="K549" s="969"/>
      <c r="R549" s="1042"/>
      <c r="S549" s="1042"/>
      <c r="T549" s="1042"/>
      <c r="U549" s="1042"/>
      <c r="V549" s="1042"/>
    </row>
    <row r="550" spans="5:22">
      <c r="E550" s="1301"/>
      <c r="F550" s="1025"/>
      <c r="G550" s="1020"/>
      <c r="H550" s="1020"/>
      <c r="I550" s="1030"/>
      <c r="J550" s="969"/>
      <c r="K550" s="969"/>
      <c r="R550" s="1042"/>
      <c r="S550" s="1042"/>
      <c r="T550" s="1042"/>
      <c r="U550" s="1042"/>
      <c r="V550" s="1042"/>
    </row>
    <row r="551" spans="5:22">
      <c r="E551" s="1301"/>
      <c r="F551" s="1025"/>
      <c r="G551" s="1020"/>
      <c r="H551" s="1020"/>
      <c r="I551" s="1030"/>
      <c r="J551" s="969"/>
      <c r="K551" s="970"/>
      <c r="R551" s="1042"/>
      <c r="S551" s="1042"/>
      <c r="T551" s="1042"/>
      <c r="U551" s="1042"/>
      <c r="V551" s="1042"/>
    </row>
    <row r="552" spans="5:22">
      <c r="E552" s="1301"/>
      <c r="F552" s="1025"/>
      <c r="G552" s="1020"/>
      <c r="H552" s="1020"/>
      <c r="I552" s="1030"/>
      <c r="J552" s="969"/>
      <c r="K552" s="969"/>
      <c r="R552" s="1042"/>
      <c r="S552" s="1042"/>
      <c r="T552" s="1042"/>
      <c r="U552" s="1042"/>
      <c r="V552" s="1042"/>
    </row>
    <row r="553" spans="5:22">
      <c r="E553" s="1301"/>
      <c r="F553" s="1025"/>
      <c r="G553" s="1020"/>
      <c r="H553" s="1020"/>
      <c r="I553" s="1030"/>
      <c r="J553" s="969"/>
      <c r="K553" s="969"/>
      <c r="R553" s="1042"/>
      <c r="S553" s="1042"/>
      <c r="T553" s="1042"/>
      <c r="U553" s="1042"/>
      <c r="V553" s="1042"/>
    </row>
    <row r="554" spans="5:22">
      <c r="E554" s="1301"/>
      <c r="F554" s="1025"/>
      <c r="G554" s="1020"/>
      <c r="H554" s="1020"/>
      <c r="I554" s="1030"/>
      <c r="J554" s="969"/>
      <c r="K554" s="969"/>
      <c r="R554" s="1042"/>
      <c r="S554" s="1042"/>
      <c r="T554" s="1042"/>
      <c r="U554" s="1042"/>
      <c r="V554" s="1042"/>
    </row>
    <row r="555" spans="5:22">
      <c r="E555" s="1301"/>
      <c r="F555" s="1025"/>
      <c r="G555" s="1020"/>
      <c r="H555" s="1020"/>
      <c r="I555" s="1030"/>
      <c r="J555" s="969"/>
      <c r="K555" s="969"/>
      <c r="R555" s="1042"/>
      <c r="S555" s="1042"/>
      <c r="T555" s="1042"/>
      <c r="U555" s="1042"/>
      <c r="V555" s="1042"/>
    </row>
    <row r="556" spans="5:22">
      <c r="E556" s="1301"/>
      <c r="F556" s="1025"/>
      <c r="G556" s="1020"/>
      <c r="H556" s="1020"/>
      <c r="I556" s="1030"/>
      <c r="J556" s="969"/>
      <c r="K556" s="970"/>
      <c r="R556" s="1042"/>
      <c r="S556" s="1042"/>
      <c r="T556" s="1042"/>
      <c r="U556" s="1042"/>
      <c r="V556" s="1042"/>
    </row>
    <row r="557" spans="5:22">
      <c r="E557" s="1301"/>
      <c r="F557" s="1025"/>
      <c r="G557" s="1020"/>
      <c r="H557" s="1020"/>
      <c r="I557" s="1030"/>
      <c r="J557" s="969"/>
      <c r="K557" s="969"/>
      <c r="R557" s="1042"/>
      <c r="S557" s="1042"/>
      <c r="T557" s="1042"/>
      <c r="U557" s="1042"/>
      <c r="V557" s="1042"/>
    </row>
    <row r="558" spans="5:22">
      <c r="E558" s="1301"/>
      <c r="F558" s="1025"/>
      <c r="G558" s="1020"/>
      <c r="H558" s="1020"/>
      <c r="I558" s="1030"/>
      <c r="J558" s="969"/>
      <c r="K558" s="969"/>
      <c r="R558" s="1042"/>
      <c r="S558" s="1042"/>
      <c r="T558" s="1042"/>
      <c r="U558" s="1042"/>
      <c r="V558" s="1042"/>
    </row>
    <row r="559" spans="5:22">
      <c r="E559" s="1301"/>
      <c r="F559" s="1025"/>
      <c r="G559" s="1020"/>
      <c r="H559" s="1020"/>
      <c r="I559" s="1030"/>
      <c r="J559" s="969"/>
      <c r="K559" s="969"/>
      <c r="R559" s="1042"/>
      <c r="S559" s="1042"/>
      <c r="T559" s="1042"/>
      <c r="U559" s="1042"/>
      <c r="V559" s="1042"/>
    </row>
    <row r="560" spans="5:22">
      <c r="E560" s="1301"/>
      <c r="F560" s="1025"/>
      <c r="G560" s="1020"/>
      <c r="H560" s="1020"/>
      <c r="I560" s="1030"/>
      <c r="J560" s="969"/>
      <c r="K560" s="969"/>
      <c r="R560" s="1042"/>
      <c r="S560" s="1042"/>
      <c r="T560" s="1042"/>
      <c r="U560" s="1042"/>
      <c r="V560" s="1042"/>
    </row>
    <row r="561" spans="5:22">
      <c r="E561" s="1301"/>
      <c r="F561" s="1025"/>
      <c r="G561" s="1020"/>
      <c r="H561" s="1020"/>
      <c r="I561" s="1030"/>
      <c r="J561" s="969"/>
      <c r="K561" s="969"/>
      <c r="R561" s="1042"/>
      <c r="S561" s="1042"/>
      <c r="T561" s="1042"/>
      <c r="U561" s="1042"/>
      <c r="V561" s="1042"/>
    </row>
    <row r="562" spans="5:22">
      <c r="E562" s="1301"/>
      <c r="F562" s="1025"/>
      <c r="G562" s="1020"/>
      <c r="H562" s="1020"/>
      <c r="I562" s="1030"/>
      <c r="J562" s="969"/>
      <c r="K562" s="969"/>
      <c r="R562" s="1042"/>
      <c r="S562" s="1042"/>
      <c r="T562" s="1042"/>
      <c r="U562" s="1042"/>
      <c r="V562" s="1042"/>
    </row>
    <row r="563" spans="5:22">
      <c r="E563" s="1301"/>
      <c r="F563" s="1025"/>
      <c r="G563" s="1020"/>
      <c r="H563" s="1020"/>
      <c r="I563" s="1030"/>
      <c r="J563" s="969"/>
      <c r="K563" s="969"/>
      <c r="R563" s="1042"/>
      <c r="S563" s="1042"/>
      <c r="T563" s="1042"/>
      <c r="U563" s="1042"/>
      <c r="V563" s="1042"/>
    </row>
    <row r="564" spans="5:22">
      <c r="E564" s="1301"/>
      <c r="F564" s="1025"/>
      <c r="G564" s="1020"/>
      <c r="H564" s="1020"/>
      <c r="I564" s="1030"/>
      <c r="J564" s="969"/>
      <c r="K564" s="969"/>
      <c r="R564" s="1042"/>
      <c r="S564" s="1042"/>
      <c r="T564" s="1042"/>
      <c r="U564" s="1042"/>
      <c r="V564" s="1042"/>
    </row>
    <row r="565" spans="5:22">
      <c r="E565" s="1301"/>
      <c r="F565" s="1025"/>
      <c r="G565" s="1020"/>
      <c r="H565" s="1020"/>
      <c r="I565" s="1030"/>
      <c r="J565" s="969"/>
      <c r="K565" s="970"/>
      <c r="R565" s="1042"/>
      <c r="S565" s="1042"/>
      <c r="T565" s="1042"/>
      <c r="U565" s="1042"/>
      <c r="V565" s="1042"/>
    </row>
    <row r="566" spans="5:22">
      <c r="E566" s="1301"/>
      <c r="F566" s="1025"/>
      <c r="G566" s="1020"/>
      <c r="H566" s="1020"/>
      <c r="I566" s="1030"/>
      <c r="J566" s="969"/>
      <c r="K566" s="969"/>
      <c r="R566" s="1042"/>
      <c r="S566" s="1042"/>
      <c r="T566" s="1042"/>
      <c r="U566" s="1042"/>
      <c r="V566" s="1042"/>
    </row>
    <row r="567" spans="5:22">
      <c r="E567" s="1301"/>
      <c r="F567" s="1025"/>
      <c r="G567" s="1020"/>
      <c r="H567" s="1020"/>
      <c r="I567" s="1030"/>
      <c r="J567" s="969"/>
      <c r="K567" s="969"/>
      <c r="R567" s="1042"/>
      <c r="S567" s="1042"/>
      <c r="T567" s="1042"/>
      <c r="U567" s="1042"/>
      <c r="V567" s="1042"/>
    </row>
    <row r="568" spans="5:22">
      <c r="E568" s="1301"/>
      <c r="F568" s="1025"/>
      <c r="G568" s="1020"/>
      <c r="H568" s="1020"/>
      <c r="I568" s="1030"/>
      <c r="J568" s="969"/>
      <c r="K568" s="969"/>
      <c r="R568" s="1042"/>
      <c r="S568" s="1042"/>
      <c r="T568" s="1042"/>
      <c r="U568" s="1042"/>
      <c r="V568" s="1042"/>
    </row>
    <row r="569" spans="5:22">
      <c r="E569" s="1301"/>
      <c r="F569" s="1025"/>
      <c r="G569" s="1020"/>
      <c r="H569" s="1020"/>
      <c r="I569" s="1030"/>
      <c r="J569" s="969"/>
      <c r="K569" s="970"/>
      <c r="R569" s="1042"/>
      <c r="S569" s="1042"/>
      <c r="T569" s="1042"/>
      <c r="U569" s="1042"/>
      <c r="V569" s="1042"/>
    </row>
    <row r="570" spans="5:22">
      <c r="E570" s="1301"/>
      <c r="F570" s="1025"/>
      <c r="G570" s="1020"/>
      <c r="H570" s="1020"/>
      <c r="I570" s="1030"/>
      <c r="J570" s="969"/>
      <c r="K570" s="969"/>
      <c r="R570" s="1042"/>
      <c r="S570" s="1042"/>
      <c r="T570" s="1042"/>
      <c r="U570" s="1042"/>
      <c r="V570" s="1042"/>
    </row>
    <row r="571" spans="5:22">
      <c r="E571" s="1301"/>
      <c r="F571" s="1025"/>
      <c r="G571" s="1020"/>
      <c r="H571" s="1020"/>
      <c r="I571" s="1030"/>
      <c r="J571" s="969"/>
      <c r="K571" s="969"/>
      <c r="R571" s="1042"/>
      <c r="S571" s="1042"/>
      <c r="T571" s="1042"/>
      <c r="U571" s="1042"/>
      <c r="V571" s="1042"/>
    </row>
    <row r="572" spans="5:22">
      <c r="E572" s="1301"/>
      <c r="F572" s="1025"/>
      <c r="G572" s="1020"/>
      <c r="H572" s="1020"/>
      <c r="I572" s="1030"/>
      <c r="J572" s="969"/>
      <c r="K572" s="969"/>
      <c r="R572" s="1042"/>
      <c r="S572" s="1042"/>
      <c r="T572" s="1042"/>
      <c r="U572" s="1042"/>
      <c r="V572" s="1042"/>
    </row>
    <row r="573" spans="5:22">
      <c r="E573" s="1301"/>
      <c r="F573" s="1025"/>
      <c r="G573" s="1020"/>
      <c r="H573" s="1020"/>
      <c r="I573" s="1030"/>
      <c r="J573" s="969"/>
      <c r="K573" s="970"/>
      <c r="R573" s="1042"/>
      <c r="S573" s="1042"/>
      <c r="T573" s="1042"/>
      <c r="U573" s="1042"/>
      <c r="V573" s="1042"/>
    </row>
    <row r="574" spans="5:22">
      <c r="E574" s="1301"/>
      <c r="F574" s="1025"/>
      <c r="G574" s="1020"/>
      <c r="H574" s="1020"/>
      <c r="I574" s="1030"/>
      <c r="J574" s="969"/>
      <c r="K574" s="969"/>
      <c r="R574" s="1042"/>
      <c r="S574" s="1042"/>
      <c r="T574" s="1042"/>
      <c r="U574" s="1042"/>
      <c r="V574" s="1042"/>
    </row>
    <row r="575" spans="5:22">
      <c r="E575" s="1301"/>
      <c r="F575" s="1025"/>
      <c r="G575" s="1020"/>
      <c r="H575" s="1020"/>
      <c r="I575" s="1030"/>
      <c r="J575" s="969"/>
      <c r="K575" s="969"/>
      <c r="R575" s="1042"/>
      <c r="S575" s="1042"/>
      <c r="T575" s="1042"/>
      <c r="U575" s="1042"/>
      <c r="V575" s="1042"/>
    </row>
    <row r="576" spans="5:22">
      <c r="E576" s="1301"/>
      <c r="F576" s="1025"/>
      <c r="G576" s="1020"/>
      <c r="H576" s="1020"/>
      <c r="I576" s="1030"/>
      <c r="J576" s="969"/>
      <c r="K576" s="969"/>
      <c r="R576" s="1042"/>
      <c r="S576" s="1042"/>
      <c r="T576" s="1042"/>
      <c r="U576" s="1042"/>
      <c r="V576" s="1042"/>
    </row>
    <row r="577" spans="5:22">
      <c r="E577" s="1301"/>
      <c r="F577" s="1025"/>
      <c r="G577" s="1020"/>
      <c r="H577" s="1020"/>
      <c r="I577" s="1030"/>
      <c r="J577" s="969"/>
      <c r="K577" s="969"/>
      <c r="R577" s="1042"/>
      <c r="S577" s="1042"/>
      <c r="T577" s="1042"/>
      <c r="U577" s="1042"/>
      <c r="V577" s="1042"/>
    </row>
    <row r="578" spans="5:22">
      <c r="E578" s="1301"/>
      <c r="F578" s="1025"/>
      <c r="G578" s="1020"/>
      <c r="H578" s="1020"/>
      <c r="I578" s="1030"/>
      <c r="J578" s="969"/>
      <c r="K578" s="970"/>
      <c r="R578" s="1042"/>
      <c r="S578" s="1042"/>
      <c r="T578" s="1042"/>
      <c r="U578" s="1042"/>
      <c r="V578" s="1042"/>
    </row>
    <row r="579" spans="5:22">
      <c r="E579" s="1301"/>
      <c r="F579" s="1025"/>
      <c r="G579" s="1020"/>
      <c r="H579" s="1020"/>
      <c r="I579" s="1030"/>
      <c r="J579" s="969"/>
      <c r="K579" s="969"/>
      <c r="R579" s="1042"/>
      <c r="S579" s="1042"/>
      <c r="T579" s="1042"/>
      <c r="U579" s="1042"/>
      <c r="V579" s="1042"/>
    </row>
    <row r="580" spans="5:22">
      <c r="E580" s="1301"/>
      <c r="F580" s="1025"/>
      <c r="G580" s="1020"/>
      <c r="H580" s="1020"/>
      <c r="I580" s="1030"/>
      <c r="J580" s="969"/>
      <c r="K580" s="969"/>
      <c r="R580" s="1042"/>
      <c r="S580" s="1042"/>
      <c r="T580" s="1042"/>
      <c r="U580" s="1042"/>
      <c r="V580" s="1042"/>
    </row>
    <row r="581" spans="5:22">
      <c r="E581" s="1301"/>
      <c r="F581" s="1025"/>
      <c r="G581" s="1020"/>
      <c r="H581" s="1020"/>
      <c r="I581" s="1030"/>
      <c r="J581" s="969"/>
      <c r="K581" s="969"/>
      <c r="R581" s="1042"/>
      <c r="S581" s="1042"/>
      <c r="T581" s="1042"/>
      <c r="U581" s="1042"/>
      <c r="V581" s="1042"/>
    </row>
    <row r="582" spans="5:22">
      <c r="E582" s="1301"/>
      <c r="F582" s="1025"/>
      <c r="G582" s="1020"/>
      <c r="H582" s="1020"/>
      <c r="I582" s="1030"/>
      <c r="J582" s="969"/>
      <c r="K582" s="969"/>
      <c r="R582" s="1042"/>
      <c r="S582" s="1042"/>
      <c r="T582" s="1042"/>
      <c r="U582" s="1042"/>
      <c r="V582" s="1042"/>
    </row>
    <row r="583" spans="5:22">
      <c r="E583" s="1301"/>
      <c r="F583" s="1025"/>
      <c r="G583" s="1020"/>
      <c r="H583" s="1020"/>
      <c r="I583" s="1030"/>
      <c r="J583" s="969"/>
      <c r="K583" s="969"/>
      <c r="R583" s="1042"/>
      <c r="S583" s="1042"/>
      <c r="T583" s="1042"/>
      <c r="U583" s="1042"/>
      <c r="V583" s="1042"/>
    </row>
    <row r="584" spans="5:22">
      <c r="E584" s="1301"/>
      <c r="F584" s="1025"/>
      <c r="G584" s="1020"/>
      <c r="H584" s="1020"/>
      <c r="I584" s="1030"/>
      <c r="J584" s="969"/>
      <c r="K584" s="969"/>
      <c r="R584" s="1042"/>
      <c r="S584" s="1042"/>
      <c r="T584" s="1042"/>
      <c r="U584" s="1042"/>
      <c r="V584" s="1042"/>
    </row>
    <row r="585" spans="5:22">
      <c r="E585" s="1301"/>
      <c r="F585" s="1025"/>
      <c r="G585" s="1020"/>
      <c r="H585" s="1020"/>
      <c r="I585" s="1030"/>
      <c r="J585" s="969"/>
      <c r="K585" s="969"/>
      <c r="R585" s="1042"/>
      <c r="S585" s="1042"/>
      <c r="T585" s="1042"/>
      <c r="U585" s="1042"/>
      <c r="V585" s="1042"/>
    </row>
    <row r="586" spans="5:22">
      <c r="E586" s="1301"/>
      <c r="F586" s="1025"/>
      <c r="G586" s="1020"/>
      <c r="H586" s="1020"/>
      <c r="I586" s="1030"/>
      <c r="J586" s="969"/>
      <c r="K586" s="969"/>
      <c r="R586" s="1042"/>
      <c r="S586" s="1042"/>
      <c r="T586" s="1042"/>
      <c r="U586" s="1042"/>
      <c r="V586" s="1042"/>
    </row>
    <row r="587" spans="5:22">
      <c r="E587" s="1301"/>
      <c r="F587" s="1025"/>
      <c r="G587" s="1020"/>
      <c r="H587" s="1020"/>
      <c r="I587" s="1030"/>
      <c r="J587" s="969"/>
      <c r="K587" s="970"/>
      <c r="R587" s="1042"/>
      <c r="S587" s="1042"/>
      <c r="T587" s="1042"/>
      <c r="U587" s="1042"/>
      <c r="V587" s="1042"/>
    </row>
    <row r="588" spans="5:22">
      <c r="E588" s="1301"/>
      <c r="F588" s="1025"/>
      <c r="G588" s="1020"/>
      <c r="H588" s="1020"/>
      <c r="I588" s="1030"/>
      <c r="J588" s="969"/>
      <c r="K588" s="969"/>
      <c r="R588" s="1042"/>
      <c r="S588" s="1042"/>
      <c r="T588" s="1042"/>
      <c r="U588" s="1042"/>
      <c r="V588" s="1042"/>
    </row>
    <row r="589" spans="5:22">
      <c r="E589" s="1301"/>
      <c r="F589" s="1025"/>
      <c r="G589" s="1020"/>
      <c r="H589" s="1020"/>
      <c r="I589" s="1030"/>
      <c r="J589" s="969"/>
      <c r="K589" s="969"/>
      <c r="R589" s="1042"/>
      <c r="S589" s="1042"/>
      <c r="T589" s="1042"/>
      <c r="U589" s="1042"/>
      <c r="V589" s="1042"/>
    </row>
    <row r="590" spans="5:22">
      <c r="E590" s="1301"/>
      <c r="F590" s="1025"/>
      <c r="G590" s="1020"/>
      <c r="H590" s="1020"/>
      <c r="I590" s="1030"/>
      <c r="J590" s="969"/>
      <c r="K590" s="969"/>
      <c r="R590" s="1042"/>
      <c r="S590" s="1042"/>
      <c r="T590" s="1042"/>
      <c r="U590" s="1042"/>
      <c r="V590" s="1042"/>
    </row>
    <row r="591" spans="5:22">
      <c r="E591" s="1301"/>
      <c r="F591" s="1025"/>
      <c r="G591" s="1020"/>
      <c r="H591" s="1020"/>
      <c r="I591" s="1030"/>
      <c r="J591" s="969"/>
      <c r="K591" s="970"/>
      <c r="R591" s="1042"/>
      <c r="S591" s="1042"/>
      <c r="T591" s="1042"/>
      <c r="U591" s="1042"/>
      <c r="V591" s="1042"/>
    </row>
    <row r="592" spans="5:22">
      <c r="E592" s="1301"/>
      <c r="F592" s="1025"/>
      <c r="G592" s="1020"/>
      <c r="H592" s="1020"/>
      <c r="I592" s="1030"/>
      <c r="J592" s="969"/>
      <c r="K592" s="969"/>
      <c r="R592" s="1042"/>
      <c r="S592" s="1042"/>
      <c r="T592" s="1042"/>
      <c r="U592" s="1042"/>
      <c r="V592" s="1042"/>
    </row>
    <row r="593" spans="5:22">
      <c r="E593" s="1301"/>
      <c r="F593" s="1025"/>
      <c r="G593" s="1020"/>
      <c r="H593" s="1020"/>
      <c r="I593" s="1030"/>
      <c r="J593" s="969"/>
      <c r="K593" s="969"/>
      <c r="R593" s="1042"/>
      <c r="S593" s="1042"/>
      <c r="T593" s="1042"/>
      <c r="U593" s="1042"/>
      <c r="V593" s="1042"/>
    </row>
    <row r="594" spans="5:22">
      <c r="E594" s="1301"/>
      <c r="F594" s="1025"/>
      <c r="G594" s="1020"/>
      <c r="H594" s="1020"/>
      <c r="I594" s="1030"/>
      <c r="J594" s="969"/>
      <c r="K594" s="969"/>
      <c r="R594" s="1042"/>
      <c r="S594" s="1042"/>
      <c r="T594" s="1042"/>
      <c r="U594" s="1042"/>
      <c r="V594" s="1042"/>
    </row>
    <row r="595" spans="5:22">
      <c r="E595" s="1301"/>
      <c r="F595" s="1025"/>
      <c r="G595" s="1020"/>
      <c r="H595" s="1020"/>
      <c r="I595" s="1030"/>
      <c r="J595" s="969"/>
      <c r="K595" s="969"/>
      <c r="R595" s="1042"/>
      <c r="S595" s="1042"/>
      <c r="T595" s="1042"/>
      <c r="U595" s="1042"/>
      <c r="V595" s="1042"/>
    </row>
    <row r="596" spans="5:22">
      <c r="E596" s="1301"/>
      <c r="F596" s="1025"/>
      <c r="G596" s="1020"/>
      <c r="H596" s="1020"/>
      <c r="I596" s="1030"/>
      <c r="J596" s="969"/>
      <c r="K596" s="970"/>
      <c r="R596" s="1042"/>
      <c r="S596" s="1042"/>
      <c r="T596" s="1042"/>
      <c r="U596" s="1042"/>
      <c r="V596" s="1042"/>
    </row>
    <row r="597" spans="5:22">
      <c r="E597" s="1301"/>
      <c r="F597" s="1025"/>
      <c r="G597" s="1020"/>
      <c r="H597" s="1020"/>
      <c r="I597" s="1030"/>
      <c r="J597" s="969"/>
      <c r="K597" s="969"/>
      <c r="R597" s="1042"/>
      <c r="S597" s="1042"/>
      <c r="T597" s="1042"/>
      <c r="U597" s="1042"/>
      <c r="V597" s="1042"/>
    </row>
    <row r="598" spans="5:22">
      <c r="E598" s="1301"/>
      <c r="F598" s="1025"/>
      <c r="G598" s="1020"/>
      <c r="H598" s="1020"/>
      <c r="I598" s="1030"/>
      <c r="J598" s="969"/>
      <c r="K598" s="969"/>
      <c r="R598" s="1042"/>
      <c r="S598" s="1042"/>
      <c r="T598" s="1042"/>
      <c r="U598" s="1042"/>
      <c r="V598" s="1042"/>
    </row>
    <row r="599" spans="5:22">
      <c r="E599" s="1301"/>
      <c r="F599" s="1025"/>
      <c r="G599" s="1020"/>
      <c r="H599" s="1020"/>
      <c r="I599" s="1030"/>
      <c r="J599" s="969"/>
      <c r="K599" s="969"/>
      <c r="R599" s="1042"/>
      <c r="S599" s="1042"/>
      <c r="T599" s="1042"/>
      <c r="U599" s="1042"/>
      <c r="V599" s="1042"/>
    </row>
    <row r="600" spans="5:22">
      <c r="E600" s="1301"/>
      <c r="F600" s="1025"/>
      <c r="G600" s="1020"/>
      <c r="H600" s="1020"/>
      <c r="I600" s="1030"/>
      <c r="J600" s="969"/>
      <c r="K600" s="969"/>
      <c r="R600" s="1042"/>
      <c r="S600" s="1042"/>
      <c r="T600" s="1042"/>
      <c r="U600" s="1042"/>
      <c r="V600" s="1042"/>
    </row>
    <row r="601" spans="5:22">
      <c r="E601" s="1301"/>
      <c r="F601" s="1025"/>
      <c r="G601" s="1020"/>
      <c r="H601" s="1020"/>
      <c r="I601" s="1030"/>
      <c r="J601" s="969"/>
      <c r="K601" s="969"/>
      <c r="R601" s="1042"/>
      <c r="S601" s="1042"/>
      <c r="T601" s="1042"/>
      <c r="U601" s="1042"/>
      <c r="V601" s="1042"/>
    </row>
    <row r="602" spans="5:22">
      <c r="E602" s="1301"/>
      <c r="F602" s="1025"/>
      <c r="G602" s="1020"/>
      <c r="H602" s="1020"/>
      <c r="I602" s="1030"/>
      <c r="J602" s="969"/>
      <c r="K602" s="969"/>
      <c r="R602" s="1042"/>
      <c r="S602" s="1042"/>
      <c r="T602" s="1042"/>
      <c r="U602" s="1042"/>
      <c r="V602" s="1042"/>
    </row>
    <row r="603" spans="5:22">
      <c r="E603" s="1301"/>
      <c r="F603" s="1025"/>
      <c r="G603" s="1020"/>
      <c r="H603" s="1020"/>
      <c r="I603" s="1030"/>
      <c r="J603" s="969"/>
      <c r="K603" s="969"/>
      <c r="R603" s="1042"/>
      <c r="S603" s="1042"/>
      <c r="T603" s="1042"/>
      <c r="U603" s="1042"/>
      <c r="V603" s="1042"/>
    </row>
    <row r="604" spans="5:22">
      <c r="E604" s="1301"/>
      <c r="F604" s="1025"/>
      <c r="G604" s="1020"/>
      <c r="H604" s="1020"/>
      <c r="I604" s="1030"/>
      <c r="J604" s="969"/>
      <c r="K604" s="969"/>
      <c r="R604" s="1042"/>
      <c r="S604" s="1042"/>
      <c r="T604" s="1042"/>
      <c r="U604" s="1042"/>
      <c r="V604" s="1042"/>
    </row>
    <row r="605" spans="5:22">
      <c r="E605" s="1301"/>
      <c r="F605" s="1025"/>
      <c r="G605" s="1020"/>
      <c r="H605" s="1020"/>
      <c r="I605" s="1030"/>
      <c r="J605" s="969"/>
      <c r="K605" s="970"/>
      <c r="R605" s="1042"/>
      <c r="S605" s="1042"/>
      <c r="T605" s="1042"/>
      <c r="U605" s="1042"/>
      <c r="V605" s="1042"/>
    </row>
    <row r="606" spans="5:22">
      <c r="E606" s="1301"/>
      <c r="F606" s="1025"/>
      <c r="G606" s="1020"/>
      <c r="H606" s="1020"/>
      <c r="I606" s="1030"/>
      <c r="J606" s="969"/>
      <c r="K606" s="969"/>
      <c r="R606" s="1042"/>
      <c r="S606" s="1042"/>
      <c r="T606" s="1042"/>
      <c r="U606" s="1042"/>
      <c r="V606" s="1042"/>
    </row>
    <row r="607" spans="5:22">
      <c r="E607" s="1301"/>
      <c r="F607" s="1025"/>
      <c r="G607" s="1020"/>
      <c r="H607" s="1020"/>
      <c r="I607" s="1030"/>
      <c r="J607" s="969"/>
      <c r="K607" s="969"/>
      <c r="R607" s="1042"/>
      <c r="S607" s="1042"/>
      <c r="T607" s="1042"/>
      <c r="U607" s="1042"/>
      <c r="V607" s="1042"/>
    </row>
    <row r="608" spans="5:22">
      <c r="E608" s="1301"/>
      <c r="F608" s="1025"/>
      <c r="G608" s="1020"/>
      <c r="H608" s="1020"/>
      <c r="I608" s="1030"/>
      <c r="J608" s="969"/>
      <c r="K608" s="969"/>
      <c r="R608" s="1042"/>
      <c r="S608" s="1042"/>
      <c r="T608" s="1042"/>
      <c r="U608" s="1042"/>
      <c r="V608" s="1042"/>
    </row>
    <row r="609" spans="5:22">
      <c r="E609" s="1301"/>
      <c r="F609" s="1025"/>
      <c r="G609" s="1020"/>
      <c r="H609" s="1020"/>
      <c r="I609" s="1030"/>
      <c r="J609" s="969"/>
      <c r="K609" s="970"/>
      <c r="R609" s="1042"/>
      <c r="S609" s="1042"/>
      <c r="T609" s="1042"/>
      <c r="U609" s="1042"/>
      <c r="V609" s="1042"/>
    </row>
    <row r="610" spans="5:22">
      <c r="E610" s="1301"/>
      <c r="F610" s="1025"/>
      <c r="G610" s="1020"/>
      <c r="H610" s="1020"/>
      <c r="I610" s="1030"/>
      <c r="J610" s="969"/>
      <c r="K610" s="969"/>
      <c r="R610" s="1042"/>
      <c r="S610" s="1042"/>
      <c r="T610" s="1042"/>
      <c r="U610" s="1042"/>
      <c r="V610" s="1042"/>
    </row>
    <row r="611" spans="5:22">
      <c r="E611" s="1301"/>
      <c r="F611" s="1025"/>
      <c r="G611" s="1020"/>
      <c r="H611" s="1020"/>
      <c r="I611" s="1030"/>
      <c r="J611" s="969"/>
      <c r="K611" s="969"/>
      <c r="R611" s="1042"/>
      <c r="S611" s="1042"/>
      <c r="T611" s="1042"/>
      <c r="U611" s="1042"/>
      <c r="V611" s="1042"/>
    </row>
    <row r="612" spans="5:22">
      <c r="E612" s="1301"/>
      <c r="F612" s="1025"/>
      <c r="G612" s="1020"/>
      <c r="H612" s="1020"/>
      <c r="I612" s="1030"/>
      <c r="J612" s="969"/>
      <c r="K612" s="969"/>
      <c r="R612" s="1042"/>
      <c r="S612" s="1042"/>
      <c r="T612" s="1042"/>
      <c r="U612" s="1042"/>
      <c r="V612" s="1042"/>
    </row>
    <row r="613" spans="5:22">
      <c r="E613" s="1301"/>
      <c r="F613" s="1025"/>
      <c r="G613" s="1020"/>
      <c r="H613" s="1020"/>
      <c r="I613" s="1030"/>
      <c r="J613" s="969"/>
      <c r="K613" s="970"/>
      <c r="R613" s="1042"/>
      <c r="S613" s="1042"/>
      <c r="T613" s="1042"/>
      <c r="U613" s="1042"/>
      <c r="V613" s="1042"/>
    </row>
    <row r="614" spans="5:22">
      <c r="E614" s="1301"/>
      <c r="F614" s="1025"/>
      <c r="G614" s="1020"/>
      <c r="H614" s="1020"/>
      <c r="I614" s="1030"/>
      <c r="J614" s="969"/>
      <c r="K614" s="969"/>
      <c r="R614" s="1042"/>
      <c r="S614" s="1042"/>
      <c r="T614" s="1042"/>
      <c r="U614" s="1042"/>
      <c r="V614" s="1042"/>
    </row>
    <row r="615" spans="5:22">
      <c r="E615" s="1301"/>
      <c r="F615" s="1025"/>
      <c r="G615" s="1020"/>
      <c r="H615" s="1020"/>
      <c r="I615" s="1030"/>
      <c r="J615" s="969"/>
      <c r="K615" s="969"/>
      <c r="R615" s="1042"/>
      <c r="S615" s="1042"/>
      <c r="T615" s="1042"/>
      <c r="U615" s="1042"/>
      <c r="V615" s="1042"/>
    </row>
    <row r="616" spans="5:22">
      <c r="E616" s="1301"/>
      <c r="F616" s="1025"/>
      <c r="G616" s="1020"/>
      <c r="H616" s="1020"/>
      <c r="I616" s="1030"/>
      <c r="J616" s="969"/>
      <c r="K616" s="969"/>
      <c r="R616" s="1042"/>
      <c r="S616" s="1042"/>
      <c r="T616" s="1042"/>
      <c r="U616" s="1042"/>
      <c r="V616" s="1042"/>
    </row>
    <row r="617" spans="5:22">
      <c r="E617" s="1301"/>
      <c r="F617" s="1025"/>
      <c r="G617" s="1020"/>
      <c r="H617" s="1020"/>
      <c r="I617" s="1030"/>
      <c r="J617" s="969"/>
      <c r="K617" s="969"/>
      <c r="R617" s="1042"/>
      <c r="S617" s="1042"/>
      <c r="T617" s="1042"/>
      <c r="U617" s="1042"/>
      <c r="V617" s="1042"/>
    </row>
    <row r="618" spans="5:22">
      <c r="E618" s="1301"/>
      <c r="F618" s="1025"/>
      <c r="G618" s="1020"/>
      <c r="H618" s="1020"/>
      <c r="I618" s="1030"/>
      <c r="J618" s="969"/>
      <c r="K618" s="970"/>
      <c r="R618" s="1042"/>
      <c r="S618" s="1042"/>
      <c r="T618" s="1042"/>
      <c r="U618" s="1042"/>
      <c r="V618" s="1042"/>
    </row>
    <row r="619" spans="5:22">
      <c r="E619" s="1301"/>
      <c r="F619" s="1025"/>
      <c r="G619" s="1020"/>
      <c r="H619" s="1020"/>
      <c r="I619" s="1030"/>
      <c r="J619" s="969"/>
      <c r="K619" s="969"/>
      <c r="R619" s="1042"/>
      <c r="S619" s="1042"/>
      <c r="T619" s="1042"/>
      <c r="U619" s="1042"/>
      <c r="V619" s="1042"/>
    </row>
    <row r="620" spans="5:22">
      <c r="E620" s="1301"/>
      <c r="F620" s="1025"/>
      <c r="G620" s="1020"/>
      <c r="H620" s="1020"/>
      <c r="I620" s="1030"/>
      <c r="J620" s="969"/>
      <c r="K620" s="969"/>
      <c r="R620" s="1042"/>
      <c r="S620" s="1042"/>
      <c r="T620" s="1042"/>
      <c r="U620" s="1042"/>
      <c r="V620" s="1042"/>
    </row>
    <row r="621" spans="5:22">
      <c r="E621" s="1301"/>
      <c r="F621" s="1025"/>
      <c r="G621" s="1020"/>
      <c r="H621" s="1020"/>
      <c r="I621" s="1030"/>
      <c r="J621" s="969"/>
      <c r="K621" s="969"/>
      <c r="R621" s="1042"/>
      <c r="S621" s="1042"/>
      <c r="T621" s="1042"/>
      <c r="U621" s="1042"/>
      <c r="V621" s="1042"/>
    </row>
    <row r="622" spans="5:22">
      <c r="E622" s="1301"/>
      <c r="F622" s="1025"/>
      <c r="G622" s="1020"/>
      <c r="H622" s="1020"/>
      <c r="I622" s="1030"/>
      <c r="J622" s="969"/>
      <c r="K622" s="969"/>
      <c r="R622" s="1042"/>
      <c r="S622" s="1042"/>
      <c r="T622" s="1042"/>
      <c r="U622" s="1042"/>
      <c r="V622" s="1042"/>
    </row>
    <row r="623" spans="5:22">
      <c r="E623" s="1301"/>
      <c r="F623" s="1025"/>
      <c r="G623" s="1020"/>
      <c r="H623" s="1020"/>
      <c r="I623" s="1030"/>
      <c r="J623" s="969"/>
      <c r="K623" s="969"/>
      <c r="R623" s="1042"/>
      <c r="S623" s="1042"/>
      <c r="T623" s="1042"/>
      <c r="U623" s="1042"/>
      <c r="V623" s="1042"/>
    </row>
    <row r="624" spans="5:22">
      <c r="E624" s="1301"/>
      <c r="F624" s="1025"/>
      <c r="G624" s="1020"/>
      <c r="H624" s="1020"/>
      <c r="I624" s="1030"/>
      <c r="J624" s="969"/>
      <c r="K624" s="969"/>
      <c r="R624" s="1042"/>
      <c r="S624" s="1042"/>
      <c r="T624" s="1042"/>
      <c r="U624" s="1042"/>
      <c r="V624" s="1042"/>
    </row>
    <row r="625" spans="5:22">
      <c r="E625" s="1301"/>
      <c r="F625" s="1025"/>
      <c r="G625" s="1020"/>
      <c r="H625" s="1020"/>
      <c r="I625" s="1030"/>
      <c r="J625" s="969"/>
      <c r="K625" s="969"/>
      <c r="R625" s="1042"/>
      <c r="S625" s="1042"/>
      <c r="T625" s="1042"/>
      <c r="U625" s="1042"/>
      <c r="V625" s="1042"/>
    </row>
    <row r="626" spans="5:22">
      <c r="E626" s="1301"/>
      <c r="F626" s="1025"/>
      <c r="G626" s="1020"/>
      <c r="H626" s="1020"/>
      <c r="I626" s="1030"/>
      <c r="J626" s="969"/>
      <c r="K626" s="969"/>
      <c r="R626" s="1042"/>
      <c r="S626" s="1042"/>
      <c r="T626" s="1042"/>
      <c r="U626" s="1042"/>
      <c r="V626" s="1042"/>
    </row>
    <row r="627" spans="5:22">
      <c r="E627" s="1301"/>
      <c r="F627" s="1025"/>
      <c r="G627" s="1020"/>
      <c r="H627" s="1020"/>
      <c r="I627" s="1030"/>
      <c r="J627" s="969"/>
      <c r="K627" s="970"/>
      <c r="R627" s="1042"/>
      <c r="S627" s="1042"/>
      <c r="T627" s="1042"/>
      <c r="U627" s="1042"/>
      <c r="V627" s="1042"/>
    </row>
    <row r="628" spans="5:22">
      <c r="E628" s="1301"/>
      <c r="F628" s="1025"/>
      <c r="G628" s="1020"/>
      <c r="H628" s="1020"/>
      <c r="I628" s="1030"/>
      <c r="J628" s="969"/>
      <c r="K628" s="969"/>
      <c r="R628" s="1042"/>
      <c r="S628" s="1042"/>
      <c r="T628" s="1042"/>
      <c r="U628" s="1042"/>
      <c r="V628" s="1042"/>
    </row>
    <row r="629" spans="5:22">
      <c r="E629" s="1301"/>
      <c r="F629" s="1025"/>
      <c r="G629" s="1020"/>
      <c r="H629" s="1020"/>
      <c r="I629" s="1030"/>
      <c r="J629" s="969"/>
      <c r="K629" s="969"/>
      <c r="R629" s="1042"/>
      <c r="S629" s="1042"/>
      <c r="T629" s="1042"/>
      <c r="U629" s="1042"/>
      <c r="V629" s="1042"/>
    </row>
    <row r="630" spans="5:22">
      <c r="E630" s="1301"/>
      <c r="F630" s="1025"/>
      <c r="G630" s="1020"/>
      <c r="H630" s="1020"/>
      <c r="I630" s="1030"/>
      <c r="J630" s="969"/>
      <c r="K630" s="969"/>
      <c r="R630" s="1042"/>
      <c r="S630" s="1042"/>
      <c r="T630" s="1042"/>
      <c r="U630" s="1042"/>
      <c r="V630" s="1042"/>
    </row>
    <row r="631" spans="5:22">
      <c r="E631" s="1301"/>
      <c r="F631" s="1025"/>
      <c r="G631" s="1020"/>
      <c r="H631" s="1020"/>
      <c r="I631" s="1030"/>
      <c r="J631" s="969"/>
      <c r="K631" s="970"/>
      <c r="R631" s="1042"/>
      <c r="S631" s="1042"/>
      <c r="T631" s="1042"/>
      <c r="U631" s="1042"/>
      <c r="V631" s="1042"/>
    </row>
    <row r="632" spans="5:22">
      <c r="E632" s="1301"/>
      <c r="F632" s="1025"/>
      <c r="G632" s="1020"/>
      <c r="H632" s="1020"/>
      <c r="I632" s="1030"/>
      <c r="J632" s="969"/>
      <c r="K632" s="969"/>
      <c r="R632" s="1042"/>
      <c r="S632" s="1042"/>
      <c r="T632" s="1042"/>
      <c r="U632" s="1042"/>
      <c r="V632" s="1042"/>
    </row>
    <row r="633" spans="5:22">
      <c r="E633" s="1301"/>
      <c r="F633" s="1025"/>
      <c r="G633" s="1020"/>
      <c r="H633" s="1020"/>
      <c r="I633" s="1030"/>
      <c r="J633" s="969"/>
      <c r="K633" s="969"/>
      <c r="R633" s="1042"/>
      <c r="S633" s="1042"/>
      <c r="T633" s="1042"/>
      <c r="U633" s="1042"/>
      <c r="V633" s="1042"/>
    </row>
    <row r="634" spans="5:22">
      <c r="E634" s="1301"/>
      <c r="F634" s="1025"/>
      <c r="G634" s="1020"/>
      <c r="H634" s="1020"/>
      <c r="I634" s="1030"/>
      <c r="J634" s="969"/>
      <c r="K634" s="969"/>
      <c r="R634" s="1042"/>
      <c r="S634" s="1042"/>
      <c r="T634" s="1042"/>
      <c r="U634" s="1042"/>
      <c r="V634" s="1042"/>
    </row>
    <row r="635" spans="5:22">
      <c r="E635" s="1301"/>
      <c r="F635" s="1025"/>
      <c r="G635" s="1020"/>
      <c r="H635" s="1020"/>
      <c r="I635" s="1030"/>
      <c r="J635" s="969"/>
      <c r="K635" s="969"/>
      <c r="R635" s="1042"/>
      <c r="S635" s="1042"/>
      <c r="T635" s="1042"/>
      <c r="U635" s="1042"/>
      <c r="V635" s="1042"/>
    </row>
    <row r="636" spans="5:22">
      <c r="E636" s="1301"/>
      <c r="F636" s="1025"/>
      <c r="G636" s="1020"/>
      <c r="H636" s="1020"/>
      <c r="I636" s="1030"/>
      <c r="J636" s="969"/>
      <c r="K636" s="970"/>
      <c r="R636" s="1042"/>
      <c r="S636" s="1042"/>
      <c r="T636" s="1042"/>
      <c r="U636" s="1042"/>
      <c r="V636" s="1042"/>
    </row>
    <row r="637" spans="5:22">
      <c r="E637" s="1301"/>
      <c r="F637" s="1025"/>
      <c r="G637" s="1020"/>
      <c r="H637" s="1020"/>
      <c r="I637" s="1030"/>
      <c r="J637" s="969"/>
      <c r="K637" s="969"/>
      <c r="R637" s="1042"/>
      <c r="S637" s="1042"/>
      <c r="T637" s="1042"/>
      <c r="U637" s="1042"/>
      <c r="V637" s="1042"/>
    </row>
    <row r="638" spans="5:22">
      <c r="E638" s="1301"/>
      <c r="F638" s="1025"/>
      <c r="G638" s="1020"/>
      <c r="H638" s="1020"/>
      <c r="I638" s="1030"/>
      <c r="J638" s="969"/>
      <c r="K638" s="969"/>
      <c r="R638" s="1042"/>
      <c r="S638" s="1042"/>
      <c r="T638" s="1042"/>
      <c r="U638" s="1042"/>
      <c r="V638" s="1042"/>
    </row>
    <row r="639" spans="5:22">
      <c r="E639" s="1301"/>
      <c r="F639" s="1025"/>
      <c r="G639" s="1020"/>
      <c r="H639" s="1020"/>
      <c r="I639" s="1030"/>
      <c r="J639" s="969"/>
      <c r="K639" s="969"/>
      <c r="R639" s="1042"/>
      <c r="S639" s="1042"/>
      <c r="T639" s="1042"/>
      <c r="U639" s="1042"/>
      <c r="V639" s="1042"/>
    </row>
    <row r="640" spans="5:22">
      <c r="E640" s="1301"/>
      <c r="F640" s="1025"/>
      <c r="G640" s="1020"/>
      <c r="H640" s="1020"/>
      <c r="I640" s="1030"/>
      <c r="J640" s="969"/>
      <c r="K640" s="969"/>
      <c r="R640" s="1042"/>
      <c r="S640" s="1042"/>
      <c r="T640" s="1042"/>
      <c r="U640" s="1042"/>
      <c r="V640" s="1042"/>
    </row>
    <row r="641" spans="5:22">
      <c r="E641" s="1301"/>
      <c r="F641" s="1025"/>
      <c r="G641" s="1020"/>
      <c r="H641" s="1020"/>
      <c r="I641" s="1030"/>
      <c r="J641" s="969"/>
      <c r="K641" s="969"/>
      <c r="R641" s="1042"/>
      <c r="S641" s="1042"/>
      <c r="T641" s="1042"/>
      <c r="U641" s="1042"/>
      <c r="V641" s="1042"/>
    </row>
    <row r="642" spans="5:22">
      <c r="E642" s="1301"/>
      <c r="F642" s="1025"/>
      <c r="G642" s="1020"/>
      <c r="H642" s="1020"/>
      <c r="I642" s="1030"/>
      <c r="J642" s="969"/>
      <c r="K642" s="969"/>
      <c r="R642" s="1042"/>
      <c r="S642" s="1042"/>
      <c r="T642" s="1042"/>
      <c r="U642" s="1042"/>
      <c r="V642" s="1042"/>
    </row>
    <row r="643" spans="5:22">
      <c r="E643" s="1301"/>
      <c r="F643" s="1025"/>
      <c r="G643" s="1020"/>
      <c r="H643" s="1020"/>
      <c r="I643" s="1030"/>
      <c r="J643" s="969"/>
      <c r="K643" s="969"/>
      <c r="R643" s="1042"/>
      <c r="S643" s="1042"/>
      <c r="T643" s="1042"/>
      <c r="U643" s="1042"/>
      <c r="V643" s="1042"/>
    </row>
    <row r="644" spans="5:22">
      <c r="E644" s="1301"/>
      <c r="F644" s="1025"/>
      <c r="G644" s="1020"/>
      <c r="H644" s="1020"/>
      <c r="I644" s="1030"/>
      <c r="J644" s="969"/>
      <c r="K644" s="969"/>
      <c r="R644" s="1042"/>
      <c r="S644" s="1042"/>
      <c r="T644" s="1042"/>
      <c r="U644" s="1042"/>
      <c r="V644" s="1042"/>
    </row>
    <row r="645" spans="5:22">
      <c r="E645" s="1301"/>
      <c r="F645" s="1025"/>
      <c r="G645" s="1020"/>
      <c r="H645" s="1020"/>
      <c r="I645" s="1030"/>
      <c r="J645" s="969"/>
      <c r="K645" s="970"/>
      <c r="R645" s="1042"/>
      <c r="S645" s="1042"/>
      <c r="T645" s="1042"/>
      <c r="U645" s="1042"/>
      <c r="V645" s="1042"/>
    </row>
    <row r="646" spans="5:22">
      <c r="E646" s="1301"/>
      <c r="F646" s="1025"/>
      <c r="G646" s="1020"/>
      <c r="H646" s="1020"/>
      <c r="I646" s="1030"/>
      <c r="J646" s="969"/>
      <c r="K646" s="969"/>
      <c r="R646" s="1042"/>
      <c r="S646" s="1042"/>
      <c r="T646" s="1042"/>
      <c r="U646" s="1042"/>
      <c r="V646" s="1042"/>
    </row>
    <row r="647" spans="5:22">
      <c r="E647" s="1301"/>
      <c r="F647" s="1025"/>
      <c r="G647" s="1020"/>
      <c r="H647" s="1020"/>
      <c r="I647" s="1030"/>
      <c r="J647" s="969"/>
      <c r="K647" s="969"/>
      <c r="R647" s="1042"/>
      <c r="S647" s="1042"/>
      <c r="T647" s="1042"/>
      <c r="U647" s="1042"/>
      <c r="V647" s="1042"/>
    </row>
    <row r="648" spans="5:22">
      <c r="E648" s="1301"/>
      <c r="F648" s="1025"/>
      <c r="G648" s="1020"/>
      <c r="H648" s="1020"/>
      <c r="I648" s="1030"/>
      <c r="J648" s="969"/>
      <c r="K648" s="969"/>
      <c r="R648" s="1042"/>
      <c r="S648" s="1042"/>
      <c r="T648" s="1042"/>
      <c r="U648" s="1042"/>
      <c r="V648" s="1042"/>
    </row>
    <row r="649" spans="5:22">
      <c r="E649" s="1301"/>
      <c r="F649" s="1025"/>
      <c r="G649" s="1020"/>
      <c r="H649" s="1020"/>
      <c r="I649" s="1030"/>
      <c r="J649" s="969"/>
      <c r="K649" s="970"/>
      <c r="R649" s="1042"/>
      <c r="S649" s="1042"/>
      <c r="T649" s="1042"/>
      <c r="U649" s="1042"/>
      <c r="V649" s="1042"/>
    </row>
    <row r="650" spans="5:22">
      <c r="E650" s="1301"/>
      <c r="F650" s="1025"/>
      <c r="G650" s="1020"/>
      <c r="H650" s="1020"/>
      <c r="I650" s="1030"/>
      <c r="J650" s="969"/>
      <c r="K650" s="969"/>
      <c r="R650" s="1042"/>
      <c r="S650" s="1042"/>
      <c r="T650" s="1042"/>
      <c r="U650" s="1042"/>
      <c r="V650" s="1042"/>
    </row>
    <row r="651" spans="5:22">
      <c r="E651" s="1301"/>
      <c r="F651" s="1025"/>
      <c r="G651" s="1020"/>
      <c r="H651" s="1020"/>
      <c r="I651" s="1030"/>
      <c r="J651" s="969"/>
      <c r="K651" s="969"/>
      <c r="R651" s="1042"/>
      <c r="S651" s="1042"/>
      <c r="T651" s="1042"/>
      <c r="U651" s="1042"/>
      <c r="V651" s="1042"/>
    </row>
    <row r="652" spans="5:22">
      <c r="E652" s="1301"/>
      <c r="F652" s="1025"/>
      <c r="G652" s="1020"/>
      <c r="H652" s="1020"/>
      <c r="I652" s="1030"/>
      <c r="J652" s="969"/>
      <c r="K652" s="969"/>
      <c r="R652" s="1042"/>
      <c r="S652" s="1042"/>
      <c r="T652" s="1042"/>
      <c r="U652" s="1042"/>
      <c r="V652" s="1042"/>
    </row>
    <row r="653" spans="5:22">
      <c r="E653" s="1301"/>
      <c r="F653" s="1025"/>
      <c r="G653" s="1020"/>
      <c r="H653" s="1020"/>
      <c r="I653" s="1030"/>
      <c r="J653" s="969"/>
      <c r="K653" s="970"/>
      <c r="R653" s="1042"/>
      <c r="S653" s="1042"/>
      <c r="T653" s="1042"/>
      <c r="U653" s="1042"/>
      <c r="V653" s="1042"/>
    </row>
    <row r="654" spans="5:22">
      <c r="E654" s="1301"/>
      <c r="F654" s="1025"/>
      <c r="G654" s="1020"/>
      <c r="H654" s="1020"/>
      <c r="I654" s="1030"/>
      <c r="J654" s="969"/>
      <c r="K654" s="969"/>
      <c r="R654" s="1042"/>
      <c r="S654" s="1042"/>
      <c r="T654" s="1042"/>
      <c r="U654" s="1042"/>
      <c r="V654" s="1042"/>
    </row>
    <row r="655" spans="5:22">
      <c r="E655" s="1301"/>
      <c r="F655" s="1025"/>
      <c r="G655" s="1020"/>
      <c r="H655" s="1020"/>
      <c r="I655" s="1030"/>
      <c r="J655" s="969"/>
      <c r="K655" s="969"/>
      <c r="R655" s="1042"/>
      <c r="S655" s="1042"/>
      <c r="T655" s="1042"/>
      <c r="U655" s="1042"/>
      <c r="V655" s="1042"/>
    </row>
    <row r="656" spans="5:22">
      <c r="E656" s="1301"/>
      <c r="F656" s="1025"/>
      <c r="G656" s="1020"/>
      <c r="H656" s="1020"/>
      <c r="I656" s="1030"/>
      <c r="J656" s="969"/>
      <c r="K656" s="969"/>
      <c r="R656" s="1042"/>
      <c r="S656" s="1042"/>
      <c r="T656" s="1042"/>
      <c r="U656" s="1042"/>
      <c r="V656" s="1042"/>
    </row>
    <row r="657" spans="5:22">
      <c r="E657" s="1301"/>
      <c r="F657" s="1025"/>
      <c r="G657" s="1020"/>
      <c r="H657" s="1020"/>
      <c r="I657" s="1030"/>
      <c r="J657" s="969"/>
      <c r="K657" s="969"/>
      <c r="R657" s="1042"/>
      <c r="S657" s="1042"/>
      <c r="T657" s="1042"/>
      <c r="U657" s="1042"/>
      <c r="V657" s="1042"/>
    </row>
    <row r="658" spans="5:22">
      <c r="E658" s="1301"/>
      <c r="F658" s="1025"/>
      <c r="G658" s="1020"/>
      <c r="H658" s="1020"/>
      <c r="I658" s="1030"/>
      <c r="J658" s="969"/>
      <c r="K658" s="970"/>
      <c r="R658" s="1042"/>
      <c r="S658" s="1042"/>
      <c r="T658" s="1042"/>
      <c r="U658" s="1042"/>
      <c r="V658" s="1042"/>
    </row>
    <row r="659" spans="5:22">
      <c r="E659" s="1301"/>
      <c r="F659" s="1025"/>
      <c r="G659" s="1020"/>
      <c r="H659" s="1020"/>
      <c r="I659" s="1030"/>
      <c r="J659" s="969"/>
      <c r="K659" s="969"/>
      <c r="R659" s="1042"/>
      <c r="S659" s="1042"/>
      <c r="T659" s="1042"/>
      <c r="U659" s="1042"/>
      <c r="V659" s="1042"/>
    </row>
    <row r="660" spans="5:22">
      <c r="E660" s="1301"/>
      <c r="F660" s="1025"/>
      <c r="G660" s="1020"/>
      <c r="H660" s="1020"/>
      <c r="I660" s="1030"/>
      <c r="J660" s="969"/>
      <c r="K660" s="969"/>
      <c r="R660" s="1042"/>
      <c r="S660" s="1042"/>
      <c r="T660" s="1042"/>
      <c r="U660" s="1042"/>
      <c r="V660" s="1042"/>
    </row>
    <row r="661" spans="5:22">
      <c r="E661" s="1301"/>
      <c r="F661" s="1025"/>
      <c r="G661" s="1020"/>
      <c r="H661" s="1020"/>
      <c r="I661" s="1030"/>
      <c r="J661" s="969"/>
      <c r="K661" s="969"/>
      <c r="R661" s="1042"/>
      <c r="S661" s="1042"/>
      <c r="T661" s="1042"/>
      <c r="U661" s="1042"/>
      <c r="V661" s="1042"/>
    </row>
    <row r="662" spans="5:22">
      <c r="E662" s="1301"/>
      <c r="F662" s="1025"/>
      <c r="G662" s="1020"/>
      <c r="H662" s="1020"/>
      <c r="I662" s="1030"/>
      <c r="J662" s="969"/>
      <c r="K662" s="969"/>
      <c r="R662" s="1042"/>
      <c r="S662" s="1042"/>
      <c r="T662" s="1042"/>
      <c r="U662" s="1042"/>
      <c r="V662" s="1042"/>
    </row>
    <row r="663" spans="5:22">
      <c r="E663" s="1301"/>
      <c r="F663" s="1025"/>
      <c r="G663" s="1020"/>
      <c r="H663" s="1020"/>
      <c r="I663" s="1030"/>
      <c r="J663" s="969"/>
      <c r="K663" s="969"/>
      <c r="R663" s="1042"/>
      <c r="S663" s="1042"/>
      <c r="T663" s="1042"/>
      <c r="U663" s="1042"/>
      <c r="V663" s="1042"/>
    </row>
    <row r="664" spans="5:22">
      <c r="E664" s="1301"/>
      <c r="F664" s="1025"/>
      <c r="G664" s="1020"/>
      <c r="H664" s="1020"/>
      <c r="I664" s="1030"/>
      <c r="J664" s="969"/>
      <c r="K664" s="969"/>
      <c r="R664" s="1042"/>
      <c r="S664" s="1042"/>
      <c r="T664" s="1042"/>
      <c r="U664" s="1042"/>
      <c r="V664" s="1042"/>
    </row>
    <row r="665" spans="5:22">
      <c r="E665" s="1301"/>
      <c r="F665" s="1025"/>
      <c r="G665" s="1020"/>
      <c r="H665" s="1020"/>
      <c r="I665" s="1030"/>
      <c r="J665" s="969"/>
      <c r="K665" s="969"/>
      <c r="R665" s="1042"/>
      <c r="S665" s="1042"/>
      <c r="T665" s="1042"/>
      <c r="U665" s="1042"/>
      <c r="V665" s="1042"/>
    </row>
    <row r="666" spans="5:22">
      <c r="E666" s="1301"/>
      <c r="F666" s="1025"/>
      <c r="G666" s="1020"/>
      <c r="H666" s="1020"/>
      <c r="I666" s="1030"/>
      <c r="J666" s="969"/>
      <c r="K666" s="969"/>
      <c r="R666" s="1042"/>
      <c r="S666" s="1042"/>
      <c r="T666" s="1042"/>
      <c r="U666" s="1042"/>
      <c r="V666" s="1042"/>
    </row>
    <row r="667" spans="5:22">
      <c r="E667" s="1301"/>
      <c r="F667" s="1025"/>
      <c r="G667" s="1020"/>
      <c r="H667" s="1020"/>
      <c r="I667" s="1030"/>
      <c r="J667" s="969"/>
      <c r="K667" s="970"/>
      <c r="R667" s="1042"/>
      <c r="S667" s="1042"/>
      <c r="T667" s="1042"/>
      <c r="U667" s="1042"/>
      <c r="V667" s="1042"/>
    </row>
    <row r="668" spans="5:22">
      <c r="E668" s="1301"/>
      <c r="F668" s="1025"/>
      <c r="G668" s="1020"/>
      <c r="H668" s="1020"/>
      <c r="I668" s="1030"/>
      <c r="J668" s="969"/>
      <c r="K668" s="969"/>
      <c r="R668" s="1042"/>
      <c r="S668" s="1042"/>
      <c r="T668" s="1042"/>
      <c r="U668" s="1042"/>
      <c r="V668" s="1042"/>
    </row>
    <row r="669" spans="5:22">
      <c r="E669" s="1301"/>
      <c r="F669" s="1025"/>
      <c r="G669" s="1020"/>
      <c r="H669" s="1020"/>
      <c r="I669" s="1030"/>
      <c r="J669" s="969"/>
      <c r="K669" s="969"/>
      <c r="R669" s="1042"/>
      <c r="S669" s="1042"/>
      <c r="T669" s="1042"/>
      <c r="U669" s="1042"/>
      <c r="V669" s="1042"/>
    </row>
    <row r="670" spans="5:22">
      <c r="E670" s="1301"/>
      <c r="F670" s="1025"/>
      <c r="G670" s="1020"/>
      <c r="H670" s="1020"/>
      <c r="I670" s="1030"/>
      <c r="J670" s="969"/>
      <c r="K670" s="969"/>
      <c r="R670" s="1042"/>
      <c r="S670" s="1042"/>
      <c r="T670" s="1042"/>
      <c r="U670" s="1042"/>
      <c r="V670" s="1042"/>
    </row>
    <row r="671" spans="5:22">
      <c r="E671" s="1301"/>
      <c r="F671" s="1025"/>
      <c r="G671" s="1020"/>
      <c r="H671" s="1020"/>
      <c r="I671" s="1030"/>
      <c r="J671" s="969"/>
      <c r="K671" s="970"/>
      <c r="R671" s="1042"/>
      <c r="S671" s="1042"/>
      <c r="T671" s="1042"/>
      <c r="U671" s="1042"/>
      <c r="V671" s="1042"/>
    </row>
    <row r="672" spans="5:22">
      <c r="E672" s="1301"/>
      <c r="F672" s="1025"/>
      <c r="G672" s="1020"/>
      <c r="H672" s="1020"/>
      <c r="I672" s="1030"/>
      <c r="J672" s="969"/>
      <c r="K672" s="969"/>
      <c r="R672" s="1042"/>
      <c r="S672" s="1042"/>
      <c r="T672" s="1042"/>
      <c r="U672" s="1042"/>
      <c r="V672" s="1042"/>
    </row>
    <row r="673" spans="5:22">
      <c r="E673" s="1301"/>
      <c r="F673" s="1025"/>
      <c r="G673" s="1020"/>
      <c r="H673" s="1020"/>
      <c r="I673" s="1030"/>
      <c r="J673" s="969"/>
      <c r="K673" s="969"/>
      <c r="R673" s="1042"/>
      <c r="S673" s="1042"/>
      <c r="T673" s="1042"/>
      <c r="U673" s="1042"/>
      <c r="V673" s="1042"/>
    </row>
    <row r="674" spans="5:22">
      <c r="E674" s="1301"/>
      <c r="F674" s="1025"/>
      <c r="G674" s="1020"/>
      <c r="H674" s="1020"/>
      <c r="I674" s="1030"/>
      <c r="J674" s="969"/>
      <c r="K674" s="969"/>
      <c r="R674" s="1042"/>
      <c r="S674" s="1042"/>
      <c r="T674" s="1042"/>
      <c r="U674" s="1042"/>
      <c r="V674" s="1042"/>
    </row>
    <row r="675" spans="5:22">
      <c r="E675" s="1301"/>
      <c r="F675" s="1025"/>
      <c r="G675" s="1020"/>
      <c r="H675" s="1020"/>
      <c r="I675" s="1030"/>
      <c r="J675" s="969"/>
      <c r="K675" s="969"/>
      <c r="R675" s="1042"/>
      <c r="S675" s="1042"/>
      <c r="T675" s="1042"/>
      <c r="U675" s="1042"/>
      <c r="V675" s="1042"/>
    </row>
    <row r="676" spans="5:22">
      <c r="E676" s="1301"/>
      <c r="F676" s="1025"/>
      <c r="G676" s="1020"/>
      <c r="H676" s="1020"/>
      <c r="I676" s="1030"/>
      <c r="J676" s="969"/>
      <c r="K676" s="970"/>
      <c r="R676" s="1042"/>
      <c r="S676" s="1042"/>
      <c r="T676" s="1042"/>
      <c r="U676" s="1042"/>
      <c r="V676" s="1042"/>
    </row>
    <row r="677" spans="5:22">
      <c r="E677" s="1301"/>
      <c r="F677" s="1025"/>
      <c r="G677" s="1020"/>
      <c r="H677" s="1020"/>
      <c r="I677" s="1030"/>
      <c r="J677" s="969"/>
      <c r="K677" s="969"/>
      <c r="R677" s="1042"/>
      <c r="S677" s="1042"/>
      <c r="T677" s="1042"/>
      <c r="U677" s="1042"/>
      <c r="V677" s="1042"/>
    </row>
    <row r="678" spans="5:22">
      <c r="E678" s="1301"/>
      <c r="F678" s="1025"/>
      <c r="G678" s="1020"/>
      <c r="H678" s="1020"/>
      <c r="I678" s="1030"/>
      <c r="J678" s="969"/>
      <c r="K678" s="969"/>
      <c r="R678" s="1042"/>
      <c r="S678" s="1042"/>
      <c r="T678" s="1042"/>
      <c r="U678" s="1042"/>
      <c r="V678" s="1042"/>
    </row>
    <row r="679" spans="5:22">
      <c r="E679" s="1301"/>
      <c r="F679" s="1025"/>
      <c r="G679" s="1020"/>
      <c r="H679" s="1020"/>
      <c r="I679" s="1030"/>
      <c r="J679" s="969"/>
      <c r="K679" s="969"/>
      <c r="R679" s="1042"/>
      <c r="S679" s="1042"/>
      <c r="T679" s="1042"/>
      <c r="U679" s="1042"/>
      <c r="V679" s="1042"/>
    </row>
    <row r="680" spans="5:22">
      <c r="E680" s="1301"/>
      <c r="F680" s="1025"/>
      <c r="G680" s="1020"/>
      <c r="H680" s="1020"/>
      <c r="I680" s="1030"/>
      <c r="J680" s="969"/>
      <c r="K680" s="969"/>
      <c r="R680" s="1042"/>
      <c r="S680" s="1042"/>
      <c r="T680" s="1042"/>
      <c r="U680" s="1042"/>
      <c r="V680" s="1042"/>
    </row>
    <row r="681" spans="5:22">
      <c r="E681" s="1301"/>
      <c r="F681" s="1025"/>
      <c r="G681" s="1020"/>
      <c r="H681" s="1020"/>
      <c r="I681" s="1030"/>
      <c r="J681" s="969"/>
      <c r="K681" s="969"/>
      <c r="R681" s="1042"/>
      <c r="S681" s="1042"/>
      <c r="T681" s="1042"/>
      <c r="U681" s="1042"/>
      <c r="V681" s="1042"/>
    </row>
    <row r="682" spans="5:22">
      <c r="E682" s="1301"/>
      <c r="F682" s="1025"/>
      <c r="G682" s="1020"/>
      <c r="H682" s="1020"/>
      <c r="I682" s="1030"/>
      <c r="J682" s="969"/>
      <c r="K682" s="969"/>
      <c r="R682" s="1042"/>
      <c r="S682" s="1042"/>
      <c r="T682" s="1042"/>
      <c r="U682" s="1042"/>
      <c r="V682" s="1042"/>
    </row>
    <row r="683" spans="5:22">
      <c r="E683" s="1301"/>
      <c r="F683" s="1025"/>
      <c r="G683" s="1020"/>
      <c r="H683" s="1020"/>
      <c r="I683" s="1030"/>
      <c r="J683" s="969"/>
      <c r="K683" s="969"/>
      <c r="R683" s="1042"/>
      <c r="S683" s="1042"/>
      <c r="T683" s="1042"/>
      <c r="U683" s="1042"/>
      <c r="V683" s="1042"/>
    </row>
    <row r="684" spans="5:22">
      <c r="E684" s="1301"/>
      <c r="F684" s="1025"/>
      <c r="G684" s="1020"/>
      <c r="H684" s="1020"/>
      <c r="I684" s="1030"/>
      <c r="J684" s="969"/>
      <c r="K684" s="969"/>
      <c r="R684" s="1042"/>
      <c r="S684" s="1042"/>
      <c r="T684" s="1042"/>
      <c r="U684" s="1042"/>
      <c r="V684" s="1042"/>
    </row>
    <row r="685" spans="5:22">
      <c r="E685" s="1301"/>
      <c r="F685" s="1025"/>
      <c r="G685" s="1020"/>
      <c r="H685" s="1020"/>
      <c r="I685" s="1030"/>
      <c r="J685" s="969"/>
      <c r="K685" s="970"/>
      <c r="R685" s="1042"/>
      <c r="S685" s="1042"/>
      <c r="T685" s="1042"/>
      <c r="U685" s="1042"/>
      <c r="V685" s="1042"/>
    </row>
    <row r="686" spans="5:22">
      <c r="E686" s="1301"/>
      <c r="F686" s="1025"/>
      <c r="G686" s="1020"/>
      <c r="H686" s="1020"/>
      <c r="I686" s="1030"/>
      <c r="J686" s="969"/>
      <c r="K686" s="969"/>
      <c r="R686" s="1042"/>
      <c r="S686" s="1042"/>
      <c r="T686" s="1042"/>
      <c r="U686" s="1042"/>
      <c r="V686" s="1042"/>
    </row>
    <row r="687" spans="5:22">
      <c r="E687" s="1301"/>
      <c r="F687" s="1025"/>
      <c r="G687" s="1020"/>
      <c r="H687" s="1020"/>
      <c r="I687" s="1030"/>
      <c r="J687" s="969"/>
      <c r="K687" s="969"/>
      <c r="R687" s="1042"/>
      <c r="S687" s="1042"/>
      <c r="T687" s="1042"/>
      <c r="U687" s="1042"/>
      <c r="V687" s="1042"/>
    </row>
    <row r="688" spans="5:22">
      <c r="E688" s="1301"/>
      <c r="F688" s="1025"/>
      <c r="G688" s="1020"/>
      <c r="H688" s="1020"/>
      <c r="I688" s="1030"/>
      <c r="J688" s="969"/>
      <c r="K688" s="969"/>
      <c r="R688" s="1042"/>
      <c r="S688" s="1042"/>
      <c r="T688" s="1042"/>
      <c r="U688" s="1042"/>
      <c r="V688" s="1042"/>
    </row>
    <row r="689" spans="5:22">
      <c r="E689" s="1301"/>
      <c r="F689" s="1025"/>
      <c r="G689" s="1020"/>
      <c r="H689" s="1020"/>
      <c r="I689" s="1030"/>
      <c r="J689" s="969"/>
      <c r="K689" s="970"/>
      <c r="R689" s="1042"/>
      <c r="S689" s="1042"/>
      <c r="T689" s="1042"/>
      <c r="U689" s="1042"/>
      <c r="V689" s="1042"/>
    </row>
    <row r="690" spans="5:22">
      <c r="E690" s="1301"/>
      <c r="F690" s="1025"/>
      <c r="G690" s="1020"/>
      <c r="H690" s="1020"/>
      <c r="I690" s="1030"/>
      <c r="J690" s="969"/>
      <c r="K690" s="969"/>
      <c r="R690" s="1042"/>
      <c r="S690" s="1042"/>
      <c r="T690" s="1042"/>
      <c r="U690" s="1042"/>
      <c r="V690" s="1042"/>
    </row>
    <row r="691" spans="5:22">
      <c r="E691" s="1301"/>
      <c r="F691" s="1025"/>
      <c r="G691" s="1020"/>
      <c r="H691" s="1020"/>
      <c r="I691" s="1030"/>
      <c r="J691" s="969"/>
      <c r="K691" s="969"/>
      <c r="R691" s="1042"/>
      <c r="S691" s="1042"/>
      <c r="T691" s="1042"/>
      <c r="U691" s="1042"/>
      <c r="V691" s="1042"/>
    </row>
    <row r="692" spans="5:22">
      <c r="E692" s="1301"/>
      <c r="F692" s="1025"/>
      <c r="G692" s="1020"/>
      <c r="H692" s="1020"/>
      <c r="I692" s="1030"/>
      <c r="J692" s="969"/>
      <c r="K692" s="969"/>
      <c r="R692" s="1042"/>
      <c r="S692" s="1042"/>
      <c r="T692" s="1042"/>
      <c r="U692" s="1042"/>
      <c r="V692" s="1042"/>
    </row>
    <row r="693" spans="5:22">
      <c r="E693" s="1301"/>
      <c r="F693" s="1025"/>
      <c r="G693" s="1020"/>
      <c r="H693" s="1020"/>
      <c r="I693" s="1030"/>
      <c r="J693" s="969"/>
      <c r="K693" s="969"/>
      <c r="R693" s="1042"/>
      <c r="S693" s="1042"/>
      <c r="T693" s="1042"/>
      <c r="U693" s="1042"/>
      <c r="V693" s="1042"/>
    </row>
    <row r="694" spans="5:22">
      <c r="E694" s="1301"/>
      <c r="F694" s="1025"/>
      <c r="G694" s="1020"/>
      <c r="H694" s="1020"/>
      <c r="I694" s="1030"/>
      <c r="J694" s="969"/>
      <c r="K694" s="969"/>
      <c r="R694" s="1042"/>
      <c r="S694" s="1042"/>
      <c r="T694" s="1042"/>
      <c r="U694" s="1042"/>
      <c r="V694" s="1042"/>
    </row>
    <row r="695" spans="5:22">
      <c r="E695" s="1301"/>
      <c r="F695" s="1025"/>
      <c r="G695" s="1020"/>
      <c r="H695" s="1020"/>
      <c r="I695" s="1030"/>
      <c r="J695" s="969"/>
      <c r="K695" s="969"/>
      <c r="R695" s="1042"/>
      <c r="S695" s="1042"/>
      <c r="T695" s="1042"/>
      <c r="U695" s="1042"/>
      <c r="V695" s="1042"/>
    </row>
    <row r="696" spans="5:22">
      <c r="E696" s="1301"/>
      <c r="F696" s="1025"/>
      <c r="G696" s="1020"/>
      <c r="H696" s="1020"/>
      <c r="I696" s="1030"/>
      <c r="J696" s="969"/>
      <c r="K696" s="969"/>
      <c r="R696" s="1042"/>
      <c r="S696" s="1042"/>
      <c r="T696" s="1042"/>
      <c r="U696" s="1042"/>
      <c r="V696" s="1042"/>
    </row>
    <row r="697" spans="5:22">
      <c r="E697" s="1301"/>
      <c r="F697" s="1025"/>
      <c r="G697" s="1020"/>
      <c r="H697" s="1020"/>
      <c r="I697" s="1030"/>
      <c r="J697" s="969"/>
      <c r="K697" s="969"/>
      <c r="R697" s="1042"/>
      <c r="S697" s="1042"/>
      <c r="T697" s="1042"/>
      <c r="U697" s="1042"/>
      <c r="V697" s="1042"/>
    </row>
    <row r="698" spans="5:22">
      <c r="E698" s="1301"/>
      <c r="F698" s="1025"/>
      <c r="G698" s="1020"/>
      <c r="H698" s="1020"/>
      <c r="I698" s="1030"/>
      <c r="J698" s="969"/>
      <c r="K698" s="969"/>
      <c r="R698" s="1042"/>
      <c r="S698" s="1042"/>
      <c r="T698" s="1042"/>
      <c r="U698" s="1042"/>
      <c r="V698" s="1042"/>
    </row>
    <row r="699" spans="5:22">
      <c r="E699" s="1301"/>
      <c r="F699" s="1025"/>
      <c r="G699" s="1020"/>
      <c r="H699" s="1020"/>
      <c r="I699" s="1030"/>
      <c r="J699" s="969"/>
      <c r="K699" s="969"/>
      <c r="R699" s="1042"/>
      <c r="S699" s="1042"/>
      <c r="T699" s="1042"/>
      <c r="U699" s="1042"/>
      <c r="V699" s="1042"/>
    </row>
    <row r="700" spans="5:22">
      <c r="E700" s="1301"/>
      <c r="F700" s="1025"/>
      <c r="G700" s="1020"/>
      <c r="H700" s="1020"/>
      <c r="I700" s="1030"/>
      <c r="J700" s="969"/>
      <c r="K700" s="970"/>
      <c r="R700" s="1042"/>
      <c r="S700" s="1042"/>
      <c r="T700" s="1042"/>
      <c r="U700" s="1042"/>
      <c r="V700" s="1042"/>
    </row>
    <row r="701" spans="5:22">
      <c r="E701" s="1301"/>
      <c r="F701" s="1025"/>
      <c r="G701" s="1020"/>
      <c r="H701" s="1020"/>
      <c r="I701" s="1030"/>
      <c r="J701" s="969"/>
      <c r="K701" s="969"/>
      <c r="R701" s="1042"/>
      <c r="S701" s="1042"/>
      <c r="T701" s="1042"/>
      <c r="U701" s="1042"/>
      <c r="V701" s="1042"/>
    </row>
    <row r="702" spans="5:22">
      <c r="E702" s="1301"/>
      <c r="F702" s="1025"/>
      <c r="G702" s="1020"/>
      <c r="H702" s="1020"/>
      <c r="I702" s="1030"/>
      <c r="J702" s="969"/>
      <c r="K702" s="969"/>
      <c r="R702" s="1042"/>
      <c r="S702" s="1042"/>
      <c r="T702" s="1042"/>
      <c r="U702" s="1042"/>
      <c r="V702" s="1042"/>
    </row>
    <row r="703" spans="5:22">
      <c r="E703" s="1301"/>
      <c r="F703" s="1025"/>
      <c r="G703" s="1020"/>
      <c r="H703" s="1020"/>
      <c r="I703" s="1030"/>
      <c r="J703" s="969"/>
      <c r="K703" s="969"/>
      <c r="R703" s="1042"/>
      <c r="S703" s="1042"/>
      <c r="T703" s="1042"/>
      <c r="U703" s="1042"/>
      <c r="V703" s="1042"/>
    </row>
    <row r="704" spans="5:22">
      <c r="E704" s="1301"/>
      <c r="F704" s="1025"/>
      <c r="G704" s="1020"/>
      <c r="H704" s="1020"/>
      <c r="I704" s="1030"/>
      <c r="J704" s="969"/>
      <c r="K704" s="969"/>
      <c r="R704" s="1042"/>
      <c r="S704" s="1042"/>
      <c r="T704" s="1042"/>
      <c r="U704" s="1042"/>
      <c r="V704" s="1042"/>
    </row>
    <row r="705" spans="5:22">
      <c r="E705" s="1301"/>
      <c r="F705" s="1025"/>
      <c r="G705" s="1020"/>
      <c r="H705" s="1020"/>
      <c r="I705" s="1030"/>
      <c r="J705" s="969"/>
      <c r="K705" s="969"/>
      <c r="R705" s="1042"/>
      <c r="S705" s="1042"/>
      <c r="T705" s="1042"/>
      <c r="U705" s="1042"/>
      <c r="V705" s="1042"/>
    </row>
    <row r="706" spans="5:22">
      <c r="E706" s="1301"/>
      <c r="F706" s="1025"/>
      <c r="G706" s="1020"/>
      <c r="H706" s="1020"/>
      <c r="I706" s="1030"/>
      <c r="J706" s="969"/>
      <c r="K706" s="969"/>
      <c r="R706" s="1042"/>
      <c r="S706" s="1042"/>
      <c r="T706" s="1042"/>
      <c r="U706" s="1042"/>
      <c r="V706" s="1042"/>
    </row>
    <row r="707" spans="5:22">
      <c r="E707" s="1301"/>
      <c r="F707" s="1025"/>
      <c r="G707" s="1020"/>
      <c r="H707" s="1020"/>
      <c r="I707" s="1030"/>
      <c r="J707" s="969"/>
      <c r="K707" s="969"/>
      <c r="R707" s="1042"/>
      <c r="S707" s="1042"/>
      <c r="T707" s="1042"/>
      <c r="U707" s="1042"/>
      <c r="V707" s="1042"/>
    </row>
    <row r="708" spans="5:22">
      <c r="E708" s="1301"/>
      <c r="F708" s="1025"/>
      <c r="G708" s="1020"/>
      <c r="H708" s="1020"/>
      <c r="I708" s="1030"/>
      <c r="J708" s="969"/>
      <c r="K708" s="969"/>
      <c r="R708" s="1042"/>
      <c r="S708" s="1042"/>
      <c r="T708" s="1042"/>
      <c r="U708" s="1042"/>
      <c r="V708" s="1042"/>
    </row>
    <row r="709" spans="5:22">
      <c r="E709" s="1301"/>
      <c r="F709" s="1025"/>
      <c r="G709" s="1020"/>
      <c r="H709" s="1020"/>
      <c r="I709" s="1030"/>
      <c r="J709" s="969"/>
      <c r="K709" s="970"/>
      <c r="R709" s="1042"/>
      <c r="S709" s="1042"/>
      <c r="T709" s="1042"/>
      <c r="U709" s="1042"/>
      <c r="V709" s="1042"/>
    </row>
    <row r="710" spans="5:22">
      <c r="E710" s="1301"/>
      <c r="F710" s="1025"/>
      <c r="G710" s="1020"/>
      <c r="H710" s="1020"/>
      <c r="I710" s="1030"/>
      <c r="J710" s="969"/>
      <c r="K710" s="969"/>
      <c r="R710" s="1042"/>
      <c r="S710" s="1042"/>
      <c r="T710" s="1042"/>
      <c r="U710" s="1042"/>
      <c r="V710" s="1042"/>
    </row>
    <row r="711" spans="5:22">
      <c r="E711" s="1301"/>
      <c r="F711" s="1025"/>
      <c r="G711" s="1020"/>
      <c r="H711" s="1020"/>
      <c r="I711" s="1030"/>
      <c r="J711" s="969"/>
      <c r="K711" s="969"/>
      <c r="R711" s="1042"/>
      <c r="S711" s="1042"/>
      <c r="T711" s="1042"/>
      <c r="U711" s="1042"/>
      <c r="V711" s="1042"/>
    </row>
    <row r="712" spans="5:22">
      <c r="E712" s="1301"/>
      <c r="F712" s="1025"/>
      <c r="G712" s="1020"/>
      <c r="H712" s="1020"/>
      <c r="I712" s="1030"/>
      <c r="J712" s="969"/>
      <c r="K712" s="969"/>
      <c r="R712" s="1042"/>
      <c r="S712" s="1042"/>
      <c r="T712" s="1042"/>
      <c r="U712" s="1042"/>
      <c r="V712" s="1042"/>
    </row>
    <row r="713" spans="5:22">
      <c r="E713" s="1301"/>
      <c r="F713" s="1025"/>
      <c r="G713" s="1020"/>
      <c r="H713" s="1020"/>
      <c r="I713" s="1030"/>
      <c r="J713" s="969"/>
      <c r="K713" s="969"/>
      <c r="R713" s="1042"/>
      <c r="S713" s="1042"/>
      <c r="T713" s="1042"/>
      <c r="U713" s="1042"/>
      <c r="V713" s="1042"/>
    </row>
    <row r="714" spans="5:22">
      <c r="E714" s="1301"/>
      <c r="F714" s="1025"/>
      <c r="G714" s="1020"/>
      <c r="H714" s="1020"/>
      <c r="I714" s="1030"/>
      <c r="J714" s="969"/>
      <c r="K714" s="970"/>
      <c r="R714" s="1042"/>
      <c r="S714" s="1042"/>
      <c r="T714" s="1042"/>
      <c r="U714" s="1042"/>
      <c r="V714" s="1042"/>
    </row>
    <row r="715" spans="5:22">
      <c r="E715" s="1301"/>
      <c r="F715" s="1025"/>
      <c r="G715" s="1020"/>
      <c r="H715" s="1020"/>
      <c r="I715" s="1030"/>
      <c r="J715" s="969"/>
      <c r="K715" s="969"/>
      <c r="R715" s="1042"/>
      <c r="S715" s="1042"/>
      <c r="T715" s="1042"/>
      <c r="U715" s="1042"/>
      <c r="V715" s="1042"/>
    </row>
    <row r="716" spans="5:22">
      <c r="E716" s="1301"/>
      <c r="F716" s="1025"/>
      <c r="G716" s="1020"/>
      <c r="H716" s="1020"/>
      <c r="I716" s="1030"/>
      <c r="J716" s="969"/>
      <c r="K716" s="969"/>
      <c r="R716" s="1042"/>
      <c r="S716" s="1042"/>
      <c r="T716" s="1042"/>
      <c r="U716" s="1042"/>
      <c r="V716" s="1042"/>
    </row>
    <row r="717" spans="5:22">
      <c r="E717" s="1301"/>
      <c r="F717" s="1025"/>
      <c r="G717" s="1020"/>
      <c r="H717" s="1020"/>
      <c r="I717" s="1030"/>
      <c r="J717" s="969"/>
      <c r="K717" s="969"/>
      <c r="R717" s="1042"/>
      <c r="S717" s="1042"/>
      <c r="T717" s="1042"/>
      <c r="U717" s="1042"/>
      <c r="V717" s="1042"/>
    </row>
    <row r="718" spans="5:22">
      <c r="E718" s="1301"/>
      <c r="F718" s="1025"/>
      <c r="G718" s="1020"/>
      <c r="H718" s="1020"/>
      <c r="I718" s="1030"/>
      <c r="J718" s="969"/>
      <c r="K718" s="969"/>
      <c r="R718" s="1042"/>
      <c r="S718" s="1042"/>
      <c r="T718" s="1042"/>
      <c r="U718" s="1042"/>
      <c r="V718" s="1042"/>
    </row>
    <row r="719" spans="5:22">
      <c r="E719" s="1301"/>
      <c r="F719" s="1025"/>
      <c r="G719" s="1020"/>
      <c r="H719" s="1020"/>
      <c r="I719" s="1030"/>
      <c r="J719" s="969"/>
      <c r="K719" s="969"/>
      <c r="R719" s="1042"/>
      <c r="S719" s="1042"/>
      <c r="T719" s="1042"/>
      <c r="U719" s="1042"/>
      <c r="V719" s="1042"/>
    </row>
    <row r="720" spans="5:22">
      <c r="E720" s="1301"/>
      <c r="F720" s="1025"/>
      <c r="G720" s="1020"/>
      <c r="H720" s="1020"/>
      <c r="I720" s="1030"/>
      <c r="J720" s="969"/>
      <c r="K720" s="969"/>
      <c r="R720" s="1042"/>
      <c r="S720" s="1042"/>
      <c r="T720" s="1042"/>
      <c r="U720" s="1042"/>
      <c r="V720" s="1042"/>
    </row>
    <row r="721" spans="5:22">
      <c r="E721" s="1301"/>
      <c r="F721" s="1025"/>
      <c r="G721" s="1020"/>
      <c r="H721" s="1020"/>
      <c r="I721" s="1030"/>
      <c r="J721" s="969"/>
      <c r="K721" s="969"/>
      <c r="R721" s="1042"/>
      <c r="S721" s="1042"/>
      <c r="T721" s="1042"/>
      <c r="U721" s="1042"/>
      <c r="V721" s="1042"/>
    </row>
    <row r="722" spans="5:22">
      <c r="E722" s="1301"/>
      <c r="F722" s="1025"/>
      <c r="G722" s="1020"/>
      <c r="H722" s="1020"/>
      <c r="I722" s="1030"/>
      <c r="J722" s="969"/>
      <c r="K722" s="969"/>
      <c r="R722" s="1042"/>
      <c r="S722" s="1042"/>
      <c r="T722" s="1042"/>
      <c r="U722" s="1042"/>
      <c r="V722" s="1042"/>
    </row>
    <row r="723" spans="5:22">
      <c r="E723" s="1301"/>
      <c r="F723" s="1025"/>
      <c r="G723" s="1020"/>
      <c r="H723" s="1020"/>
      <c r="I723" s="1030"/>
      <c r="J723" s="969"/>
      <c r="K723" s="970"/>
      <c r="R723" s="1042"/>
      <c r="S723" s="1042"/>
      <c r="T723" s="1042"/>
      <c r="U723" s="1042"/>
      <c r="V723" s="1042"/>
    </row>
    <row r="724" spans="5:22">
      <c r="E724" s="1301"/>
      <c r="F724" s="1025"/>
      <c r="G724" s="1020"/>
      <c r="H724" s="1020"/>
      <c r="I724" s="1030"/>
      <c r="J724" s="969"/>
      <c r="K724" s="969"/>
      <c r="R724" s="1042"/>
      <c r="S724" s="1042"/>
      <c r="T724" s="1042"/>
      <c r="U724" s="1042"/>
      <c r="V724" s="1042"/>
    </row>
    <row r="725" spans="5:22">
      <c r="E725" s="1301"/>
      <c r="F725" s="1025"/>
      <c r="G725" s="1020"/>
      <c r="H725" s="1020"/>
      <c r="I725" s="1030"/>
      <c r="J725" s="969"/>
      <c r="K725" s="969"/>
      <c r="R725" s="1042"/>
      <c r="S725" s="1042"/>
      <c r="T725" s="1042"/>
      <c r="U725" s="1042"/>
      <c r="V725" s="1042"/>
    </row>
    <row r="726" spans="5:22">
      <c r="E726" s="1301"/>
      <c r="F726" s="1025"/>
      <c r="G726" s="1020"/>
      <c r="H726" s="1020"/>
      <c r="I726" s="1030"/>
      <c r="J726" s="969"/>
      <c r="K726" s="969"/>
      <c r="R726" s="1042"/>
      <c r="S726" s="1042"/>
      <c r="T726" s="1042"/>
      <c r="U726" s="1042"/>
      <c r="V726" s="1042"/>
    </row>
    <row r="727" spans="5:22">
      <c r="E727" s="1301"/>
      <c r="F727" s="1025"/>
      <c r="G727" s="1020"/>
      <c r="H727" s="1020"/>
      <c r="I727" s="1030"/>
      <c r="J727" s="969"/>
      <c r="K727" s="969"/>
      <c r="R727" s="1042"/>
      <c r="S727" s="1042"/>
      <c r="T727" s="1042"/>
      <c r="U727" s="1042"/>
      <c r="V727" s="1042"/>
    </row>
    <row r="728" spans="5:22">
      <c r="E728" s="1301"/>
      <c r="F728" s="1025"/>
      <c r="G728" s="1020"/>
      <c r="H728" s="1020"/>
      <c r="I728" s="1030"/>
      <c r="J728" s="969"/>
      <c r="K728" s="970"/>
      <c r="R728" s="1042"/>
      <c r="S728" s="1042"/>
      <c r="T728" s="1042"/>
      <c r="U728" s="1042"/>
      <c r="V728" s="1042"/>
    </row>
    <row r="729" spans="5:22">
      <c r="E729" s="1301"/>
      <c r="F729" s="1025"/>
      <c r="G729" s="1020"/>
      <c r="H729" s="1020"/>
      <c r="I729" s="1030"/>
      <c r="J729" s="969"/>
      <c r="K729" s="969"/>
      <c r="R729" s="1042"/>
      <c r="S729" s="1042"/>
      <c r="T729" s="1042"/>
      <c r="U729" s="1042"/>
      <c r="V729" s="1042"/>
    </row>
    <row r="730" spans="5:22">
      <c r="E730" s="1301"/>
      <c r="F730" s="1025"/>
      <c r="G730" s="1020"/>
      <c r="H730" s="1020"/>
      <c r="I730" s="1030"/>
      <c r="J730" s="969"/>
      <c r="K730" s="969"/>
      <c r="R730" s="1042"/>
      <c r="S730" s="1042"/>
      <c r="T730" s="1042"/>
      <c r="U730" s="1042"/>
      <c r="V730" s="1042"/>
    </row>
    <row r="731" spans="5:22">
      <c r="E731" s="1301"/>
      <c r="F731" s="1025"/>
      <c r="G731" s="1020"/>
      <c r="H731" s="1020"/>
      <c r="I731" s="1030"/>
      <c r="J731" s="969"/>
      <c r="K731" s="969"/>
      <c r="R731" s="1042"/>
      <c r="S731" s="1042"/>
      <c r="T731" s="1042"/>
      <c r="U731" s="1042"/>
      <c r="V731" s="1042"/>
    </row>
    <row r="732" spans="5:22">
      <c r="E732" s="1301"/>
      <c r="F732" s="1025"/>
      <c r="G732" s="1020"/>
      <c r="H732" s="1020"/>
      <c r="I732" s="1030"/>
      <c r="J732" s="969"/>
      <c r="K732" s="969"/>
      <c r="R732" s="1042"/>
      <c r="S732" s="1042"/>
      <c r="T732" s="1042"/>
      <c r="U732" s="1042"/>
      <c r="V732" s="1042"/>
    </row>
    <row r="733" spans="5:22">
      <c r="E733" s="1301"/>
      <c r="F733" s="1025"/>
      <c r="G733" s="1020"/>
      <c r="H733" s="1020"/>
      <c r="I733" s="1030"/>
      <c r="J733" s="969"/>
      <c r="K733" s="969"/>
      <c r="R733" s="1042"/>
      <c r="S733" s="1042"/>
      <c r="T733" s="1042"/>
      <c r="U733" s="1042"/>
      <c r="V733" s="1042"/>
    </row>
    <row r="734" spans="5:22">
      <c r="E734" s="1301"/>
      <c r="F734" s="1025"/>
      <c r="G734" s="1020"/>
      <c r="H734" s="1020"/>
      <c r="I734" s="1030"/>
      <c r="J734" s="969"/>
      <c r="K734" s="969"/>
      <c r="R734" s="1042"/>
      <c r="S734" s="1042"/>
      <c r="T734" s="1042"/>
      <c r="U734" s="1042"/>
      <c r="V734" s="1042"/>
    </row>
    <row r="735" spans="5:22">
      <c r="E735" s="1301"/>
      <c r="F735" s="1025"/>
      <c r="G735" s="1020"/>
      <c r="H735" s="1020"/>
      <c r="I735" s="1030"/>
      <c r="J735" s="969"/>
      <c r="K735" s="969"/>
      <c r="R735" s="1042"/>
      <c r="S735" s="1042"/>
      <c r="T735" s="1042"/>
      <c r="U735" s="1042"/>
      <c r="V735" s="1042"/>
    </row>
    <row r="736" spans="5:22">
      <c r="E736" s="1301"/>
      <c r="F736" s="1025"/>
      <c r="G736" s="1020"/>
      <c r="H736" s="1020"/>
      <c r="I736" s="1030"/>
      <c r="J736" s="969"/>
      <c r="K736" s="969"/>
      <c r="R736" s="1042"/>
      <c r="S736" s="1042"/>
      <c r="T736" s="1042"/>
      <c r="U736" s="1042"/>
      <c r="V736" s="1042"/>
    </row>
    <row r="737" spans="5:22">
      <c r="E737" s="1301"/>
      <c r="F737" s="1025"/>
      <c r="G737" s="1020"/>
      <c r="H737" s="1020"/>
      <c r="I737" s="1030"/>
      <c r="J737" s="969"/>
      <c r="K737" s="970"/>
      <c r="R737" s="1042"/>
      <c r="S737" s="1042"/>
      <c r="T737" s="1042"/>
      <c r="U737" s="1042"/>
      <c r="V737" s="1042"/>
    </row>
    <row r="738" spans="5:22">
      <c r="E738" s="1301"/>
      <c r="F738" s="1025"/>
      <c r="G738" s="1020"/>
      <c r="H738" s="1020"/>
      <c r="I738" s="1030"/>
      <c r="J738" s="969"/>
      <c r="K738" s="969"/>
      <c r="R738" s="1042"/>
      <c r="S738" s="1042"/>
      <c r="T738" s="1042"/>
      <c r="U738" s="1042"/>
      <c r="V738" s="1042"/>
    </row>
    <row r="739" spans="5:22">
      <c r="E739" s="1301"/>
      <c r="F739" s="1025"/>
      <c r="G739" s="1020"/>
      <c r="H739" s="1020"/>
      <c r="I739" s="1030"/>
      <c r="J739" s="969"/>
      <c r="K739" s="969"/>
      <c r="R739" s="1042"/>
      <c r="S739" s="1042"/>
      <c r="T739" s="1042"/>
      <c r="U739" s="1042"/>
      <c r="V739" s="1042"/>
    </row>
    <row r="740" spans="5:22">
      <c r="E740" s="1301"/>
      <c r="F740" s="1025"/>
      <c r="G740" s="1020"/>
      <c r="H740" s="1020"/>
      <c r="I740" s="1030"/>
      <c r="J740" s="969"/>
      <c r="K740" s="969"/>
      <c r="R740" s="1042"/>
      <c r="S740" s="1042"/>
      <c r="T740" s="1042"/>
      <c r="U740" s="1042"/>
      <c r="V740" s="1042"/>
    </row>
    <row r="741" spans="5:22">
      <c r="E741" s="1301"/>
      <c r="F741" s="1025"/>
      <c r="G741" s="1020"/>
      <c r="H741" s="1020"/>
      <c r="I741" s="1030"/>
      <c r="J741" s="969"/>
      <c r="K741" s="969"/>
      <c r="R741" s="1042"/>
      <c r="S741" s="1042"/>
      <c r="T741" s="1042"/>
      <c r="U741" s="1042"/>
      <c r="V741" s="1042"/>
    </row>
    <row r="742" spans="5:22">
      <c r="E742" s="1301"/>
      <c r="F742" s="1025"/>
      <c r="G742" s="1020"/>
      <c r="H742" s="1020"/>
      <c r="I742" s="1030"/>
      <c r="J742" s="969"/>
      <c r="K742" s="969"/>
      <c r="R742" s="1042"/>
      <c r="S742" s="1042"/>
      <c r="T742" s="1042"/>
      <c r="U742" s="1042"/>
      <c r="V742" s="1042"/>
    </row>
    <row r="743" spans="5:22">
      <c r="E743" s="1301"/>
      <c r="F743" s="1025"/>
      <c r="G743" s="1020"/>
      <c r="H743" s="1020"/>
      <c r="I743" s="1030"/>
      <c r="J743" s="969"/>
      <c r="K743" s="970"/>
      <c r="R743" s="1042"/>
      <c r="S743" s="1042"/>
      <c r="T743" s="1042"/>
      <c r="U743" s="1042"/>
      <c r="V743" s="1042"/>
    </row>
    <row r="744" spans="5:22">
      <c r="E744" s="1301"/>
      <c r="F744" s="1025"/>
      <c r="G744" s="1020"/>
      <c r="H744" s="1020"/>
      <c r="I744" s="1030"/>
      <c r="J744" s="969"/>
      <c r="K744" s="969"/>
      <c r="R744" s="1042"/>
      <c r="S744" s="1042"/>
      <c r="T744" s="1042"/>
      <c r="U744" s="1042"/>
      <c r="V744" s="1042"/>
    </row>
    <row r="745" spans="5:22">
      <c r="E745" s="1301"/>
      <c r="F745" s="1025"/>
      <c r="G745" s="1020"/>
      <c r="H745" s="1020"/>
      <c r="I745" s="1030"/>
      <c r="J745" s="969"/>
      <c r="K745" s="969"/>
      <c r="R745" s="1042"/>
      <c r="S745" s="1042"/>
      <c r="T745" s="1042"/>
      <c r="U745" s="1042"/>
      <c r="V745" s="1042"/>
    </row>
    <row r="746" spans="5:22">
      <c r="E746" s="1301"/>
      <c r="F746" s="1025"/>
      <c r="G746" s="1020"/>
      <c r="H746" s="1020"/>
      <c r="I746" s="1030"/>
      <c r="J746" s="969"/>
      <c r="K746" s="969"/>
      <c r="R746" s="1042"/>
      <c r="S746" s="1042"/>
      <c r="T746" s="1042"/>
      <c r="U746" s="1042"/>
      <c r="V746" s="1042"/>
    </row>
    <row r="747" spans="5:22">
      <c r="E747" s="1301"/>
      <c r="F747" s="1025"/>
      <c r="G747" s="1020"/>
      <c r="H747" s="1020"/>
      <c r="I747" s="1030"/>
      <c r="J747" s="969"/>
      <c r="K747" s="970"/>
      <c r="R747" s="1042"/>
      <c r="S747" s="1042"/>
      <c r="T747" s="1042"/>
      <c r="U747" s="1042"/>
      <c r="V747" s="1042"/>
    </row>
    <row r="748" spans="5:22">
      <c r="E748" s="1301"/>
      <c r="F748" s="1025"/>
      <c r="G748" s="1020"/>
      <c r="H748" s="1020"/>
      <c r="I748" s="1030"/>
      <c r="J748" s="969"/>
      <c r="K748" s="969"/>
      <c r="R748" s="1042"/>
      <c r="S748" s="1042"/>
      <c r="T748" s="1042"/>
      <c r="U748" s="1042"/>
      <c r="V748" s="1042"/>
    </row>
    <row r="749" spans="5:22">
      <c r="E749" s="1301"/>
      <c r="F749" s="1025"/>
      <c r="G749" s="1020"/>
      <c r="H749" s="1020"/>
      <c r="I749" s="1030"/>
      <c r="J749" s="969"/>
      <c r="K749" s="969"/>
      <c r="R749" s="1042"/>
      <c r="S749" s="1042"/>
      <c r="T749" s="1042"/>
      <c r="U749" s="1042"/>
      <c r="V749" s="1042"/>
    </row>
    <row r="750" spans="5:22">
      <c r="E750" s="1301"/>
      <c r="F750" s="1025"/>
      <c r="G750" s="1020"/>
      <c r="H750" s="1020"/>
      <c r="I750" s="1030"/>
      <c r="J750" s="969"/>
      <c r="K750" s="969"/>
      <c r="R750" s="1042"/>
      <c r="S750" s="1042"/>
      <c r="T750" s="1042"/>
      <c r="U750" s="1042"/>
      <c r="V750" s="1042"/>
    </row>
    <row r="751" spans="5:22">
      <c r="E751" s="1301"/>
      <c r="F751" s="1025"/>
      <c r="G751" s="1020"/>
      <c r="H751" s="1020"/>
      <c r="I751" s="1030"/>
      <c r="J751" s="969"/>
      <c r="K751" s="970"/>
      <c r="R751" s="1042"/>
      <c r="S751" s="1042"/>
      <c r="T751" s="1042"/>
      <c r="U751" s="1042"/>
      <c r="V751" s="1042"/>
    </row>
    <row r="752" spans="5:22">
      <c r="E752" s="1301"/>
      <c r="F752" s="1025"/>
      <c r="G752" s="1020"/>
      <c r="H752" s="1020"/>
      <c r="I752" s="1030"/>
      <c r="J752" s="969"/>
      <c r="K752" s="969"/>
      <c r="R752" s="1042"/>
      <c r="S752" s="1042"/>
      <c r="T752" s="1042"/>
      <c r="U752" s="1042"/>
      <c r="V752" s="1042"/>
    </row>
    <row r="753" spans="5:22">
      <c r="E753" s="1301"/>
      <c r="F753" s="1025"/>
      <c r="G753" s="1020"/>
      <c r="H753" s="1020"/>
      <c r="I753" s="1030"/>
      <c r="J753" s="969"/>
      <c r="K753" s="969"/>
      <c r="R753" s="1042"/>
      <c r="S753" s="1042"/>
      <c r="T753" s="1042"/>
      <c r="U753" s="1042"/>
      <c r="V753" s="1042"/>
    </row>
    <row r="754" spans="5:22">
      <c r="E754" s="1301"/>
      <c r="F754" s="1025"/>
      <c r="G754" s="1020"/>
      <c r="H754" s="1020"/>
      <c r="I754" s="1030"/>
      <c r="J754" s="969"/>
      <c r="K754" s="969"/>
      <c r="R754" s="1042"/>
      <c r="S754" s="1042"/>
      <c r="T754" s="1042"/>
      <c r="U754" s="1042"/>
      <c r="V754" s="1042"/>
    </row>
    <row r="755" spans="5:22">
      <c r="E755" s="1301"/>
      <c r="F755" s="1025"/>
      <c r="G755" s="1020"/>
      <c r="H755" s="1020"/>
      <c r="I755" s="1030"/>
      <c r="J755" s="969"/>
      <c r="K755" s="969"/>
      <c r="R755" s="1042"/>
      <c r="S755" s="1042"/>
      <c r="T755" s="1042"/>
      <c r="U755" s="1042"/>
      <c r="V755" s="1042"/>
    </row>
    <row r="756" spans="5:22">
      <c r="E756" s="1301"/>
      <c r="F756" s="1025"/>
      <c r="G756" s="1020"/>
      <c r="H756" s="1020"/>
      <c r="I756" s="1030"/>
      <c r="J756" s="969"/>
      <c r="K756" s="969"/>
      <c r="R756" s="1042"/>
      <c r="S756" s="1042"/>
      <c r="T756" s="1042"/>
      <c r="U756" s="1042"/>
      <c r="V756" s="1042"/>
    </row>
    <row r="757" spans="5:22">
      <c r="E757" s="1301"/>
      <c r="F757" s="1025"/>
      <c r="G757" s="1020"/>
      <c r="H757" s="1020"/>
      <c r="I757" s="1030"/>
      <c r="J757" s="969"/>
      <c r="K757" s="969"/>
      <c r="R757" s="1042"/>
      <c r="S757" s="1042"/>
      <c r="T757" s="1042"/>
      <c r="U757" s="1042"/>
      <c r="V757" s="1042"/>
    </row>
    <row r="758" spans="5:22">
      <c r="E758" s="1301"/>
      <c r="F758" s="1025"/>
      <c r="G758" s="1020"/>
      <c r="H758" s="1020"/>
      <c r="I758" s="1030"/>
      <c r="J758" s="969"/>
      <c r="K758" s="970"/>
      <c r="R758" s="1042"/>
      <c r="S758" s="1042"/>
      <c r="T758" s="1042"/>
      <c r="U758" s="1042"/>
      <c r="V758" s="1042"/>
    </row>
    <row r="759" spans="5:22">
      <c r="E759" s="1301"/>
      <c r="F759" s="1025"/>
      <c r="G759" s="1020"/>
      <c r="H759" s="1020"/>
      <c r="I759" s="1030"/>
      <c r="J759" s="969"/>
      <c r="K759" s="969"/>
      <c r="R759" s="1042"/>
      <c r="S759" s="1042"/>
      <c r="T759" s="1042"/>
      <c r="U759" s="1042"/>
      <c r="V759" s="1042"/>
    </row>
    <row r="760" spans="5:22">
      <c r="E760" s="1301"/>
      <c r="F760" s="1025"/>
      <c r="G760" s="1020"/>
      <c r="H760" s="1020"/>
      <c r="I760" s="1030"/>
      <c r="J760" s="969"/>
      <c r="K760" s="969"/>
      <c r="R760" s="1042"/>
      <c r="S760" s="1042"/>
      <c r="T760" s="1042"/>
      <c r="U760" s="1042"/>
      <c r="V760" s="1042"/>
    </row>
    <row r="761" spans="5:22">
      <c r="E761" s="1301"/>
      <c r="F761" s="1025"/>
      <c r="G761" s="1020"/>
      <c r="H761" s="1020"/>
      <c r="I761" s="1030"/>
      <c r="J761" s="969"/>
      <c r="K761" s="969"/>
      <c r="R761" s="1042"/>
      <c r="S761" s="1042"/>
      <c r="T761" s="1042"/>
      <c r="U761" s="1042"/>
      <c r="V761" s="1042"/>
    </row>
    <row r="762" spans="5:22">
      <c r="E762" s="1301"/>
      <c r="F762" s="1025"/>
      <c r="G762" s="1020"/>
      <c r="H762" s="1020"/>
      <c r="I762" s="1030"/>
      <c r="J762" s="969"/>
      <c r="K762" s="970"/>
      <c r="R762" s="1042"/>
      <c r="S762" s="1042"/>
      <c r="T762" s="1042"/>
      <c r="U762" s="1042"/>
      <c r="V762" s="1042"/>
    </row>
    <row r="763" spans="5:22">
      <c r="E763" s="1301"/>
      <c r="F763" s="1025"/>
      <c r="G763" s="1020"/>
      <c r="H763" s="1020"/>
      <c r="I763" s="1030"/>
      <c r="J763" s="969"/>
      <c r="K763" s="969"/>
      <c r="R763" s="1042"/>
      <c r="S763" s="1042"/>
      <c r="T763" s="1042"/>
      <c r="U763" s="1042"/>
      <c r="V763" s="1042"/>
    </row>
    <row r="764" spans="5:22">
      <c r="E764" s="1301"/>
      <c r="F764" s="1025"/>
      <c r="G764" s="1020"/>
      <c r="H764" s="1020"/>
      <c r="I764" s="1030"/>
      <c r="J764" s="969"/>
      <c r="K764" s="969"/>
      <c r="R764" s="1042"/>
      <c r="S764" s="1042"/>
      <c r="T764" s="1042"/>
      <c r="U764" s="1042"/>
      <c r="V764" s="1042"/>
    </row>
    <row r="765" spans="5:22">
      <c r="E765" s="1301"/>
      <c r="F765" s="1025"/>
      <c r="G765" s="1020"/>
      <c r="H765" s="1020"/>
      <c r="I765" s="1030"/>
      <c r="J765" s="969"/>
      <c r="K765" s="969"/>
      <c r="R765" s="1042"/>
      <c r="S765" s="1042"/>
      <c r="T765" s="1042"/>
      <c r="U765" s="1042"/>
      <c r="V765" s="1042"/>
    </row>
    <row r="766" spans="5:22">
      <c r="E766" s="1301"/>
      <c r="F766" s="1025"/>
      <c r="G766" s="1020"/>
      <c r="H766" s="1020"/>
      <c r="I766" s="1030"/>
      <c r="J766" s="969"/>
      <c r="K766" s="970"/>
      <c r="R766" s="1042"/>
      <c r="S766" s="1042"/>
      <c r="T766" s="1042"/>
      <c r="U766" s="1042"/>
      <c r="V766" s="1042"/>
    </row>
    <row r="767" spans="5:22">
      <c r="E767" s="1301"/>
      <c r="F767" s="1025"/>
      <c r="G767" s="1020"/>
      <c r="H767" s="1020"/>
      <c r="I767" s="1030"/>
      <c r="J767" s="969"/>
      <c r="K767" s="969"/>
      <c r="R767" s="1042"/>
      <c r="S767" s="1042"/>
      <c r="T767" s="1042"/>
      <c r="U767" s="1042"/>
      <c r="V767" s="1042"/>
    </row>
    <row r="768" spans="5:22">
      <c r="E768" s="1301"/>
      <c r="F768" s="1025"/>
      <c r="G768" s="1020"/>
      <c r="H768" s="1020"/>
      <c r="I768" s="1030"/>
      <c r="J768" s="969"/>
      <c r="K768" s="969"/>
      <c r="R768" s="1042"/>
      <c r="S768" s="1042"/>
      <c r="T768" s="1042"/>
      <c r="U768" s="1042"/>
      <c r="V768" s="1042"/>
    </row>
    <row r="769" spans="5:22">
      <c r="E769" s="1301"/>
      <c r="F769" s="1025"/>
      <c r="G769" s="1020"/>
      <c r="H769" s="1020"/>
      <c r="I769" s="1030"/>
      <c r="J769" s="969"/>
      <c r="K769" s="969"/>
      <c r="R769" s="1042"/>
      <c r="S769" s="1042"/>
      <c r="T769" s="1042"/>
      <c r="U769" s="1042"/>
      <c r="V769" s="1042"/>
    </row>
    <row r="770" spans="5:22">
      <c r="E770" s="1301"/>
      <c r="F770" s="1025"/>
      <c r="G770" s="1020"/>
      <c r="H770" s="1020"/>
      <c r="I770" s="1030"/>
      <c r="J770" s="969"/>
      <c r="K770" s="970"/>
      <c r="R770" s="1042"/>
      <c r="S770" s="1042"/>
      <c r="T770" s="1042"/>
      <c r="U770" s="1042"/>
      <c r="V770" s="1042"/>
    </row>
    <row r="771" spans="5:22">
      <c r="E771" s="1301"/>
      <c r="F771" s="1025"/>
      <c r="G771" s="1020"/>
      <c r="H771" s="1020"/>
      <c r="I771" s="1030"/>
      <c r="J771" s="969"/>
      <c r="K771" s="969"/>
      <c r="R771" s="1042"/>
      <c r="S771" s="1042"/>
      <c r="T771" s="1042"/>
      <c r="U771" s="1042"/>
      <c r="V771" s="1042"/>
    </row>
    <row r="772" spans="5:22">
      <c r="E772" s="1301"/>
      <c r="F772" s="1025"/>
      <c r="G772" s="1020"/>
      <c r="H772" s="1020"/>
      <c r="I772" s="1030"/>
      <c r="J772" s="969"/>
      <c r="K772" s="969"/>
      <c r="R772" s="1042"/>
      <c r="S772" s="1042"/>
      <c r="T772" s="1042"/>
      <c r="U772" s="1042"/>
      <c r="V772" s="1042"/>
    </row>
    <row r="773" spans="5:22">
      <c r="E773" s="1301"/>
      <c r="F773" s="1025"/>
      <c r="G773" s="1020"/>
      <c r="H773" s="1020"/>
      <c r="I773" s="1030"/>
      <c r="J773" s="969"/>
      <c r="K773" s="969"/>
      <c r="R773" s="1042"/>
      <c r="S773" s="1042"/>
      <c r="T773" s="1042"/>
      <c r="U773" s="1042"/>
      <c r="V773" s="1042"/>
    </row>
    <row r="774" spans="5:22">
      <c r="E774" s="1301"/>
      <c r="F774" s="1025"/>
      <c r="G774" s="1020"/>
      <c r="H774" s="1020"/>
      <c r="I774" s="1030"/>
      <c r="J774" s="969"/>
      <c r="K774" s="970"/>
      <c r="R774" s="1042"/>
      <c r="S774" s="1042"/>
      <c r="T774" s="1042"/>
      <c r="U774" s="1042"/>
      <c r="V774" s="1042"/>
    </row>
    <row r="775" spans="5:22">
      <c r="E775" s="1301"/>
      <c r="F775" s="1025"/>
      <c r="G775" s="1020"/>
      <c r="H775" s="1020"/>
      <c r="I775" s="1030"/>
      <c r="J775" s="969"/>
      <c r="K775" s="969"/>
      <c r="R775" s="1042"/>
      <c r="S775" s="1042"/>
      <c r="T775" s="1042"/>
      <c r="U775" s="1042"/>
      <c r="V775" s="1042"/>
    </row>
    <row r="776" spans="5:22">
      <c r="E776" s="1301"/>
      <c r="F776" s="1025"/>
      <c r="G776" s="1020"/>
      <c r="H776" s="1020"/>
      <c r="I776" s="1030"/>
      <c r="J776" s="969"/>
      <c r="K776" s="969"/>
      <c r="R776" s="1042"/>
      <c r="S776" s="1042"/>
      <c r="T776" s="1042"/>
      <c r="U776" s="1042"/>
      <c r="V776" s="1042"/>
    </row>
    <row r="777" spans="5:22">
      <c r="E777" s="1301"/>
      <c r="F777" s="1025"/>
      <c r="G777" s="1020"/>
      <c r="H777" s="1020"/>
      <c r="I777" s="1030"/>
      <c r="J777" s="969"/>
      <c r="K777" s="969"/>
      <c r="R777" s="1042"/>
      <c r="S777" s="1042"/>
      <c r="T777" s="1042"/>
      <c r="U777" s="1042"/>
      <c r="V777" s="1042"/>
    </row>
    <row r="778" spans="5:22">
      <c r="E778" s="1301"/>
      <c r="F778" s="1025"/>
      <c r="G778" s="1020"/>
      <c r="H778" s="1020"/>
      <c r="I778" s="1030"/>
      <c r="J778" s="969"/>
      <c r="K778" s="970"/>
      <c r="R778" s="1042"/>
      <c r="S778" s="1042"/>
      <c r="T778" s="1042"/>
      <c r="U778" s="1042"/>
      <c r="V778" s="1042"/>
    </row>
    <row r="779" spans="5:22">
      <c r="E779" s="1301"/>
      <c r="F779" s="1025"/>
      <c r="G779" s="1020"/>
      <c r="H779" s="1020"/>
      <c r="I779" s="1030"/>
      <c r="J779" s="969"/>
      <c r="K779" s="969"/>
      <c r="R779" s="1042"/>
      <c r="S779" s="1042"/>
      <c r="T779" s="1042"/>
      <c r="U779" s="1042"/>
      <c r="V779" s="1042"/>
    </row>
    <row r="780" spans="5:22">
      <c r="E780" s="1301"/>
      <c r="F780" s="1025"/>
      <c r="G780" s="1020"/>
      <c r="H780" s="1020"/>
      <c r="I780" s="1030"/>
      <c r="J780" s="969"/>
      <c r="K780" s="969"/>
      <c r="R780" s="1042"/>
      <c r="S780" s="1042"/>
      <c r="T780" s="1042"/>
      <c r="U780" s="1042"/>
      <c r="V780" s="1042"/>
    </row>
    <row r="781" spans="5:22">
      <c r="E781" s="1301"/>
      <c r="F781" s="1025"/>
      <c r="G781" s="1020"/>
      <c r="H781" s="1020"/>
      <c r="I781" s="1030"/>
      <c r="J781" s="969"/>
      <c r="K781" s="969"/>
      <c r="R781" s="1042"/>
      <c r="S781" s="1042"/>
      <c r="T781" s="1042"/>
      <c r="U781" s="1042"/>
      <c r="V781" s="1042"/>
    </row>
    <row r="782" spans="5:22">
      <c r="E782" s="1301"/>
      <c r="F782" s="1025"/>
      <c r="G782" s="1020"/>
      <c r="H782" s="1020"/>
      <c r="I782" s="1030"/>
      <c r="J782" s="969"/>
      <c r="K782" s="970"/>
      <c r="R782" s="1042"/>
      <c r="S782" s="1042"/>
      <c r="T782" s="1042"/>
      <c r="U782" s="1042"/>
      <c r="V782" s="1042"/>
    </row>
    <row r="783" spans="5:22">
      <c r="E783" s="1301"/>
      <c r="F783" s="1025"/>
      <c r="G783" s="1020"/>
      <c r="H783" s="1020"/>
      <c r="I783" s="1030"/>
      <c r="J783" s="969"/>
      <c r="K783" s="969"/>
      <c r="R783" s="1042"/>
      <c r="S783" s="1042"/>
      <c r="T783" s="1042"/>
      <c r="U783" s="1042"/>
      <c r="V783" s="1042"/>
    </row>
    <row r="784" spans="5:22">
      <c r="E784" s="1301"/>
      <c r="F784" s="1025"/>
      <c r="G784" s="1020"/>
      <c r="H784" s="1020"/>
      <c r="I784" s="1030"/>
      <c r="J784" s="969"/>
      <c r="K784" s="969"/>
      <c r="R784" s="1042"/>
      <c r="S784" s="1042"/>
      <c r="T784" s="1042"/>
      <c r="U784" s="1042"/>
      <c r="V784" s="1042"/>
    </row>
    <row r="785" spans="5:22">
      <c r="E785" s="1301"/>
      <c r="F785" s="1025"/>
      <c r="G785" s="1020"/>
      <c r="H785" s="1020"/>
      <c r="I785" s="1030"/>
      <c r="J785" s="969"/>
      <c r="K785" s="969"/>
      <c r="R785" s="1042"/>
      <c r="S785" s="1042"/>
      <c r="T785" s="1042"/>
      <c r="U785" s="1042"/>
      <c r="V785" s="1042"/>
    </row>
    <row r="786" spans="5:22">
      <c r="E786" s="1301"/>
      <c r="F786" s="1025"/>
      <c r="G786" s="1020"/>
      <c r="H786" s="1020"/>
      <c r="I786" s="1030"/>
      <c r="J786" s="969"/>
      <c r="K786" s="970"/>
      <c r="R786" s="1042"/>
      <c r="S786" s="1042"/>
      <c r="T786" s="1042"/>
      <c r="U786" s="1042"/>
      <c r="V786" s="1042"/>
    </row>
    <row r="787" spans="5:22">
      <c r="E787" s="1301"/>
      <c r="F787" s="1025"/>
      <c r="G787" s="1020"/>
      <c r="H787" s="1020"/>
      <c r="I787" s="1030"/>
      <c r="J787" s="969"/>
      <c r="K787" s="969"/>
      <c r="R787" s="1042"/>
      <c r="S787" s="1042"/>
      <c r="T787" s="1042"/>
      <c r="U787" s="1042"/>
      <c r="V787" s="1042"/>
    </row>
    <row r="788" spans="5:22">
      <c r="E788" s="1301"/>
      <c r="F788" s="1025"/>
      <c r="G788" s="1020"/>
      <c r="H788" s="1020"/>
      <c r="I788" s="1030"/>
      <c r="J788" s="969"/>
      <c r="K788" s="969"/>
      <c r="R788" s="1042"/>
      <c r="S788" s="1042"/>
      <c r="T788" s="1042"/>
      <c r="U788" s="1042"/>
      <c r="V788" s="1042"/>
    </row>
    <row r="789" spans="5:22">
      <c r="E789" s="1301"/>
      <c r="F789" s="1025"/>
      <c r="G789" s="1020"/>
      <c r="H789" s="1020"/>
      <c r="I789" s="1030"/>
      <c r="J789" s="969"/>
      <c r="K789" s="969"/>
      <c r="R789" s="1042"/>
      <c r="S789" s="1042"/>
      <c r="T789" s="1042"/>
      <c r="U789" s="1042"/>
      <c r="V789" s="1042"/>
    </row>
    <row r="790" spans="5:22">
      <c r="E790" s="1301"/>
      <c r="F790" s="1025"/>
      <c r="G790" s="1020"/>
      <c r="H790" s="1020"/>
      <c r="I790" s="1030"/>
      <c r="J790" s="969"/>
      <c r="K790" s="970"/>
      <c r="R790" s="1042"/>
      <c r="S790" s="1042"/>
      <c r="T790" s="1042"/>
      <c r="U790" s="1042"/>
      <c r="V790" s="1042"/>
    </row>
    <row r="791" spans="5:22">
      <c r="E791" s="1301"/>
      <c r="F791" s="1025"/>
      <c r="G791" s="1020"/>
      <c r="H791" s="1020"/>
      <c r="I791" s="1030"/>
      <c r="J791" s="969"/>
      <c r="K791" s="969"/>
      <c r="R791" s="1042"/>
      <c r="S791" s="1042"/>
      <c r="T791" s="1042"/>
      <c r="U791" s="1042"/>
      <c r="V791" s="1042"/>
    </row>
    <row r="792" spans="5:22">
      <c r="E792" s="1301"/>
      <c r="F792" s="1025"/>
      <c r="G792" s="1020"/>
      <c r="H792" s="1020"/>
      <c r="I792" s="1030"/>
      <c r="J792" s="969"/>
      <c r="K792" s="969"/>
      <c r="R792" s="1042"/>
      <c r="S792" s="1042"/>
      <c r="T792" s="1042"/>
      <c r="U792" s="1042"/>
      <c r="V792" s="1042"/>
    </row>
    <row r="793" spans="5:22">
      <c r="E793" s="1301"/>
      <c r="F793" s="1025"/>
      <c r="G793" s="1020"/>
      <c r="H793" s="1020"/>
      <c r="I793" s="1030"/>
      <c r="J793" s="969"/>
      <c r="K793" s="969"/>
      <c r="R793" s="1042"/>
      <c r="S793" s="1042"/>
      <c r="T793" s="1042"/>
      <c r="U793" s="1042"/>
      <c r="V793" s="1042"/>
    </row>
    <row r="794" spans="5:22">
      <c r="E794" s="1301"/>
      <c r="F794" s="1025"/>
      <c r="G794" s="1020"/>
      <c r="H794" s="1020"/>
      <c r="I794" s="1030"/>
      <c r="J794" s="969"/>
      <c r="K794" s="970"/>
      <c r="R794" s="1042"/>
      <c r="S794" s="1042"/>
      <c r="T794" s="1042"/>
      <c r="U794" s="1042"/>
      <c r="V794" s="1042"/>
    </row>
    <row r="795" spans="5:22">
      <c r="E795" s="1301"/>
      <c r="F795" s="1025"/>
      <c r="G795" s="1020"/>
      <c r="H795" s="1020"/>
      <c r="I795" s="1030"/>
      <c r="J795" s="969"/>
      <c r="K795" s="969"/>
      <c r="R795" s="1042"/>
      <c r="S795" s="1042"/>
      <c r="T795" s="1042"/>
      <c r="U795" s="1042"/>
      <c r="V795" s="1042"/>
    </row>
    <row r="796" spans="5:22">
      <c r="E796" s="1301"/>
      <c r="F796" s="1025"/>
      <c r="G796" s="1020"/>
      <c r="H796" s="1020"/>
      <c r="I796" s="1030"/>
      <c r="J796" s="969"/>
      <c r="K796" s="969"/>
      <c r="R796" s="1042"/>
      <c r="S796" s="1042"/>
      <c r="T796" s="1042"/>
      <c r="U796" s="1042"/>
      <c r="V796" s="1042"/>
    </row>
    <row r="797" spans="5:22">
      <c r="E797" s="1301"/>
      <c r="F797" s="1025"/>
      <c r="G797" s="1020"/>
      <c r="H797" s="1020"/>
      <c r="I797" s="1030"/>
      <c r="J797" s="969"/>
      <c r="K797" s="969"/>
      <c r="R797" s="1042"/>
      <c r="S797" s="1042"/>
      <c r="T797" s="1042"/>
      <c r="U797" s="1042"/>
      <c r="V797" s="1042"/>
    </row>
    <row r="798" spans="5:22">
      <c r="E798" s="1301"/>
      <c r="F798" s="1025"/>
      <c r="G798" s="1020"/>
      <c r="H798" s="1020"/>
      <c r="I798" s="1030"/>
      <c r="J798" s="969"/>
      <c r="K798" s="970"/>
      <c r="R798" s="1042"/>
      <c r="S798" s="1042"/>
      <c r="T798" s="1042"/>
      <c r="U798" s="1042"/>
      <c r="V798" s="1042"/>
    </row>
    <row r="799" spans="5:22">
      <c r="E799" s="1301"/>
      <c r="F799" s="1025"/>
      <c r="G799" s="1020"/>
      <c r="H799" s="1020"/>
      <c r="I799" s="1030"/>
      <c r="J799" s="969"/>
      <c r="K799" s="969"/>
      <c r="R799" s="1042"/>
      <c r="S799" s="1042"/>
      <c r="T799" s="1042"/>
      <c r="U799" s="1042"/>
      <c r="V799" s="1042"/>
    </row>
    <row r="800" spans="5:22">
      <c r="E800" s="1301"/>
      <c r="F800" s="1025"/>
      <c r="G800" s="1020"/>
      <c r="H800" s="1020"/>
      <c r="I800" s="1030"/>
      <c r="J800" s="969"/>
      <c r="K800" s="969"/>
      <c r="R800" s="1042"/>
      <c r="S800" s="1042"/>
      <c r="T800" s="1042"/>
      <c r="U800" s="1042"/>
      <c r="V800" s="1042"/>
    </row>
    <row r="801" spans="5:22">
      <c r="E801" s="1301"/>
      <c r="F801" s="1025"/>
      <c r="G801" s="1020"/>
      <c r="H801" s="1020"/>
      <c r="I801" s="1030"/>
      <c r="J801" s="969"/>
      <c r="K801" s="969"/>
      <c r="R801" s="1042"/>
      <c r="S801" s="1042"/>
      <c r="T801" s="1042"/>
      <c r="U801" s="1042"/>
      <c r="V801" s="1042"/>
    </row>
    <row r="802" spans="5:22">
      <c r="E802" s="1301"/>
      <c r="F802" s="1025"/>
      <c r="G802" s="1020"/>
      <c r="H802" s="1020"/>
      <c r="I802" s="1030"/>
      <c r="J802" s="969"/>
      <c r="K802" s="969"/>
      <c r="R802" s="1043"/>
      <c r="S802" s="1043"/>
      <c r="T802" s="1043"/>
      <c r="U802" s="1043"/>
      <c r="V802" s="1043"/>
    </row>
    <row r="803" spans="5:22">
      <c r="E803" s="1301"/>
      <c r="F803" s="1025"/>
      <c r="G803" s="1020"/>
      <c r="H803" s="1020"/>
      <c r="I803" s="1030"/>
      <c r="J803" s="969"/>
      <c r="K803" s="969"/>
    </row>
    <row r="804" spans="5:22">
      <c r="E804" s="1301"/>
      <c r="F804" s="1025"/>
      <c r="G804" s="1020"/>
      <c r="H804" s="1020"/>
      <c r="I804" s="1030"/>
      <c r="J804" s="969"/>
      <c r="K804" s="969"/>
    </row>
    <row r="805" spans="5:22">
      <c r="E805" s="1301"/>
      <c r="F805" s="1025"/>
      <c r="G805" s="1020"/>
      <c r="H805" s="1020"/>
      <c r="I805" s="1030"/>
      <c r="J805" s="969"/>
      <c r="K805" s="969"/>
    </row>
  </sheetData>
  <sortState xmlns:xlrd2="http://schemas.microsoft.com/office/spreadsheetml/2017/richdata2" ref="E9:J129">
    <sortCondition ref="J9"/>
  </sortState>
  <mergeCells count="6">
    <mergeCell ref="E6:I6"/>
    <mergeCell ref="E1:I1"/>
    <mergeCell ref="E2:I2"/>
    <mergeCell ref="E3:I3"/>
    <mergeCell ref="E4:I4"/>
    <mergeCell ref="E5:I5"/>
  </mergeCells>
  <pageMargins left="0.70866141732283472" right="0.43307086614173229" top="0.27559055118110237" bottom="0.2755905511811023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790529" r:id="rId4" name="Button 1">
              <controlPr defaultSize="0" print="0" autoFill="0" autoPict="0" macro="[0]!ChinhchieucaodongDM">
                <anchor moveWithCells="1" sizeWithCells="1">
                  <from>
                    <xdr:col>9</xdr:col>
                    <xdr:colOff>76200</xdr:colOff>
                    <xdr:row>0</xdr:row>
                    <xdr:rowOff>95250</xdr:rowOff>
                  </from>
                  <to>
                    <xdr:col>10</xdr:col>
                    <xdr:colOff>752475</xdr:colOff>
                    <xdr:row>1</xdr:row>
                    <xdr:rowOff>152400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dimension ref="A1:AD211"/>
  <sheetViews>
    <sheetView showGridLines="0" zoomScaleNormal="100" workbookViewId="0">
      <pane xSplit="19" ySplit="5" topLeftCell="U28" activePane="bottomRight" state="frozen"/>
      <selection activeCell="B7" sqref="B7"/>
      <selection pane="topRight" activeCell="B7" sqref="B7"/>
      <selection pane="bottomLeft" activeCell="B7" sqref="B7"/>
      <selection pane="bottomRight" activeCell="E23" sqref="E23:M23"/>
    </sheetView>
  </sheetViews>
  <sheetFormatPr defaultColWidth="8.88671875" defaultRowHeight="0" customHeight="1" zeroHeight="1"/>
  <cols>
    <col min="1" max="1" width="7.77734375" style="45" customWidth="1"/>
    <col min="2" max="2" width="7.6640625" style="45" customWidth="1"/>
    <col min="3" max="3" width="8.88671875" style="45"/>
    <col min="4" max="4" width="8.88671875" style="73"/>
    <col min="5" max="5" width="4.88671875" style="45" customWidth="1"/>
    <col min="6" max="6" width="5.6640625" style="45" customWidth="1"/>
    <col min="7" max="7" width="10.33203125" style="45" customWidth="1"/>
    <col min="8" max="8" width="8.5546875" style="45" customWidth="1"/>
    <col min="9" max="9" width="8.88671875" style="45" customWidth="1"/>
    <col min="10" max="10" width="8.5546875" style="45" bestFit="1" customWidth="1"/>
    <col min="11" max="11" width="8.88671875" style="45" customWidth="1"/>
    <col min="12" max="12" width="5.21875" style="45" customWidth="1"/>
    <col min="13" max="13" width="15.77734375" style="45" customWidth="1"/>
    <col min="14" max="14" width="4.77734375" style="45" customWidth="1"/>
    <col min="15" max="15" width="5.109375" style="45" customWidth="1"/>
    <col min="16" max="16" width="4.77734375" style="45" customWidth="1"/>
    <col min="17" max="17" width="3.21875" style="45" customWidth="1"/>
    <col min="18" max="18" width="8.88671875" style="45"/>
    <col min="19" max="19" width="10.5546875" style="45" customWidth="1"/>
    <col min="20" max="20" width="4" style="44" bestFit="1" customWidth="1"/>
    <col min="21" max="21" width="11.6640625" style="44" bestFit="1" customWidth="1"/>
    <col min="22" max="22" width="11.6640625" style="45" bestFit="1" customWidth="1"/>
    <col min="23" max="23" width="11.5546875" style="45" bestFit="1" customWidth="1"/>
    <col min="24" max="24" width="11.6640625" style="45" customWidth="1"/>
    <col min="25" max="25" width="12.21875" style="45" customWidth="1"/>
    <col min="26" max="26" width="12.6640625" style="45" customWidth="1"/>
    <col min="27" max="27" width="11.5546875" style="45" bestFit="1" customWidth="1"/>
    <col min="28" max="28" width="12.6640625" style="45" customWidth="1"/>
    <col min="29" max="16384" width="8.88671875" style="45"/>
  </cols>
  <sheetData>
    <row r="1" spans="1:30" ht="24.75" customHeight="1">
      <c r="A1" s="1213" t="str">
        <f ca="1">SUBSTITUTE(CELL("address",G90),"$","")</f>
        <v>G90</v>
      </c>
      <c r="B1" s="46"/>
      <c r="C1" s="46"/>
      <c r="D1" s="46"/>
      <c r="E1" s="1459" t="str">
        <f>UPPER(E127)</f>
        <v>NGHIỆM THU CÔNG VIỆC XÂY DỰNG</v>
      </c>
      <c r="F1" s="1459"/>
      <c r="G1" s="1459"/>
      <c r="H1" s="1459"/>
      <c r="I1" s="1459"/>
      <c r="J1" s="1459"/>
      <c r="K1" s="1459"/>
      <c r="L1" s="1459"/>
      <c r="M1" s="1459"/>
      <c r="N1" s="46"/>
      <c r="O1" s="46"/>
      <c r="P1" s="46"/>
      <c r="Q1" s="46"/>
      <c r="R1" s="46"/>
      <c r="S1" s="46"/>
      <c r="U1" s="66" t="str">
        <f>IFERROR(VLOOKUP(P2,ListBBCV!A6:AD124,4,0),"")</f>
        <v>Đào đất hố móng</v>
      </c>
      <c r="V1" s="45" t="s">
        <v>4388</v>
      </c>
      <c r="W1" s="45" t="s">
        <v>4389</v>
      </c>
      <c r="X1" s="45" t="s">
        <v>1092</v>
      </c>
      <c r="Y1" s="45" t="s">
        <v>1093</v>
      </c>
      <c r="Z1" s="45" t="s">
        <v>1094</v>
      </c>
      <c r="AA1" s="45" t="s">
        <v>1095</v>
      </c>
      <c r="AD1" s="45" t="str">
        <f>VLOOKUP(P2,ListBBCV!A6:AD124,11,0)</f>
        <v>TCVN4055:2012; TCVN 5637 : 1991; TCVN 4447:2012</v>
      </c>
    </row>
    <row r="2" spans="1:30" ht="16.5" customHeight="1">
      <c r="A2" s="46"/>
      <c r="B2" s="46"/>
      <c r="C2" s="46"/>
      <c r="D2" s="46"/>
      <c r="E2" s="1460" t="str">
        <f>Nhattrinh!E1</f>
        <v xml:space="preserve">     Công trình: Gia cố nâng cấp kênh Bà Xoài từ K0+300÷K0+600 - Hệ thống thủy lợi Nha Trinh, huyện Ninh Hải, tỉnh Ninh Thuận</v>
      </c>
      <c r="F2" s="1460"/>
      <c r="G2" s="1460"/>
      <c r="H2" s="1460"/>
      <c r="I2" s="1460"/>
      <c r="J2" s="1460"/>
      <c r="K2" s="1460"/>
      <c r="L2" s="1460"/>
      <c r="M2" s="1460"/>
      <c r="N2" s="46"/>
      <c r="O2" s="46"/>
      <c r="P2" s="74">
        <v>1</v>
      </c>
      <c r="Q2" s="46"/>
      <c r="R2" s="46"/>
      <c r="S2" s="46"/>
      <c r="V2" s="44"/>
      <c r="W2" s="44" t="str">
        <f ca="1">SUBSTITUTE(CELL("address",I110),"$","")</f>
        <v>I110</v>
      </c>
      <c r="X2" s="45">
        <f>ROW(E38)</f>
        <v>38</v>
      </c>
      <c r="Y2" s="45">
        <f>ROW(E50)</f>
        <v>50</v>
      </c>
      <c r="Z2" s="45">
        <f>ROW(E153)</f>
        <v>153</v>
      </c>
      <c r="AA2" s="45">
        <f>ROW(E166)</f>
        <v>166</v>
      </c>
      <c r="AD2" s="45">
        <f>VLOOKUP(P2,ListBBCV!A6:AD124,12,0)</f>
        <v>0</v>
      </c>
    </row>
    <row r="3" spans="1:30" ht="16.5">
      <c r="A3" s="308"/>
      <c r="B3" s="46"/>
      <c r="C3" s="46"/>
      <c r="D3" s="46"/>
      <c r="E3" s="1460" t="str">
        <f>Nhattrinh!E2</f>
        <v xml:space="preserve">     Địa điểm XD: Huyện Ninh Hải - Tỉnh Ninh Thuận</v>
      </c>
      <c r="F3" s="1460"/>
      <c r="G3" s="1460"/>
      <c r="H3" s="1460"/>
      <c r="I3" s="1460"/>
      <c r="J3" s="1460"/>
      <c r="K3" s="1460"/>
      <c r="L3" s="1460"/>
      <c r="M3" s="1460"/>
      <c r="N3" s="46"/>
      <c r="O3" s="46"/>
      <c r="P3" s="46"/>
      <c r="Q3" s="46"/>
      <c r="R3" s="46"/>
      <c r="S3" s="46"/>
      <c r="V3" s="44" t="str">
        <f ca="1">SUBSTITUTE(CELL("address",E141),"$","")</f>
        <v>E141</v>
      </c>
    </row>
    <row r="4" spans="1:30" ht="16.5">
      <c r="A4" s="308"/>
      <c r="B4" s="42"/>
      <c r="C4" s="42"/>
      <c r="D4" s="69"/>
      <c r="E4" s="43"/>
      <c r="F4" s="43"/>
      <c r="G4" s="43"/>
      <c r="H4" s="43"/>
      <c r="I4" s="43"/>
      <c r="J4" s="43"/>
      <c r="K4" s="43"/>
      <c r="L4" s="43"/>
      <c r="M4" s="43"/>
      <c r="N4" s="42"/>
      <c r="O4" s="42"/>
      <c r="P4" s="42"/>
      <c r="Q4" s="42"/>
      <c r="R4" s="42"/>
      <c r="S4" s="42"/>
    </row>
    <row r="5" spans="1:30" ht="7.5" customHeight="1">
      <c r="A5" s="42"/>
      <c r="B5" s="42"/>
      <c r="C5" s="42"/>
      <c r="D5" s="69"/>
      <c r="E5" s="1461"/>
      <c r="F5" s="1462"/>
      <c r="G5" s="1462"/>
      <c r="H5" s="1462"/>
      <c r="I5" s="1462"/>
      <c r="J5" s="1462"/>
      <c r="K5" s="1462"/>
      <c r="L5" s="1462"/>
      <c r="M5" s="1463"/>
      <c r="N5" s="42"/>
      <c r="O5" s="42"/>
      <c r="P5" s="42"/>
      <c r="Q5" s="42"/>
      <c r="R5" s="42"/>
      <c r="S5" s="42"/>
    </row>
    <row r="6" spans="1:30" ht="17.25" customHeight="1">
      <c r="A6" s="46"/>
      <c r="B6" s="46"/>
      <c r="C6" s="46"/>
      <c r="D6" s="161"/>
      <c r="E6" s="1477" t="s">
        <v>158</v>
      </c>
      <c r="F6" s="1478"/>
      <c r="G6" s="1478"/>
      <c r="H6" s="1478"/>
      <c r="I6" s="1478"/>
      <c r="J6" s="1478"/>
      <c r="K6" s="1478"/>
      <c r="L6" s="1478"/>
      <c r="M6" s="1478"/>
      <c r="N6" s="46"/>
      <c r="O6" s="46"/>
      <c r="P6" s="46"/>
      <c r="Q6" s="46"/>
      <c r="R6" s="46"/>
      <c r="S6" s="46"/>
    </row>
    <row r="7" spans="1:30" ht="18.75" customHeight="1">
      <c r="A7" s="46"/>
      <c r="B7" s="46"/>
      <c r="C7" s="46"/>
      <c r="D7" s="161"/>
      <c r="E7" s="1538" t="s">
        <v>178</v>
      </c>
      <c r="F7" s="1501"/>
      <c r="G7" s="1501"/>
      <c r="H7" s="1501"/>
      <c r="I7" s="1501"/>
      <c r="J7" s="1501"/>
      <c r="K7" s="1501"/>
      <c r="L7" s="1501"/>
      <c r="M7" s="1501"/>
      <c r="N7" s="46"/>
      <c r="O7" s="46"/>
      <c r="P7" s="46"/>
      <c r="Q7" s="46"/>
      <c r="R7" s="46"/>
      <c r="S7" s="46"/>
    </row>
    <row r="8" spans="1:30" ht="18.75" customHeight="1">
      <c r="A8" s="46"/>
      <c r="B8" s="46"/>
      <c r="C8" s="46"/>
      <c r="D8" s="161"/>
      <c r="E8" s="1490" t="s">
        <v>179</v>
      </c>
      <c r="F8" s="1490"/>
      <c r="G8" s="1490"/>
      <c r="H8" s="1490"/>
      <c r="I8" s="1490"/>
      <c r="J8" s="1490"/>
      <c r="K8" s="1490"/>
      <c r="L8" s="1490"/>
      <c r="M8" s="1490"/>
      <c r="N8" s="46"/>
      <c r="O8" s="46"/>
      <c r="P8" s="46"/>
      <c r="Q8" s="46"/>
      <c r="R8" s="46"/>
      <c r="S8" s="46"/>
    </row>
    <row r="9" spans="1:30" ht="17.25" customHeight="1">
      <c r="A9" s="46"/>
      <c r="B9" s="46"/>
      <c r="C9" s="46"/>
      <c r="D9" s="161"/>
      <c r="E9" s="1539" t="str">
        <f>Diadanh&amp;", "&amp;Doingay(VLOOKUP(P2,ListBBCV!A6:AD124,7,0))</f>
        <v>Ninh Hải,  ngày 9 tháng 5 năm 2020</v>
      </c>
      <c r="F9" s="1540"/>
      <c r="G9" s="1540"/>
      <c r="H9" s="1540"/>
      <c r="I9" s="1540"/>
      <c r="J9" s="1540"/>
      <c r="K9" s="1540"/>
      <c r="L9" s="1540"/>
      <c r="M9" s="1540"/>
      <c r="N9" s="46"/>
      <c r="O9" s="46"/>
      <c r="P9" s="46"/>
      <c r="Q9" s="46"/>
      <c r="R9" s="46"/>
      <c r="S9" s="46"/>
    </row>
    <row r="10" spans="1:30" ht="12.75" customHeight="1">
      <c r="A10" s="46"/>
      <c r="B10" s="46"/>
      <c r="C10" s="46"/>
      <c r="D10" s="70"/>
      <c r="E10" s="47"/>
      <c r="F10" s="47"/>
      <c r="G10" s="47"/>
      <c r="H10" s="47"/>
      <c r="I10" s="47"/>
      <c r="J10" s="47"/>
      <c r="K10" s="47"/>
      <c r="L10" s="47"/>
      <c r="M10" s="47"/>
      <c r="N10" s="46"/>
      <c r="O10" s="46"/>
      <c r="P10" s="46"/>
      <c r="Q10" s="46"/>
      <c r="R10" s="46"/>
      <c r="S10" s="46"/>
    </row>
    <row r="11" spans="1:30" ht="17.25" customHeight="1">
      <c r="A11" s="46"/>
      <c r="B11" s="46"/>
      <c r="C11" s="46"/>
      <c r="D11" s="70"/>
      <c r="E11" s="1536" t="str">
        <f>"BIÊN BẢN: "&amp;IFERROR(TEXT(VLOOKUP(P2,ListBBCV!A6:AD124,15,0),"00"),"     ")&amp;"/NTNB"</f>
        <v>BIÊN BẢN: 01/NTNB</v>
      </c>
      <c r="F11" s="1541"/>
      <c r="G11" s="1541"/>
      <c r="H11" s="1541"/>
      <c r="I11" s="1541"/>
      <c r="J11" s="1541"/>
      <c r="K11" s="1541"/>
      <c r="L11" s="1541"/>
      <c r="M11" s="1541"/>
      <c r="N11" s="46"/>
      <c r="O11" s="46"/>
      <c r="P11" s="46"/>
      <c r="Q11" s="46"/>
      <c r="R11" s="46"/>
      <c r="S11" s="46"/>
    </row>
    <row r="12" spans="1:30" ht="20.25" customHeight="1">
      <c r="A12" s="46"/>
      <c r="B12" s="46"/>
      <c r="C12" s="46"/>
      <c r="D12" s="70"/>
      <c r="E12" s="1480" t="s">
        <v>1080</v>
      </c>
      <c r="F12" s="1481"/>
      <c r="G12" s="1481"/>
      <c r="H12" s="1481"/>
      <c r="I12" s="1481"/>
      <c r="J12" s="1481"/>
      <c r="K12" s="1481"/>
      <c r="L12" s="1481"/>
      <c r="M12" s="1481"/>
      <c r="N12" s="46"/>
      <c r="O12" s="46"/>
      <c r="P12" s="46"/>
      <c r="Q12" s="46"/>
      <c r="R12" s="46"/>
      <c r="S12" s="46"/>
    </row>
    <row r="13" spans="1:30" ht="14.25" customHeight="1">
      <c r="A13" s="46"/>
      <c r="B13" s="46"/>
      <c r="C13" s="46"/>
      <c r="D13" s="70"/>
      <c r="E13" s="47"/>
      <c r="F13" s="47"/>
      <c r="G13" s="47"/>
      <c r="H13" s="47"/>
      <c r="I13" s="47"/>
      <c r="J13" s="47"/>
      <c r="K13" s="47"/>
      <c r="L13" s="47"/>
      <c r="M13" s="47"/>
      <c r="N13" s="46"/>
      <c r="O13" s="46"/>
      <c r="P13" s="46"/>
      <c r="Q13" s="46"/>
      <c r="R13" s="46"/>
      <c r="S13" s="46"/>
    </row>
    <row r="14" spans="1:30" ht="36.6" customHeight="1">
      <c r="A14" s="46"/>
      <c r="B14" s="46"/>
      <c r="C14" s="46"/>
      <c r="D14" s="70"/>
      <c r="E14" s="1513" t="str">
        <f>IF(NDtieude1&lt;&gt;"",Tieude1&amp;": "&amp;NDtieude1,"")</f>
        <v>Công trình: Gia cố nâng cấp kênh Bà Xoài từ K0+300÷K0+600 - Hệ thống thủy lợi Nha Trinh, huyện Ninh Hải, tỉnh Ninh Thuận</v>
      </c>
      <c r="F14" s="1452"/>
      <c r="G14" s="1452"/>
      <c r="H14" s="1452"/>
      <c r="I14" s="1452"/>
      <c r="J14" s="1452"/>
      <c r="K14" s="1452"/>
      <c r="L14" s="1452"/>
      <c r="M14" s="1452"/>
      <c r="N14" s="46"/>
      <c r="O14" s="46"/>
      <c r="P14" s="46"/>
      <c r="Q14" s="46"/>
      <c r="R14" s="46"/>
      <c r="S14" s="46"/>
      <c r="U14" s="44">
        <f>ROW()</f>
        <v>14</v>
      </c>
    </row>
    <row r="15" spans="1:30" ht="20.100000000000001" hidden="1" customHeight="1">
      <c r="A15" s="46"/>
      <c r="B15" s="46"/>
      <c r="C15" s="46"/>
      <c r="D15" s="70"/>
      <c r="E15" s="1527" t="str">
        <f>IF(NDtieude2&lt;&gt;"",Tieude2&amp;": "&amp;NDtieude2,"")</f>
        <v/>
      </c>
      <c r="F15" s="1542"/>
      <c r="G15" s="1542"/>
      <c r="H15" s="1542"/>
      <c r="I15" s="1542"/>
      <c r="J15" s="1542"/>
      <c r="K15" s="1542"/>
      <c r="L15" s="1542"/>
      <c r="M15" s="1542"/>
      <c r="N15" s="46"/>
      <c r="O15" s="46"/>
      <c r="P15" s="46"/>
      <c r="Q15" s="46"/>
      <c r="R15" s="46"/>
      <c r="S15" s="46"/>
      <c r="U15" s="44">
        <f>ROW()</f>
        <v>15</v>
      </c>
    </row>
    <row r="16" spans="1:30" ht="20.100000000000001" customHeight="1">
      <c r="A16" s="46"/>
      <c r="B16" s="46"/>
      <c r="C16" s="46"/>
      <c r="D16" s="70"/>
      <c r="E16" s="1527" t="str">
        <f>IF(NDtieude3&lt;&gt;"",Tieude3&amp;": "&amp;NDtieude3,"")</f>
        <v>Hạng mục: Kênh và Công trình trên kênh</v>
      </c>
      <c r="F16" s="1542"/>
      <c r="G16" s="1542"/>
      <c r="H16" s="1542"/>
      <c r="I16" s="1542"/>
      <c r="J16" s="1542"/>
      <c r="K16" s="1542"/>
      <c r="L16" s="1542"/>
      <c r="M16" s="1542"/>
      <c r="N16" s="46"/>
      <c r="O16" s="46"/>
      <c r="P16" s="46"/>
      <c r="Q16" s="46"/>
      <c r="R16" s="46"/>
      <c r="S16" s="46"/>
      <c r="U16" s="44">
        <f>ROW()</f>
        <v>16</v>
      </c>
    </row>
    <row r="17" spans="1:23" ht="20.100000000000001" customHeight="1">
      <c r="A17" s="46"/>
      <c r="B17" s="46"/>
      <c r="C17" s="46"/>
      <c r="D17" s="70"/>
      <c r="E17" s="1452" t="str">
        <f>IF(DDXD&lt;&gt;"","Địa điểm xây dựng : "&amp;DDXD,"")</f>
        <v>Địa điểm xây dựng : Huyện Ninh Hải - Tỉnh Ninh Thuận</v>
      </c>
      <c r="F17" s="1452"/>
      <c r="G17" s="1452"/>
      <c r="H17" s="1452"/>
      <c r="I17" s="1452"/>
      <c r="J17" s="1452"/>
      <c r="K17" s="1452"/>
      <c r="L17" s="1452"/>
      <c r="M17" s="1452"/>
      <c r="N17" s="46"/>
      <c r="O17" s="46"/>
      <c r="P17" s="46"/>
      <c r="Q17" s="46"/>
      <c r="R17" s="46"/>
      <c r="S17" s="46"/>
      <c r="U17" s="44">
        <f>IF(E17&lt;&gt;"",ROW(),"")</f>
        <v>17</v>
      </c>
    </row>
    <row r="18" spans="1:23" ht="6.75" customHeight="1">
      <c r="A18" s="46"/>
      <c r="B18" s="46"/>
      <c r="C18" s="46"/>
      <c r="D18" s="70"/>
      <c r="E18" s="153"/>
      <c r="F18" s="153"/>
      <c r="G18" s="153"/>
      <c r="H18" s="153"/>
      <c r="I18" s="153"/>
      <c r="J18" s="153"/>
      <c r="K18" s="153"/>
      <c r="L18" s="153"/>
      <c r="M18" s="153"/>
      <c r="N18" s="46"/>
      <c r="O18" s="46"/>
      <c r="P18" s="46"/>
      <c r="Q18" s="46"/>
      <c r="R18" s="46"/>
      <c r="S18" s="46"/>
    </row>
    <row r="19" spans="1:23" ht="21.95" customHeight="1">
      <c r="A19" s="46"/>
      <c r="B19" s="46"/>
      <c r="C19" s="46"/>
      <c r="D19" s="70"/>
      <c r="E19" s="1543" t="s">
        <v>180</v>
      </c>
      <c r="F19" s="1543"/>
      <c r="G19" s="1543"/>
      <c r="H19" s="1543"/>
      <c r="I19" s="1543"/>
      <c r="J19" s="1543"/>
      <c r="K19" s="1543"/>
      <c r="L19" s="1543"/>
      <c r="M19" s="1543"/>
      <c r="N19" s="46"/>
      <c r="O19" s="46"/>
      <c r="P19" s="46"/>
      <c r="Q19" s="46"/>
      <c r="R19" s="46"/>
      <c r="S19" s="46"/>
    </row>
    <row r="20" spans="1:23" ht="20.100000000000001" customHeight="1">
      <c r="A20" s="46"/>
      <c r="B20" s="46"/>
      <c r="C20" s="46"/>
      <c r="D20" s="70"/>
      <c r="E20" s="1454" t="str">
        <f>IFERROR("     - Tên công việc nghiệm thu: "&amp;VLOOKUP(P2,ListBBCV!A6:AD124,4,0),"- Tên công việc nghiệm thu: ")</f>
        <v xml:space="preserve">     - Tên công việc nghiệm thu: Đào đất hố móng</v>
      </c>
      <c r="F20" s="1455"/>
      <c r="G20" s="1455"/>
      <c r="H20" s="1455"/>
      <c r="I20" s="1455"/>
      <c r="J20" s="1455"/>
      <c r="K20" s="1455"/>
      <c r="L20" s="1455"/>
      <c r="M20" s="1455"/>
      <c r="N20" s="46"/>
      <c r="O20" s="46"/>
      <c r="P20" s="46"/>
      <c r="Q20" s="46"/>
      <c r="R20" s="46"/>
      <c r="S20" s="46"/>
      <c r="T20" s="44">
        <f>IF(E20&lt;&gt;"",ROW(),"")</f>
        <v>20</v>
      </c>
      <c r="U20" s="48"/>
    </row>
    <row r="21" spans="1:23" ht="20.100000000000001" customHeight="1">
      <c r="A21" s="46"/>
      <c r="B21" s="46"/>
      <c r="C21" s="46"/>
      <c r="D21" s="70"/>
      <c r="E21" s="1454" t="str">
        <f>IFERROR("     - Vị trí xây dựng trên công trình: "&amp;IF(VLOOKUP(P2,ListBBCV!A6:AD124,5,0)&gt;0,VLOOKUP(P2,ListBBCV!A6:AD124,5,0),""),"- Vị trí xây dựng trên công trình: ")</f>
        <v xml:space="preserve">     - Vị trí xây dựng trên công trình: Đoạn Km0+300 đến Km0+400</v>
      </c>
      <c r="F21" s="1455"/>
      <c r="G21" s="1455"/>
      <c r="H21" s="1455"/>
      <c r="I21" s="1455"/>
      <c r="J21" s="1455"/>
      <c r="K21" s="1455"/>
      <c r="L21" s="1455"/>
      <c r="M21" s="1455"/>
      <c r="N21" s="46"/>
      <c r="O21" s="46"/>
      <c r="P21" s="46"/>
      <c r="Q21" s="46"/>
      <c r="R21" s="46"/>
      <c r="S21" s="46"/>
      <c r="T21" s="44">
        <f>IF(E21&lt;&gt;"",ROW(),"")</f>
        <v>21</v>
      </c>
      <c r="U21" s="48"/>
    </row>
    <row r="22" spans="1:23" ht="6" customHeight="1">
      <c r="A22" s="46"/>
      <c r="B22" s="46"/>
      <c r="C22" s="46"/>
      <c r="D22" s="70"/>
      <c r="E22" s="162"/>
      <c r="F22" s="162"/>
      <c r="G22" s="162"/>
      <c r="H22" s="162"/>
      <c r="I22" s="162"/>
      <c r="J22" s="162"/>
      <c r="K22" s="162"/>
      <c r="L22" s="162"/>
      <c r="M22" s="162"/>
      <c r="N22" s="46"/>
      <c r="O22" s="46"/>
      <c r="P22" s="46"/>
      <c r="Q22" s="46"/>
      <c r="R22" s="46"/>
      <c r="S22" s="46"/>
    </row>
    <row r="23" spans="1:23" ht="16.5">
      <c r="A23" s="46"/>
      <c r="B23" s="46"/>
      <c r="C23" s="46"/>
      <c r="D23" s="70"/>
      <c r="E23" s="1456" t="s">
        <v>1081</v>
      </c>
      <c r="F23" s="1456"/>
      <c r="G23" s="1456"/>
      <c r="H23" s="1456"/>
      <c r="I23" s="1456"/>
      <c r="J23" s="1456"/>
      <c r="K23" s="1456"/>
      <c r="L23" s="1456"/>
      <c r="M23" s="1456"/>
      <c r="N23" s="46"/>
      <c r="O23" s="46"/>
      <c r="P23" s="46"/>
      <c r="Q23" s="46"/>
      <c r="R23" s="46"/>
      <c r="S23" s="46"/>
    </row>
    <row r="24" spans="1:23" ht="17.25">
      <c r="A24" s="46"/>
      <c r="B24" s="46"/>
      <c r="C24" s="46"/>
      <c r="D24" s="70"/>
      <c r="E24" s="1457" t="str">
        <f>"a. Đại diện phòng quản lý chất lượng:"</f>
        <v>a. Đại diện phòng quản lý chất lượng:</v>
      </c>
      <c r="F24" s="1458"/>
      <c r="G24" s="1458"/>
      <c r="H24" s="1458"/>
      <c r="I24" s="1458"/>
      <c r="J24" s="1458"/>
      <c r="K24" s="1458"/>
      <c r="L24" s="1458"/>
      <c r="M24" s="1458"/>
      <c r="N24" s="46"/>
      <c r="O24" s="46"/>
      <c r="P24" s="46"/>
      <c r="Q24" s="46"/>
      <c r="R24" s="46"/>
      <c r="S24" s="46"/>
    </row>
    <row r="25" spans="1:23" ht="16.5">
      <c r="A25" s="46"/>
      <c r="B25" s="46"/>
      <c r="C25" s="46"/>
      <c r="D25" s="70"/>
      <c r="E25" s="49"/>
      <c r="F25" s="166" t="str">
        <f>GT_QLCL1&amp;KCS1_</f>
        <v>Ông: Nguyễn Văn Hải</v>
      </c>
      <c r="G25" s="164"/>
      <c r="I25" s="165"/>
      <c r="J25" s="50" t="s">
        <v>15</v>
      </c>
      <c r="K25" s="51" t="str">
        <f>CV_KCS1</f>
        <v>Cán bộ KCS</v>
      </c>
      <c r="L25" s="52"/>
      <c r="M25" s="52"/>
      <c r="N25" s="46"/>
      <c r="O25" s="46"/>
      <c r="P25" s="46"/>
      <c r="Q25" s="46"/>
      <c r="R25" s="46"/>
      <c r="S25" s="46"/>
    </row>
    <row r="26" spans="1:23" ht="16.5">
      <c r="A26" s="46"/>
      <c r="B26" s="46"/>
      <c r="C26" s="46"/>
      <c r="D26" s="70"/>
      <c r="E26" s="49"/>
      <c r="F26" s="166" t="str">
        <f>GT_QLCL2&amp;KCS2_</f>
        <v>Ông: ………………………..</v>
      </c>
      <c r="G26" s="164" t="str">
        <f>KCS2_</f>
        <v>………………………..</v>
      </c>
      <c r="I26" s="165"/>
      <c r="J26" s="50" t="s">
        <v>15</v>
      </c>
      <c r="K26" s="51" t="str">
        <f>CV_KCS2</f>
        <v xml:space="preserve"> …………………</v>
      </c>
      <c r="L26" s="52"/>
      <c r="M26" s="52"/>
      <c r="N26" s="46"/>
      <c r="O26" s="46"/>
      <c r="P26" s="46"/>
      <c r="Q26" s="46"/>
      <c r="R26" s="46"/>
      <c r="S26" s="46"/>
    </row>
    <row r="27" spans="1:23" ht="17.25">
      <c r="A27" s="46"/>
      <c r="B27" s="46"/>
      <c r="C27" s="46"/>
      <c r="D27" s="70"/>
      <c r="E27" s="1457" t="str">
        <f>"b. Đại diện ban chỉ huy công trình:"</f>
        <v>b. Đại diện ban chỉ huy công trình:</v>
      </c>
      <c r="F27" s="1458"/>
      <c r="G27" s="1458"/>
      <c r="H27" s="1458"/>
      <c r="I27" s="1458"/>
      <c r="J27" s="1458"/>
      <c r="K27" s="1458"/>
      <c r="L27" s="1458"/>
      <c r="M27" s="1458"/>
      <c r="N27" s="46"/>
      <c r="O27" s="46"/>
      <c r="P27" s="46"/>
      <c r="Q27" s="46"/>
      <c r="R27" s="46"/>
      <c r="S27" s="46"/>
    </row>
    <row r="28" spans="1:23" ht="16.5">
      <c r="A28" s="46"/>
      <c r="B28" s="46"/>
      <c r="C28" s="46"/>
      <c r="D28" s="70"/>
      <c r="E28" s="49"/>
      <c r="F28" s="166" t="str">
        <f>GT_CBKT1&amp;CBKT1</f>
        <v>Ông: Hoàng Đình Tảng</v>
      </c>
      <c r="I28" s="165"/>
      <c r="J28" s="50" t="s">
        <v>15</v>
      </c>
      <c r="K28" s="51" t="str">
        <f>CV_CBKT1</f>
        <v>Chỉ huy công trường</v>
      </c>
      <c r="L28" s="52"/>
      <c r="M28" s="52"/>
      <c r="N28" s="46"/>
      <c r="O28" s="46"/>
      <c r="P28" s="46"/>
      <c r="Q28" s="46"/>
      <c r="R28" s="46"/>
      <c r="S28" s="46"/>
    </row>
    <row r="29" spans="1:23" ht="16.5">
      <c r="A29" s="167"/>
      <c r="B29" s="46"/>
      <c r="C29" s="46"/>
      <c r="D29" s="70"/>
      <c r="E29" s="49"/>
      <c r="F29" s="166" t="str">
        <f>GT_CBKT2&amp;CBKT2</f>
        <v>Ông: Lê Thiên Phương</v>
      </c>
      <c r="G29" s="166"/>
      <c r="I29" s="165"/>
      <c r="J29" s="50" t="s">
        <v>15</v>
      </c>
      <c r="K29" s="51" t="str">
        <f>CV_CBKT2</f>
        <v>Kỹ thuật thi công</v>
      </c>
      <c r="L29" s="52"/>
      <c r="M29" s="52"/>
      <c r="N29" s="46"/>
      <c r="O29" s="46"/>
      <c r="P29" s="46"/>
      <c r="Q29" s="46"/>
      <c r="R29" s="46"/>
      <c r="S29" s="46"/>
      <c r="W29" s="53"/>
    </row>
    <row r="30" spans="1:23" ht="5.25" customHeight="1">
      <c r="A30" s="46"/>
      <c r="B30" s="46"/>
      <c r="C30" s="46"/>
      <c r="D30" s="70"/>
      <c r="E30" s="47"/>
      <c r="F30" s="153"/>
      <c r="G30" s="153"/>
      <c r="H30" s="153"/>
      <c r="I30" s="47"/>
      <c r="J30" s="47"/>
      <c r="K30" s="47"/>
      <c r="L30" s="47"/>
      <c r="M30" s="47"/>
      <c r="N30" s="46"/>
      <c r="O30" s="46"/>
      <c r="P30" s="46"/>
      <c r="Q30" s="46"/>
      <c r="R30" s="46"/>
      <c r="S30" s="46"/>
    </row>
    <row r="31" spans="1:23" ht="16.5">
      <c r="A31" s="167"/>
      <c r="B31" s="46"/>
      <c r="C31" s="46"/>
      <c r="D31" s="70"/>
      <c r="E31" s="1456" t="s">
        <v>181</v>
      </c>
      <c r="F31" s="1456"/>
      <c r="G31" s="1456"/>
      <c r="H31" s="1456"/>
      <c r="I31" s="1456"/>
      <c r="J31" s="1456"/>
      <c r="K31" s="1456"/>
      <c r="L31" s="1456"/>
      <c r="M31" s="1456"/>
      <c r="N31" s="46"/>
      <c r="O31" s="46"/>
      <c r="P31" s="46"/>
      <c r="Q31" s="46"/>
      <c r="R31" s="46"/>
      <c r="S31" s="46"/>
    </row>
    <row r="32" spans="1:23" ht="21.75" customHeight="1">
      <c r="A32" s="46"/>
      <c r="B32" s="168"/>
      <c r="C32" s="46"/>
      <c r="D32" s="70"/>
      <c r="E32" s="47"/>
      <c r="F32" s="169" t="str">
        <f>" Bắt đầu: "&amp;TachgioBB(VLOOKUP(P2,ListBBCV!A6:AD124,6,0),1)&amp;","&amp;Doingay(VLOOKUP(P2,ListBBCV!A6:AD124,7,0))</f>
        <v xml:space="preserve"> Bắt đầu: 13 giờ 40 phút , ngày 9 tháng 5 năm 2020</v>
      </c>
      <c r="G32" s="52"/>
      <c r="H32" s="52"/>
      <c r="I32" s="54"/>
      <c r="J32" s="54"/>
      <c r="K32" s="54"/>
      <c r="L32" s="54"/>
      <c r="M32" s="54"/>
      <c r="N32" s="46"/>
      <c r="O32" s="46"/>
      <c r="P32" s="46"/>
      <c r="Q32" s="170"/>
      <c r="R32" s="46"/>
      <c r="S32" s="46"/>
    </row>
    <row r="33" spans="1:22" ht="18.75" customHeight="1">
      <c r="A33" s="46"/>
      <c r="B33" s="46"/>
      <c r="C33" s="46"/>
      <c r="D33" s="70"/>
      <c r="E33" s="47"/>
      <c r="F33" s="171" t="str">
        <f>" Kết thúc: "&amp;TachgioBB(VLOOKUP(P2,ListBBCV!A6:AD124,6,0),2)&amp;","&amp;Doingay(VLOOKUP(P2,ListBBCV!A6:AD124,7,0))</f>
        <v xml:space="preserve"> Kết thúc: 14 giờ 20 phút , ngày 9 tháng 5 năm 2020</v>
      </c>
      <c r="G33" s="172"/>
      <c r="H33" s="172"/>
      <c r="I33" s="173"/>
      <c r="J33" s="173"/>
      <c r="K33" s="173"/>
      <c r="L33" s="173"/>
      <c r="M33" s="173"/>
      <c r="N33" s="46"/>
      <c r="O33" s="46"/>
      <c r="P33" s="46"/>
      <c r="Q33" s="46"/>
      <c r="R33" s="46"/>
      <c r="S33" s="46"/>
    </row>
    <row r="34" spans="1:22" ht="36.6" customHeight="1">
      <c r="A34" s="46"/>
      <c r="B34" s="46"/>
      <c r="C34" s="46"/>
      <c r="D34" s="70"/>
      <c r="E34" s="1452" t="str">
        <f>"     - Vị trí tại "&amp;LOWER(MID(Tieude1,1,1))&amp;MID(Tieude1,2,LEN(Tieude1))&amp;" : "&amp;NDtieude1</f>
        <v xml:space="preserve">     - Vị trí tại công trình : Gia cố nâng cấp kênh Bà Xoài từ K0+300÷K0+600 - Hệ thống thủy lợi Nha Trinh, huyện Ninh Hải, tỉnh Ninh Thuận</v>
      </c>
      <c r="F34" s="1465"/>
      <c r="G34" s="1465"/>
      <c r="H34" s="1465"/>
      <c r="I34" s="1465"/>
      <c r="J34" s="1465"/>
      <c r="K34" s="1465"/>
      <c r="L34" s="1465"/>
      <c r="M34" s="1465"/>
      <c r="N34" s="46"/>
      <c r="O34" s="46"/>
      <c r="P34" s="46"/>
      <c r="Q34" s="46"/>
      <c r="R34" s="46"/>
      <c r="S34" s="46"/>
      <c r="U34" s="44">
        <f>IF(E34&lt;&gt;"",ROW(),"")</f>
        <v>34</v>
      </c>
    </row>
    <row r="35" spans="1:22" ht="16.5">
      <c r="A35" s="46"/>
      <c r="B35" s="46"/>
      <c r="C35" s="46"/>
      <c r="D35" s="70"/>
      <c r="E35" s="1456" t="s">
        <v>182</v>
      </c>
      <c r="F35" s="1456"/>
      <c r="G35" s="1456"/>
      <c r="H35" s="1456"/>
      <c r="I35" s="1456"/>
      <c r="J35" s="1456"/>
      <c r="K35" s="1456"/>
      <c r="L35" s="1456"/>
      <c r="M35" s="1456"/>
      <c r="N35" s="46"/>
      <c r="O35" s="46"/>
      <c r="P35" s="46"/>
      <c r="Q35" s="46"/>
      <c r="R35" s="46"/>
      <c r="S35" s="46"/>
    </row>
    <row r="36" spans="1:22" ht="36.6" customHeight="1">
      <c r="A36" s="46"/>
      <c r="B36" s="46"/>
      <c r="C36" s="46"/>
      <c r="D36" s="70"/>
      <c r="E36" s="1452" t="str">
        <f>IFERROR("a) - Hồ sơ lập dự toán: Hồ sơ lập dự toán do "&amp;DVTK&amp;" lập và được cấp có thẩm quyền phê duyệt.","a) - Hồ sơ thiết kế bản vẽ thi công: Hồ sơ thiết kế bản vẽ thi công đã được phê duyệt.")</f>
        <v>a) - Hồ sơ lập dự toán: Hồ sơ lập dự toán do Công ty TNHH Tư vấn Xây dựng Hưng Thịnh lập và được cấp có thẩm quyền phê duyệt.</v>
      </c>
      <c r="F36" s="1465"/>
      <c r="G36" s="1465"/>
      <c r="H36" s="1465"/>
      <c r="I36" s="1465"/>
      <c r="J36" s="1465"/>
      <c r="K36" s="1465"/>
      <c r="L36" s="1465"/>
      <c r="M36" s="1465"/>
      <c r="N36" s="46"/>
      <c r="O36" s="46"/>
      <c r="P36" s="46"/>
      <c r="Q36" s="46"/>
      <c r="R36" s="46"/>
      <c r="S36" s="46"/>
      <c r="U36" s="44">
        <f>IF(E36&lt;&gt;"",ROW(),"")</f>
        <v>36</v>
      </c>
    </row>
    <row r="37" spans="1:22" ht="16.5">
      <c r="A37" s="46"/>
      <c r="B37" s="46"/>
      <c r="C37" s="46"/>
      <c r="D37" s="70"/>
      <c r="E37" s="1466" t="s">
        <v>1082</v>
      </c>
      <c r="F37" s="1466"/>
      <c r="G37" s="1466"/>
      <c r="H37" s="1466"/>
      <c r="I37" s="1466"/>
      <c r="J37" s="1466"/>
      <c r="K37" s="1466"/>
      <c r="L37" s="1466"/>
      <c r="M37" s="1466"/>
      <c r="N37" s="46"/>
      <c r="O37" s="46"/>
      <c r="P37" s="46"/>
      <c r="Q37" s="46"/>
      <c r="R37" s="46"/>
      <c r="S37" s="46"/>
      <c r="V37" s="66"/>
    </row>
    <row r="38" spans="1:22" ht="20.100000000000001" customHeight="1">
      <c r="A38" s="46"/>
      <c r="B38" s="46"/>
      <c r="C38" s="46"/>
      <c r="D38" s="70"/>
      <c r="E38" s="1464" t="s">
        <v>203</v>
      </c>
      <c r="F38" s="1455"/>
      <c r="G38" s="1455"/>
      <c r="H38" s="1455"/>
      <c r="I38" s="1455"/>
      <c r="J38" s="1455"/>
      <c r="K38" s="1455"/>
      <c r="L38" s="1455"/>
      <c r="M38" s="1455"/>
      <c r="N38" s="46"/>
      <c r="O38" s="46"/>
      <c r="P38" s="46"/>
      <c r="Q38" s="46"/>
      <c r="R38" s="46"/>
      <c r="S38" s="46"/>
      <c r="T38" s="44">
        <f>IF(E38&lt;&gt;"",ROW(),"")</f>
        <v>38</v>
      </c>
      <c r="U38" s="48"/>
    </row>
    <row r="39" spans="1:22" ht="20.100000000000001" customHeight="1">
      <c r="A39" s="46"/>
      <c r="B39" s="46"/>
      <c r="C39" s="46"/>
      <c r="D39" s="70"/>
      <c r="E39" s="1464" t="s">
        <v>3847</v>
      </c>
      <c r="F39" s="1464"/>
      <c r="G39" s="1464"/>
      <c r="H39" s="1464"/>
      <c r="I39" s="1464"/>
      <c r="J39" s="1464"/>
      <c r="K39" s="1464"/>
      <c r="L39" s="1464"/>
      <c r="M39" s="1464"/>
      <c r="N39" s="46"/>
      <c r="O39" s="46"/>
      <c r="P39" s="46"/>
      <c r="Q39" s="46"/>
      <c r="R39" s="46"/>
      <c r="S39" s="46"/>
      <c r="T39" s="44">
        <f>IF(E39&lt;&gt;"",ROW(),"")</f>
        <v>39</v>
      </c>
      <c r="U39" s="48"/>
    </row>
    <row r="40" spans="1:22" ht="20.100000000000001" customHeight="1">
      <c r="A40" s="46"/>
      <c r="B40" s="46"/>
      <c r="C40" s="46"/>
      <c r="D40" s="70"/>
      <c r="E40" s="1464" t="s">
        <v>5821</v>
      </c>
      <c r="F40" s="1464"/>
      <c r="G40" s="1464"/>
      <c r="H40" s="1464"/>
      <c r="I40" s="1464"/>
      <c r="J40" s="1464"/>
      <c r="K40" s="1464"/>
      <c r="L40" s="1464"/>
      <c r="M40" s="1464"/>
      <c r="N40" s="46"/>
      <c r="O40" s="46"/>
      <c r="P40" s="46"/>
      <c r="Q40" s="46"/>
      <c r="R40" s="46"/>
      <c r="S40" s="46"/>
      <c r="T40" s="44">
        <f>IF(E40&lt;&gt;"",ROW(),"")</f>
        <v>40</v>
      </c>
      <c r="U40" s="48"/>
    </row>
    <row r="41" spans="1:22" ht="16.5" hidden="1">
      <c r="A41" s="46"/>
      <c r="B41" s="46"/>
      <c r="C41" s="46"/>
      <c r="D41" s="70"/>
      <c r="E41" s="1464"/>
      <c r="F41" s="1464"/>
      <c r="G41" s="1464"/>
      <c r="H41" s="1464"/>
      <c r="I41" s="1464"/>
      <c r="J41" s="1464"/>
      <c r="K41" s="1464"/>
      <c r="L41" s="1464"/>
      <c r="M41" s="1464"/>
      <c r="N41" s="46"/>
      <c r="O41" s="46"/>
      <c r="P41" s="46"/>
      <c r="Q41" s="46"/>
      <c r="R41" s="46"/>
      <c r="S41" s="46"/>
      <c r="T41" s="44" t="str">
        <f>IF(E41&lt;&gt;"",ROW(),"")</f>
        <v/>
      </c>
      <c r="U41" s="48"/>
    </row>
    <row r="42" spans="1:22" ht="16.5" hidden="1">
      <c r="A42" s="46"/>
      <c r="B42" s="46"/>
      <c r="C42" s="46"/>
      <c r="D42" s="70"/>
      <c r="E42" s="1464"/>
      <c r="F42" s="1464"/>
      <c r="G42" s="1464"/>
      <c r="H42" s="1464"/>
      <c r="I42" s="1464"/>
      <c r="J42" s="1464"/>
      <c r="K42" s="1464"/>
      <c r="L42" s="1464"/>
      <c r="M42" s="1464"/>
      <c r="N42" s="46"/>
      <c r="O42" s="46"/>
      <c r="P42" s="46"/>
      <c r="Q42" s="46"/>
      <c r="R42" s="46"/>
      <c r="S42" s="46"/>
      <c r="T42" s="44" t="str">
        <f t="shared" ref="T42:T59" si="0">IF(E42&lt;&gt;"",ROW(),"")</f>
        <v/>
      </c>
      <c r="U42" s="48"/>
    </row>
    <row r="43" spans="1:22" ht="16.5" hidden="1">
      <c r="A43" s="46"/>
      <c r="B43" s="46"/>
      <c r="C43" s="46"/>
      <c r="D43" s="70"/>
      <c r="E43" s="1464"/>
      <c r="F43" s="1464"/>
      <c r="G43" s="1464"/>
      <c r="H43" s="1464"/>
      <c r="I43" s="1464"/>
      <c r="J43" s="1464"/>
      <c r="K43" s="1464"/>
      <c r="L43" s="1464"/>
      <c r="M43" s="1464"/>
      <c r="N43" s="46"/>
      <c r="O43" s="46"/>
      <c r="P43" s="46"/>
      <c r="Q43" s="46"/>
      <c r="R43" s="46"/>
      <c r="S43" s="46"/>
      <c r="T43" s="44" t="str">
        <f t="shared" si="0"/>
        <v/>
      </c>
      <c r="U43" s="48"/>
    </row>
    <row r="44" spans="1:22" ht="16.5" hidden="1">
      <c r="A44" s="46"/>
      <c r="B44" s="46"/>
      <c r="C44" s="46"/>
      <c r="D44" s="70"/>
      <c r="E44" s="1464"/>
      <c r="F44" s="1464"/>
      <c r="G44" s="1464"/>
      <c r="H44" s="1464"/>
      <c r="I44" s="1464"/>
      <c r="J44" s="1464"/>
      <c r="K44" s="1464"/>
      <c r="L44" s="1464"/>
      <c r="M44" s="1464"/>
      <c r="N44" s="46"/>
      <c r="O44" s="46"/>
      <c r="P44" s="46"/>
      <c r="Q44" s="46"/>
      <c r="R44" s="46"/>
      <c r="S44" s="46"/>
      <c r="T44" s="44" t="str">
        <f t="shared" si="0"/>
        <v/>
      </c>
      <c r="U44" s="48"/>
    </row>
    <row r="45" spans="1:22" ht="16.5" hidden="1">
      <c r="A45" s="46"/>
      <c r="B45" s="46"/>
      <c r="C45" s="46"/>
      <c r="D45" s="70"/>
      <c r="E45" s="1464"/>
      <c r="F45" s="1464"/>
      <c r="G45" s="1464"/>
      <c r="H45" s="1464"/>
      <c r="I45" s="1464"/>
      <c r="J45" s="1464"/>
      <c r="K45" s="1464"/>
      <c r="L45" s="1464"/>
      <c r="M45" s="1464"/>
      <c r="N45" s="46"/>
      <c r="O45" s="46"/>
      <c r="P45" s="46"/>
      <c r="Q45" s="46"/>
      <c r="R45" s="46"/>
      <c r="S45" s="46"/>
      <c r="T45" s="44" t="str">
        <f t="shared" si="0"/>
        <v/>
      </c>
      <c r="U45" s="48"/>
    </row>
    <row r="46" spans="1:22" ht="16.5" hidden="1">
      <c r="A46" s="46"/>
      <c r="B46" s="46"/>
      <c r="C46" s="46"/>
      <c r="D46" s="70"/>
      <c r="E46" s="1464"/>
      <c r="F46" s="1464"/>
      <c r="G46" s="1464"/>
      <c r="H46" s="1464"/>
      <c r="I46" s="1464"/>
      <c r="J46" s="1464"/>
      <c r="K46" s="1464"/>
      <c r="L46" s="1464"/>
      <c r="M46" s="1464"/>
      <c r="N46" s="46"/>
      <c r="O46" s="46"/>
      <c r="P46" s="46"/>
      <c r="Q46" s="46"/>
      <c r="R46" s="46"/>
      <c r="S46" s="46"/>
      <c r="T46" s="44" t="str">
        <f t="shared" si="0"/>
        <v/>
      </c>
      <c r="U46" s="48"/>
    </row>
    <row r="47" spans="1:22" ht="16.5" hidden="1">
      <c r="A47" s="46"/>
      <c r="B47" s="46"/>
      <c r="C47" s="46"/>
      <c r="D47" s="70"/>
      <c r="E47" s="1464"/>
      <c r="F47" s="1464"/>
      <c r="G47" s="1464"/>
      <c r="H47" s="1464"/>
      <c r="I47" s="1464"/>
      <c r="J47" s="1464"/>
      <c r="K47" s="1464"/>
      <c r="L47" s="1464"/>
      <c r="M47" s="1464"/>
      <c r="N47" s="46"/>
      <c r="O47" s="46"/>
      <c r="P47" s="46"/>
      <c r="Q47" s="46"/>
      <c r="R47" s="46"/>
      <c r="S47" s="46"/>
      <c r="T47" s="44" t="str">
        <f t="shared" si="0"/>
        <v/>
      </c>
      <c r="U47" s="48"/>
    </row>
    <row r="48" spans="1:22" ht="53.1" customHeight="1">
      <c r="A48" s="46"/>
      <c r="B48" s="46"/>
      <c r="C48" s="46"/>
      <c r="D48" s="70"/>
      <c r="E48" s="1464" t="str">
        <f>"c) Tài liệu chỉ dẫn kỹ thuật có liên quan: Hợp đồng số: "&amp;Hopdong&amp;" giữa "&amp;CĐT&amp;" và "&amp;DVTC</f>
        <v>c) Tài liệu chỉ dẫn kỹ thuật có liên quan: Hợp đồng số: 01/2020/HĐXD-TD ngày 28 tháng 04 năm 2020 giữa Công ty TNHH MTV khai thác công trình thủy lợi Ninh Thuận và Công ty TNHH Xây dựng Thịnh Dũng</v>
      </c>
      <c r="F48" s="1455"/>
      <c r="G48" s="1455"/>
      <c r="H48" s="1455"/>
      <c r="I48" s="1455"/>
      <c r="J48" s="1455"/>
      <c r="K48" s="1455"/>
      <c r="L48" s="1455"/>
      <c r="M48" s="1455"/>
      <c r="N48" s="46"/>
      <c r="O48" s="46"/>
      <c r="P48" s="46"/>
      <c r="Q48" s="46"/>
      <c r="R48" s="46"/>
      <c r="S48" s="46"/>
      <c r="U48" s="44">
        <f>IF(E48&lt;&gt;"",ROW(),"")</f>
        <v>48</v>
      </c>
    </row>
    <row r="49" spans="1:21" ht="16.5">
      <c r="A49" s="46"/>
      <c r="B49" s="46"/>
      <c r="C49" s="46"/>
      <c r="D49" s="70"/>
      <c r="E49" s="1466" t="s">
        <v>1083</v>
      </c>
      <c r="F49" s="1466"/>
      <c r="G49" s="1466"/>
      <c r="H49" s="1466"/>
      <c r="I49" s="1466"/>
      <c r="J49" s="1466"/>
      <c r="K49" s="1466"/>
      <c r="L49" s="1466"/>
      <c r="M49" s="1466"/>
      <c r="N49" s="46"/>
      <c r="O49" s="46"/>
      <c r="P49" s="46"/>
      <c r="Q49" s="46"/>
      <c r="R49" s="46"/>
      <c r="S49" s="46"/>
    </row>
    <row r="50" spans="1:21" ht="16.5" hidden="1">
      <c r="A50" s="46"/>
      <c r="B50" s="46"/>
      <c r="C50" s="46"/>
      <c r="D50" s="70"/>
      <c r="E50" s="1467"/>
      <c r="F50" s="1468"/>
      <c r="G50" s="1468"/>
      <c r="H50" s="1468"/>
      <c r="I50" s="1468"/>
      <c r="J50" s="1468"/>
      <c r="K50" s="1468"/>
      <c r="L50" s="1468"/>
      <c r="M50" s="1468"/>
      <c r="N50" s="46"/>
      <c r="O50" s="46"/>
      <c r="P50" s="46"/>
      <c r="Q50" s="46"/>
      <c r="R50" s="46"/>
      <c r="S50" s="46"/>
      <c r="T50" s="44" t="str">
        <f t="shared" si="0"/>
        <v/>
      </c>
    </row>
    <row r="51" spans="1:21" ht="16.5" hidden="1">
      <c r="A51" s="46"/>
      <c r="B51" s="46"/>
      <c r="C51" s="46"/>
      <c r="D51" s="70"/>
      <c r="E51" s="1469"/>
      <c r="F51" s="1470"/>
      <c r="G51" s="1470"/>
      <c r="H51" s="1470"/>
      <c r="I51" s="1470"/>
      <c r="J51" s="1470"/>
      <c r="K51" s="1470"/>
      <c r="L51" s="1470"/>
      <c r="M51" s="1470"/>
      <c r="N51" s="46"/>
      <c r="O51" s="46"/>
      <c r="P51" s="46"/>
      <c r="Q51" s="46"/>
      <c r="R51" s="46"/>
      <c r="S51" s="46"/>
      <c r="T51" s="44" t="str">
        <f t="shared" si="0"/>
        <v/>
      </c>
    </row>
    <row r="52" spans="1:21" ht="16.5" hidden="1">
      <c r="A52" s="46"/>
      <c r="B52" s="46"/>
      <c r="C52" s="46"/>
      <c r="D52" s="70"/>
      <c r="E52" s="1469"/>
      <c r="F52" s="1470"/>
      <c r="G52" s="1470"/>
      <c r="H52" s="1470"/>
      <c r="I52" s="1470"/>
      <c r="J52" s="1470"/>
      <c r="K52" s="1470"/>
      <c r="L52" s="1470"/>
      <c r="M52" s="1470"/>
      <c r="N52" s="46"/>
      <c r="O52" s="46"/>
      <c r="P52" s="46"/>
      <c r="Q52" s="46"/>
      <c r="R52" s="46"/>
      <c r="S52" s="46"/>
      <c r="T52" s="44" t="str">
        <f t="shared" si="0"/>
        <v/>
      </c>
    </row>
    <row r="53" spans="1:21" ht="16.5" hidden="1">
      <c r="A53" s="46"/>
      <c r="B53" s="46"/>
      <c r="C53" s="46"/>
      <c r="D53" s="70"/>
      <c r="E53" s="1469"/>
      <c r="F53" s="1470"/>
      <c r="G53" s="1470"/>
      <c r="H53" s="1470"/>
      <c r="I53" s="1470"/>
      <c r="J53" s="1470"/>
      <c r="K53" s="1470"/>
      <c r="L53" s="1470"/>
      <c r="M53" s="1470"/>
      <c r="N53" s="46"/>
      <c r="O53" s="46"/>
      <c r="P53" s="46"/>
      <c r="Q53" s="46"/>
      <c r="R53" s="46"/>
      <c r="S53" s="46"/>
      <c r="T53" s="44" t="str">
        <f t="shared" si="0"/>
        <v/>
      </c>
    </row>
    <row r="54" spans="1:21" ht="16.5" hidden="1">
      <c r="A54" s="46"/>
      <c r="B54" s="46"/>
      <c r="C54" s="46"/>
      <c r="D54" s="70"/>
      <c r="E54" s="1469"/>
      <c r="F54" s="1470"/>
      <c r="G54" s="1470"/>
      <c r="H54" s="1470"/>
      <c r="I54" s="1470"/>
      <c r="J54" s="1470"/>
      <c r="K54" s="1470"/>
      <c r="L54" s="1470"/>
      <c r="M54" s="1470"/>
      <c r="N54" s="46"/>
      <c r="O54" s="46"/>
      <c r="P54" s="46"/>
      <c r="Q54" s="46"/>
      <c r="R54" s="46"/>
      <c r="S54" s="46"/>
      <c r="T54" s="44" t="str">
        <f t="shared" si="0"/>
        <v/>
      </c>
    </row>
    <row r="55" spans="1:21" ht="16.5" hidden="1">
      <c r="A55" s="46"/>
      <c r="B55" s="46"/>
      <c r="C55" s="46"/>
      <c r="D55" s="70"/>
      <c r="E55" s="1469"/>
      <c r="F55" s="1470"/>
      <c r="G55" s="1470"/>
      <c r="H55" s="1470"/>
      <c r="I55" s="1470"/>
      <c r="J55" s="1470"/>
      <c r="K55" s="1470"/>
      <c r="L55" s="1470"/>
      <c r="M55" s="1470"/>
      <c r="N55" s="46"/>
      <c r="O55" s="46"/>
      <c r="P55" s="46"/>
      <c r="Q55" s="46"/>
      <c r="R55" s="46"/>
      <c r="S55" s="46"/>
      <c r="T55" s="44" t="str">
        <f t="shared" si="0"/>
        <v/>
      </c>
    </row>
    <row r="56" spans="1:21" ht="16.5" hidden="1">
      <c r="A56" s="46"/>
      <c r="B56" s="46"/>
      <c r="C56" s="46"/>
      <c r="D56" s="70"/>
      <c r="E56" s="1469"/>
      <c r="F56" s="1470"/>
      <c r="G56" s="1470"/>
      <c r="H56" s="1470"/>
      <c r="I56" s="1470"/>
      <c r="J56" s="1470"/>
      <c r="K56" s="1470"/>
      <c r="L56" s="1470"/>
      <c r="M56" s="1470"/>
      <c r="N56" s="46"/>
      <c r="O56" s="46"/>
      <c r="P56" s="46"/>
      <c r="Q56" s="46"/>
      <c r="R56" s="46"/>
      <c r="S56" s="46"/>
      <c r="T56" s="44" t="str">
        <f t="shared" si="0"/>
        <v/>
      </c>
    </row>
    <row r="57" spans="1:21" ht="16.5" hidden="1">
      <c r="A57" s="46"/>
      <c r="B57" s="46"/>
      <c r="C57" s="46"/>
      <c r="D57" s="70"/>
      <c r="E57" s="1469"/>
      <c r="F57" s="1470"/>
      <c r="G57" s="1470"/>
      <c r="H57" s="1470"/>
      <c r="I57" s="1470"/>
      <c r="J57" s="1470"/>
      <c r="K57" s="1470"/>
      <c r="L57" s="1470"/>
      <c r="M57" s="1470"/>
      <c r="N57" s="46"/>
      <c r="O57" s="46"/>
      <c r="P57" s="46"/>
      <c r="Q57" s="46"/>
      <c r="R57" s="46"/>
      <c r="S57" s="46"/>
      <c r="T57" s="44" t="str">
        <f t="shared" si="0"/>
        <v/>
      </c>
    </row>
    <row r="58" spans="1:21" ht="16.5" hidden="1">
      <c r="A58" s="46"/>
      <c r="B58" s="46"/>
      <c r="C58" s="46"/>
      <c r="D58" s="70"/>
      <c r="E58" s="1469"/>
      <c r="F58" s="1470"/>
      <c r="G58" s="1470"/>
      <c r="H58" s="1470"/>
      <c r="I58" s="1470"/>
      <c r="J58" s="1470"/>
      <c r="K58" s="1470"/>
      <c r="L58" s="1470"/>
      <c r="M58" s="1470"/>
      <c r="N58" s="46"/>
      <c r="O58" s="46"/>
      <c r="P58" s="46"/>
      <c r="Q58" s="46"/>
      <c r="R58" s="46"/>
      <c r="S58" s="46"/>
      <c r="T58" s="44" t="str">
        <f t="shared" si="0"/>
        <v/>
      </c>
    </row>
    <row r="59" spans="1:21" ht="16.5" hidden="1">
      <c r="A59" s="46"/>
      <c r="B59" s="46"/>
      <c r="C59" s="46"/>
      <c r="D59" s="70"/>
      <c r="E59" s="1469"/>
      <c r="F59" s="1470"/>
      <c r="G59" s="1470"/>
      <c r="H59" s="1470"/>
      <c r="I59" s="1470"/>
      <c r="J59" s="1470"/>
      <c r="K59" s="1470"/>
      <c r="L59" s="1470"/>
      <c r="M59" s="1470"/>
      <c r="N59" s="46"/>
      <c r="O59" s="46"/>
      <c r="P59" s="46"/>
      <c r="Q59" s="46"/>
      <c r="R59" s="46"/>
      <c r="S59" s="46"/>
      <c r="T59" s="44" t="str">
        <f t="shared" si="0"/>
        <v/>
      </c>
      <c r="U59" s="48"/>
    </row>
    <row r="60" spans="1:21" ht="36.6" customHeight="1">
      <c r="A60" s="46"/>
      <c r="B60" s="46"/>
      <c r="C60" s="46"/>
      <c r="D60" s="70"/>
      <c r="E60" s="1464" t="s">
        <v>1084</v>
      </c>
      <c r="F60" s="1464"/>
      <c r="G60" s="1464"/>
      <c r="H60" s="1464"/>
      <c r="I60" s="1464"/>
      <c r="J60" s="1464"/>
      <c r="K60" s="1464"/>
      <c r="L60" s="1464"/>
      <c r="M60" s="1464"/>
      <c r="N60" s="46"/>
      <c r="O60" s="46"/>
      <c r="P60" s="46"/>
      <c r="Q60" s="46"/>
      <c r="R60" s="46"/>
      <c r="S60" s="46"/>
      <c r="U60" s="44">
        <f>IF(E60&lt;&gt;"",ROW(),"")</f>
        <v>60</v>
      </c>
    </row>
    <row r="61" spans="1:21" ht="16.5">
      <c r="A61" s="46"/>
      <c r="B61" s="46"/>
      <c r="C61" s="46"/>
      <c r="D61" s="70"/>
      <c r="E61" s="1456" t="s">
        <v>183</v>
      </c>
      <c r="F61" s="1456"/>
      <c r="G61" s="1456"/>
      <c r="H61" s="1456"/>
      <c r="I61" s="1456"/>
      <c r="J61" s="1456"/>
      <c r="K61" s="1456"/>
      <c r="L61" s="1456"/>
      <c r="M61" s="1456"/>
      <c r="N61" s="46"/>
      <c r="O61" s="46"/>
      <c r="P61" s="46"/>
      <c r="Q61" s="46"/>
      <c r="R61" s="46"/>
      <c r="S61" s="46"/>
    </row>
    <row r="62" spans="1:21" ht="17.25">
      <c r="A62" s="46"/>
      <c r="B62" s="46"/>
      <c r="C62" s="46"/>
      <c r="D62" s="70"/>
      <c r="E62" s="1471" t="s">
        <v>184</v>
      </c>
      <c r="F62" s="1471"/>
      <c r="G62" s="1471"/>
      <c r="H62" s="1471"/>
      <c r="I62" s="1471"/>
      <c r="J62" s="1471"/>
      <c r="K62" s="1471"/>
      <c r="L62" s="1471"/>
      <c r="M62" s="1471"/>
      <c r="N62" s="46"/>
      <c r="O62" s="46"/>
      <c r="P62" s="46"/>
      <c r="Q62" s="46"/>
      <c r="R62" s="46"/>
      <c r="S62" s="46"/>
    </row>
    <row r="63" spans="1:21" ht="18.75" customHeight="1">
      <c r="A63" s="46"/>
      <c r="B63" s="46"/>
      <c r="C63" s="46"/>
      <c r="D63" s="70"/>
      <c r="E63" s="1472" t="s">
        <v>185</v>
      </c>
      <c r="F63" s="1473"/>
      <c r="G63" s="1473"/>
      <c r="H63" s="1473"/>
      <c r="I63" s="1473"/>
      <c r="J63" s="1473"/>
      <c r="K63" s="1473"/>
      <c r="L63" s="1473"/>
      <c r="M63" s="1473"/>
      <c r="N63" s="46"/>
      <c r="O63" s="46"/>
      <c r="P63" s="46"/>
      <c r="Q63" s="46"/>
      <c r="R63" s="46"/>
      <c r="S63" s="46"/>
    </row>
    <row r="64" spans="1:21" ht="19.5" customHeight="1">
      <c r="A64" s="46"/>
      <c r="B64" s="46"/>
      <c r="C64" s="46"/>
      <c r="D64" s="70"/>
      <c r="E64" s="1479" t="s">
        <v>186</v>
      </c>
      <c r="F64" s="1452"/>
      <c r="G64" s="1452"/>
      <c r="H64" s="1452"/>
      <c r="I64" s="1452"/>
      <c r="J64" s="1452"/>
      <c r="K64" s="1452"/>
      <c r="L64" s="1452"/>
      <c r="M64" s="1452"/>
      <c r="N64" s="46"/>
      <c r="O64" s="46"/>
      <c r="P64" s="46"/>
      <c r="Q64" s="46"/>
      <c r="R64" s="46"/>
      <c r="S64" s="46"/>
    </row>
    <row r="65" spans="1:19" ht="37.5" customHeight="1">
      <c r="A65" s="46"/>
      <c r="B65" s="46"/>
      <c r="C65" s="46"/>
      <c r="D65" s="70"/>
      <c r="E65" s="1472" t="s">
        <v>187</v>
      </c>
      <c r="F65" s="1473"/>
      <c r="G65" s="1473"/>
      <c r="H65" s="1473"/>
      <c r="I65" s="1473"/>
      <c r="J65" s="1473"/>
      <c r="K65" s="1473"/>
      <c r="L65" s="1473"/>
      <c r="M65" s="1473"/>
      <c r="N65" s="46"/>
      <c r="O65" s="46"/>
      <c r="P65" s="46"/>
      <c r="Q65" s="46"/>
      <c r="R65" s="46"/>
      <c r="S65" s="46"/>
    </row>
    <row r="66" spans="1:19" ht="17.25">
      <c r="A66" s="46"/>
      <c r="B66" s="46"/>
      <c r="C66" s="46"/>
      <c r="D66" s="70"/>
      <c r="E66" s="1471" t="s">
        <v>188</v>
      </c>
      <c r="F66" s="1471"/>
      <c r="G66" s="1471"/>
      <c r="H66" s="1471"/>
      <c r="I66" s="1471"/>
      <c r="J66" s="1471"/>
      <c r="K66" s="1471"/>
      <c r="L66" s="1471"/>
      <c r="M66" s="1471"/>
      <c r="N66" s="46"/>
      <c r="O66" s="46"/>
      <c r="P66" s="46"/>
      <c r="Q66" s="46"/>
      <c r="R66" s="46"/>
      <c r="S66" s="46"/>
    </row>
    <row r="67" spans="1:19" ht="18.75" customHeight="1">
      <c r="A67" s="46"/>
      <c r="B67" s="46"/>
      <c r="C67" s="46"/>
      <c r="D67" s="70"/>
      <c r="E67" s="1474" t="s">
        <v>189</v>
      </c>
      <c r="F67" s="1475"/>
      <c r="G67" s="1475"/>
      <c r="H67" s="1475"/>
      <c r="I67" s="1475"/>
      <c r="J67" s="1475"/>
      <c r="K67" s="1475"/>
      <c r="L67" s="1475"/>
      <c r="M67" s="1475"/>
      <c r="N67" s="46"/>
      <c r="O67" s="46"/>
      <c r="P67" s="46"/>
      <c r="Q67" s="46"/>
      <c r="R67" s="46"/>
      <c r="S67" s="46"/>
    </row>
    <row r="68" spans="1:19" ht="17.25">
      <c r="A68" s="46"/>
      <c r="B68" s="46"/>
      <c r="C68" s="46"/>
      <c r="D68" s="70"/>
      <c r="E68" s="1471" t="s">
        <v>190</v>
      </c>
      <c r="F68" s="1471"/>
      <c r="G68" s="1471"/>
      <c r="H68" s="1471"/>
      <c r="I68" s="1471"/>
      <c r="J68" s="1471"/>
      <c r="K68" s="1471"/>
      <c r="L68" s="1471"/>
      <c r="M68" s="1471"/>
      <c r="N68" s="46"/>
      <c r="O68" s="46"/>
      <c r="P68" s="46"/>
      <c r="Q68" s="46"/>
      <c r="R68" s="46"/>
      <c r="S68" s="46"/>
    </row>
    <row r="69" spans="1:19" ht="18.75" customHeight="1">
      <c r="A69" s="46"/>
      <c r="B69" s="46"/>
      <c r="C69" s="46"/>
      <c r="D69" s="70"/>
      <c r="E69" s="1474" t="s">
        <v>191</v>
      </c>
      <c r="F69" s="1475"/>
      <c r="G69" s="1475"/>
      <c r="H69" s="1475"/>
      <c r="I69" s="1475"/>
      <c r="J69" s="1475"/>
      <c r="K69" s="1475"/>
      <c r="L69" s="1475"/>
      <c r="M69" s="1475"/>
      <c r="N69" s="46"/>
      <c r="O69" s="46"/>
      <c r="P69" s="46"/>
      <c r="Q69" s="46"/>
      <c r="R69" s="46"/>
      <c r="S69" s="46"/>
    </row>
    <row r="70" spans="1:19" ht="16.5">
      <c r="A70" s="46"/>
      <c r="B70" s="46"/>
      <c r="C70" s="46"/>
      <c r="D70" s="70"/>
      <c r="E70" s="1456" t="s">
        <v>192</v>
      </c>
      <c r="F70" s="1456"/>
      <c r="G70" s="1456"/>
      <c r="H70" s="1456"/>
      <c r="I70" s="1456"/>
      <c r="J70" s="1456"/>
      <c r="K70" s="1456"/>
      <c r="L70" s="1456"/>
      <c r="M70" s="1456"/>
      <c r="N70" s="46"/>
      <c r="O70" s="46"/>
      <c r="P70" s="46"/>
      <c r="Q70" s="46"/>
      <c r="R70" s="46"/>
      <c r="S70" s="46"/>
    </row>
    <row r="71" spans="1:19" ht="18.75" customHeight="1">
      <c r="A71" s="46"/>
      <c r="B71" s="46"/>
      <c r="C71" s="46"/>
      <c r="D71" s="70"/>
      <c r="E71" s="1472" t="s">
        <v>1085</v>
      </c>
      <c r="F71" s="1473"/>
      <c r="G71" s="1473"/>
      <c r="H71" s="1473"/>
      <c r="I71" s="1473"/>
      <c r="J71" s="1473"/>
      <c r="K71" s="1473"/>
      <c r="L71" s="1473"/>
      <c r="M71" s="1473"/>
      <c r="N71" s="46"/>
      <c r="O71" s="46"/>
      <c r="P71" s="46"/>
      <c r="Q71" s="46"/>
      <c r="R71" s="46"/>
      <c r="S71" s="46"/>
    </row>
    <row r="72" spans="1:19" ht="18.75" customHeight="1">
      <c r="A72" s="46"/>
      <c r="B72" s="46"/>
      <c r="C72" s="46"/>
      <c r="D72" s="70"/>
      <c r="E72" s="1476"/>
      <c r="F72" s="1453"/>
      <c r="G72" s="1453"/>
      <c r="H72" s="1453"/>
      <c r="I72" s="1453"/>
      <c r="J72" s="1453"/>
      <c r="K72" s="1453"/>
      <c r="L72" s="1453"/>
      <c r="M72" s="1453"/>
      <c r="N72" s="46"/>
      <c r="O72" s="46"/>
      <c r="P72" s="46"/>
      <c r="Q72" s="46"/>
      <c r="R72" s="46"/>
      <c r="S72" s="46"/>
    </row>
    <row r="73" spans="1:19" ht="34.5" customHeight="1">
      <c r="A73" s="46"/>
      <c r="B73" s="46"/>
      <c r="C73" s="46"/>
      <c r="D73" s="70"/>
      <c r="E73" s="1477" t="s">
        <v>1086</v>
      </c>
      <c r="F73" s="1478"/>
      <c r="G73" s="1478"/>
      <c r="H73" s="1478"/>
      <c r="I73" s="1478"/>
      <c r="J73" s="1477" t="s">
        <v>1087</v>
      </c>
      <c r="K73" s="1477"/>
      <c r="L73" s="1477"/>
      <c r="M73" s="1477"/>
      <c r="N73" s="46"/>
      <c r="O73" s="46"/>
      <c r="P73" s="46"/>
      <c r="Q73" s="46"/>
      <c r="R73" s="46"/>
      <c r="S73" s="46"/>
    </row>
    <row r="74" spans="1:19" ht="16.5">
      <c r="A74" s="46"/>
      <c r="B74" s="46"/>
      <c r="C74" s="46"/>
      <c r="D74" s="70"/>
      <c r="E74" s="47"/>
      <c r="F74" s="47"/>
      <c r="G74" s="47"/>
      <c r="H74" s="47"/>
      <c r="I74" s="47"/>
      <c r="J74" s="47"/>
      <c r="K74" s="47"/>
      <c r="L74" s="47"/>
      <c r="M74" s="47"/>
      <c r="N74" s="46"/>
      <c r="O74" s="46"/>
      <c r="P74" s="46"/>
      <c r="Q74" s="46"/>
      <c r="R74" s="46"/>
      <c r="S74" s="46"/>
    </row>
    <row r="75" spans="1:19" ht="16.5">
      <c r="A75" s="46"/>
      <c r="B75" s="46"/>
      <c r="C75" s="46"/>
      <c r="D75" s="70"/>
      <c r="E75" s="47"/>
      <c r="F75" s="47"/>
      <c r="G75" s="47"/>
      <c r="H75" s="47"/>
      <c r="I75" s="47"/>
      <c r="J75" s="47"/>
      <c r="K75" s="47"/>
      <c r="L75" s="47"/>
      <c r="M75" s="47"/>
      <c r="N75" s="46"/>
      <c r="O75" s="46"/>
      <c r="P75" s="46"/>
      <c r="Q75" s="46"/>
      <c r="R75" s="46"/>
      <c r="S75" s="46"/>
    </row>
    <row r="76" spans="1:19" ht="16.5">
      <c r="A76" s="46"/>
      <c r="B76" s="46"/>
      <c r="C76" s="46"/>
      <c r="D76" s="70"/>
      <c r="E76" s="47"/>
      <c r="F76" s="47"/>
      <c r="G76" s="47"/>
      <c r="H76" s="47"/>
      <c r="I76" s="47"/>
      <c r="J76" s="47"/>
      <c r="K76" s="47"/>
      <c r="L76" s="47"/>
      <c r="M76" s="47"/>
      <c r="N76" s="46"/>
      <c r="O76" s="46"/>
      <c r="P76" s="46"/>
      <c r="Q76" s="46"/>
      <c r="R76" s="46"/>
      <c r="S76" s="46"/>
    </row>
    <row r="77" spans="1:19" ht="16.5">
      <c r="A77" s="46"/>
      <c r="B77" s="46"/>
      <c r="C77" s="46"/>
      <c r="D77" s="70"/>
      <c r="E77" s="47"/>
      <c r="F77" s="47"/>
      <c r="G77" s="47"/>
      <c r="H77" s="47"/>
      <c r="I77" s="47"/>
      <c r="J77" s="47"/>
      <c r="K77" s="47"/>
      <c r="L77" s="47"/>
      <c r="M77" s="47"/>
      <c r="N77" s="46"/>
      <c r="O77" s="46"/>
      <c r="P77" s="46"/>
      <c r="Q77" s="46"/>
      <c r="R77" s="46"/>
      <c r="S77" s="46"/>
    </row>
    <row r="78" spans="1:19" ht="16.5">
      <c r="A78" s="46"/>
      <c r="B78" s="46"/>
      <c r="C78" s="46"/>
      <c r="D78" s="70"/>
      <c r="E78" s="47"/>
      <c r="F78" s="47"/>
      <c r="G78" s="47"/>
      <c r="H78" s="47"/>
      <c r="I78" s="47"/>
      <c r="J78" s="47"/>
      <c r="K78" s="174"/>
      <c r="L78" s="47"/>
      <c r="M78" s="47"/>
      <c r="N78" s="46"/>
      <c r="O78" s="46"/>
      <c r="P78" s="46"/>
      <c r="Q78" s="46"/>
      <c r="R78" s="46"/>
      <c r="S78" s="46"/>
    </row>
    <row r="79" spans="1:19" ht="17.25" customHeight="1">
      <c r="A79" s="46"/>
      <c r="B79" s="46"/>
      <c r="C79" s="46"/>
      <c r="D79" s="70"/>
      <c r="E79" s="1477" t="str">
        <f>KCS1_</f>
        <v>Nguyễn Văn Hải</v>
      </c>
      <c r="F79" s="1478"/>
      <c r="G79" s="1478"/>
      <c r="H79" s="1478"/>
      <c r="I79" s="1478"/>
      <c r="J79" s="1483" t="str">
        <f>CBKT1</f>
        <v>Hoàng Đình Tảng</v>
      </c>
      <c r="K79" s="1484"/>
      <c r="L79" s="1484"/>
      <c r="M79" s="1484"/>
      <c r="N79" s="46"/>
      <c r="O79" s="46"/>
      <c r="P79" s="46"/>
      <c r="Q79" s="46"/>
      <c r="R79" s="46"/>
      <c r="S79" s="46"/>
    </row>
    <row r="80" spans="1:19" ht="6" customHeight="1">
      <c r="A80" s="46"/>
      <c r="B80" s="46"/>
      <c r="C80" s="46"/>
      <c r="D80" s="70"/>
      <c r="E80" s="1485"/>
      <c r="F80" s="1486"/>
      <c r="G80" s="1486"/>
      <c r="H80" s="1486"/>
      <c r="I80" s="1486"/>
      <c r="J80" s="1486"/>
      <c r="K80" s="1486"/>
      <c r="L80" s="1486"/>
      <c r="M80" s="1487"/>
      <c r="N80" s="46"/>
      <c r="O80" s="46"/>
      <c r="P80" s="46"/>
      <c r="Q80" s="46"/>
      <c r="R80" s="46"/>
      <c r="S80" s="46"/>
    </row>
    <row r="81" spans="1:23" ht="16.5">
      <c r="A81" s="46"/>
      <c r="B81" s="46"/>
      <c r="C81" s="46"/>
      <c r="D81" s="70"/>
      <c r="E81" s="1488" t="s">
        <v>158</v>
      </c>
      <c r="F81" s="1488"/>
      <c r="G81" s="1488"/>
      <c r="H81" s="1488"/>
      <c r="I81" s="1488"/>
      <c r="J81" s="1488"/>
      <c r="K81" s="1488"/>
      <c r="L81" s="1488"/>
      <c r="M81" s="1488"/>
      <c r="N81" s="46"/>
      <c r="O81" s="46"/>
      <c r="P81" s="46"/>
      <c r="Q81" s="46"/>
      <c r="R81" s="46"/>
      <c r="S81" s="46"/>
    </row>
    <row r="82" spans="1:23" ht="16.5">
      <c r="A82" s="46"/>
      <c r="B82" s="46"/>
      <c r="C82" s="46"/>
      <c r="D82" s="70"/>
      <c r="E82" s="1489" t="s">
        <v>178</v>
      </c>
      <c r="F82" s="1489"/>
      <c r="G82" s="1489"/>
      <c r="H82" s="1489"/>
      <c r="I82" s="1489"/>
      <c r="J82" s="1489"/>
      <c r="K82" s="1489"/>
      <c r="L82" s="1489"/>
      <c r="M82" s="1489"/>
      <c r="N82" s="46"/>
      <c r="O82" s="46"/>
      <c r="P82" s="46"/>
      <c r="Q82" s="46"/>
      <c r="R82" s="46"/>
      <c r="S82" s="46"/>
    </row>
    <row r="83" spans="1:23" ht="16.5" customHeight="1">
      <c r="A83" s="46"/>
      <c r="B83" s="46"/>
      <c r="C83" s="46"/>
      <c r="D83" s="70"/>
      <c r="E83" s="1490" t="s">
        <v>179</v>
      </c>
      <c r="F83" s="1490"/>
      <c r="G83" s="1490"/>
      <c r="H83" s="1490"/>
      <c r="I83" s="1490"/>
      <c r="J83" s="1490"/>
      <c r="K83" s="1490"/>
      <c r="L83" s="1490"/>
      <c r="M83" s="1490"/>
      <c r="N83" s="46"/>
      <c r="O83" s="46"/>
      <c r="P83" s="46"/>
      <c r="Q83" s="46"/>
      <c r="R83" s="46"/>
      <c r="S83" s="46"/>
    </row>
    <row r="84" spans="1:23" ht="17.25" customHeight="1">
      <c r="A84" s="46"/>
      <c r="B84" s="46"/>
      <c r="C84" s="46"/>
      <c r="D84" s="70"/>
      <c r="E84" s="1492" t="str">
        <f>Diadanh&amp;", "&amp;Doingay(VLOOKUP(P2,ListBBCV!A6:AD124,7,0))</f>
        <v>Ninh Hải,  ngày 9 tháng 5 năm 2020</v>
      </c>
      <c r="F84" s="1492"/>
      <c r="G84" s="1492"/>
      <c r="H84" s="1492"/>
      <c r="I84" s="1492"/>
      <c r="J84" s="1492"/>
      <c r="K84" s="1492"/>
      <c r="L84" s="1492"/>
      <c r="M84" s="1492"/>
      <c r="N84" s="46"/>
      <c r="O84" s="46"/>
      <c r="P84" s="46"/>
      <c r="Q84" s="46"/>
      <c r="R84" s="46"/>
      <c r="S84" s="46"/>
      <c r="W84" s="53"/>
    </row>
    <row r="85" spans="1:23" ht="6" customHeight="1">
      <c r="A85" s="46"/>
      <c r="B85" s="46"/>
      <c r="C85" s="46"/>
      <c r="D85" s="70"/>
      <c r="E85" s="47"/>
      <c r="F85" s="47"/>
      <c r="G85" s="47"/>
      <c r="H85" s="47"/>
      <c r="I85" s="47"/>
      <c r="J85" s="47"/>
      <c r="K85" s="47"/>
      <c r="L85" s="47"/>
      <c r="M85" s="47"/>
      <c r="N85" s="46"/>
      <c r="O85" s="46"/>
      <c r="P85" s="46"/>
      <c r="Q85" s="46"/>
      <c r="R85" s="46"/>
      <c r="S85" s="46"/>
    </row>
    <row r="86" spans="1:23" ht="40.5" customHeight="1">
      <c r="A86" s="46"/>
      <c r="B86" s="46"/>
      <c r="C86" s="46"/>
      <c r="D86" s="70"/>
      <c r="E86" s="1480" t="s">
        <v>193</v>
      </c>
      <c r="F86" s="1481"/>
      <c r="G86" s="1481"/>
      <c r="H86" s="1481"/>
      <c r="I86" s="1481"/>
      <c r="J86" s="1481"/>
      <c r="K86" s="1481"/>
      <c r="L86" s="1481"/>
      <c r="M86" s="1481"/>
      <c r="N86" s="46"/>
      <c r="O86" s="46"/>
      <c r="P86" s="46"/>
      <c r="Q86" s="46"/>
      <c r="R86" s="46"/>
      <c r="S86" s="46"/>
    </row>
    <row r="87" spans="1:23" ht="16.5">
      <c r="A87" s="46"/>
      <c r="B87" s="46"/>
      <c r="C87" s="46"/>
      <c r="D87" s="70"/>
      <c r="E87" s="1491" t="str">
        <f>"Phiếu số: "&amp;IFERROR(TEXT(VLOOKUP(P2,ListBBCV!A6:AD124,15,0),"00"),"     ")&amp;"/YCNT"</f>
        <v>Phiếu số: 01/YCNT</v>
      </c>
      <c r="F87" s="1491"/>
      <c r="G87" s="1491"/>
      <c r="H87" s="1491"/>
      <c r="I87" s="1491"/>
      <c r="J87" s="1491"/>
      <c r="K87" s="1491"/>
      <c r="L87" s="1491"/>
      <c r="M87" s="1491"/>
      <c r="N87" s="46"/>
      <c r="O87" s="46"/>
      <c r="P87" s="46"/>
      <c r="Q87" s="46"/>
      <c r="R87" s="46"/>
      <c r="S87" s="46"/>
    </row>
    <row r="88" spans="1:23" ht="7.5" customHeight="1">
      <c r="A88" s="46"/>
      <c r="B88" s="46"/>
      <c r="C88" s="46"/>
      <c r="D88" s="70"/>
      <c r="E88" s="47"/>
      <c r="F88" s="47"/>
      <c r="G88" s="47"/>
      <c r="H88" s="47"/>
      <c r="I88" s="47"/>
      <c r="J88" s="47"/>
      <c r="K88" s="47"/>
      <c r="L88" s="47"/>
      <c r="M88" s="47"/>
      <c r="N88" s="46"/>
      <c r="O88" s="46"/>
      <c r="P88" s="46"/>
      <c r="Q88" s="46"/>
      <c r="R88" s="46"/>
      <c r="S88" s="46"/>
    </row>
    <row r="89" spans="1:23" ht="16.5">
      <c r="A89" s="46"/>
      <c r="B89" s="46"/>
      <c r="C89" s="46"/>
      <c r="D89" s="70"/>
      <c r="E89" s="1482" t="s">
        <v>194</v>
      </c>
      <c r="F89" s="1482"/>
      <c r="G89" s="1453" t="str">
        <f>"- "&amp;CĐT</f>
        <v>- Công ty TNHH MTV khai thác công trình thủy lợi Ninh Thuận</v>
      </c>
      <c r="H89" s="1453"/>
      <c r="I89" s="1453"/>
      <c r="J89" s="1453"/>
      <c r="K89" s="1453"/>
      <c r="L89" s="1453"/>
      <c r="M89" s="1453"/>
      <c r="N89" s="46"/>
      <c r="O89" s="46"/>
      <c r="P89" s="46"/>
      <c r="Q89" s="46"/>
      <c r="R89" s="46"/>
      <c r="S89" s="46"/>
    </row>
    <row r="90" spans="1:23" ht="16.5" hidden="1">
      <c r="A90" s="46"/>
      <c r="B90" s="46"/>
      <c r="C90" s="46"/>
      <c r="D90" s="70"/>
      <c r="E90" s="975"/>
      <c r="F90" s="975"/>
      <c r="G90" s="1453" t="str">
        <f>IF(G89=IF(DD_CDT&lt;&gt;"","- "&amp;DD_CDT,""),"",IF(DD_CDT&lt;&gt;"","- "&amp;DD_CDT,""))</f>
        <v/>
      </c>
      <c r="H90" s="1453"/>
      <c r="I90" s="1453"/>
      <c r="J90" s="1453"/>
      <c r="K90" s="1453"/>
      <c r="L90" s="1453"/>
      <c r="M90" s="1453"/>
      <c r="N90" s="46"/>
      <c r="O90" s="46"/>
      <c r="P90" s="46"/>
      <c r="Q90" s="46"/>
      <c r="R90" s="46"/>
      <c r="S90" s="46"/>
    </row>
    <row r="91" spans="1:23" ht="16.5">
      <c r="A91" s="46"/>
      <c r="B91" s="46"/>
      <c r="C91" s="46"/>
      <c r="D91" s="70"/>
      <c r="E91" s="47"/>
      <c r="F91" s="47"/>
      <c r="G91" s="1453" t="str">
        <f>"- "&amp;DVGS</f>
        <v>- Công ty TNHH Tư vấn Đầu tư Xây dựng Huy Đạt</v>
      </c>
      <c r="H91" s="1453"/>
      <c r="I91" s="1453"/>
      <c r="J91" s="1453"/>
      <c r="K91" s="1453"/>
      <c r="L91" s="1453"/>
      <c r="M91" s="1453"/>
      <c r="N91" s="46"/>
      <c r="O91" s="46"/>
      <c r="P91" s="46"/>
      <c r="Q91" s="46"/>
      <c r="R91" s="46"/>
      <c r="S91" s="46"/>
    </row>
    <row r="92" spans="1:23" ht="5.25" customHeight="1">
      <c r="A92" s="46"/>
      <c r="B92" s="46"/>
      <c r="C92" s="46"/>
      <c r="D92" s="70"/>
      <c r="E92" s="47"/>
      <c r="F92" s="47"/>
      <c r="G92" s="976"/>
      <c r="H92" s="976"/>
      <c r="I92" s="976"/>
      <c r="J92" s="976"/>
      <c r="K92" s="976"/>
      <c r="L92" s="976"/>
      <c r="M92" s="976"/>
      <c r="N92" s="46"/>
      <c r="O92" s="46"/>
      <c r="P92" s="46"/>
      <c r="Q92" s="46"/>
      <c r="R92" s="46"/>
      <c r="S92" s="46"/>
    </row>
    <row r="93" spans="1:23" ht="39" customHeight="1">
      <c r="A93" s="46"/>
      <c r="B93" s="46"/>
      <c r="C93" s="46"/>
      <c r="D93" s="70"/>
      <c r="E93" s="1452" t="s">
        <v>5487</v>
      </c>
      <c r="F93" s="1452"/>
      <c r="G93" s="1452"/>
      <c r="H93" s="1452"/>
      <c r="I93" s="1452"/>
      <c r="J93" s="1452"/>
      <c r="K93" s="1452"/>
      <c r="L93" s="1452"/>
      <c r="M93" s="1452"/>
      <c r="N93" s="46"/>
      <c r="O93" s="46"/>
      <c r="P93" s="46"/>
      <c r="Q93" s="46"/>
      <c r="R93" s="46"/>
      <c r="S93" s="46"/>
    </row>
    <row r="94" spans="1:23" ht="45" customHeight="1">
      <c r="A94" s="46"/>
      <c r="B94" s="46"/>
      <c r="C94" s="46"/>
      <c r="D94" s="70"/>
      <c r="E94" s="1452" t="s">
        <v>5488</v>
      </c>
      <c r="F94" s="1452"/>
      <c r="G94" s="1452"/>
      <c r="H94" s="1452"/>
      <c r="I94" s="1452"/>
      <c r="J94" s="1452"/>
      <c r="K94" s="1452"/>
      <c r="L94" s="1452"/>
      <c r="M94" s="1452"/>
      <c r="N94" s="46"/>
      <c r="O94" s="46"/>
      <c r="P94" s="46"/>
      <c r="Q94" s="46"/>
      <c r="R94" s="46"/>
      <c r="S94" s="46"/>
    </row>
    <row r="95" spans="1:23" ht="45" customHeight="1">
      <c r="A95" s="46"/>
      <c r="B95" s="46"/>
      <c r="C95" s="46"/>
      <c r="D95" s="70"/>
      <c r="E95" s="1452" t="str">
        <f>"     - Căn cứ Hợp đồng số: "&amp;Hopdong&amp;" giữa "&amp;CĐT&amp;" và "&amp;IF(LEN(Liendanh),Liendanh,DVTC)</f>
        <v xml:space="preserve">     - Căn cứ Hợp đồng số: 01/2020/HĐXD-TD ngày 28 tháng 04 năm 2020 giữa Công ty TNHH MTV khai thác công trình thủy lợi Ninh Thuận và Công ty TNHH Xây dựng Thịnh Dũng</v>
      </c>
      <c r="F95" s="1452"/>
      <c r="G95" s="1452"/>
      <c r="H95" s="1452"/>
      <c r="I95" s="1452"/>
      <c r="J95" s="1452"/>
      <c r="K95" s="1452"/>
      <c r="L95" s="1452"/>
      <c r="M95" s="1452"/>
      <c r="N95" s="46"/>
      <c r="O95" s="46"/>
      <c r="P95" s="46"/>
      <c r="Q95" s="46"/>
      <c r="R95" s="46"/>
      <c r="S95" s="46"/>
    </row>
    <row r="96" spans="1:23" ht="70.5" customHeight="1">
      <c r="A96" s="46"/>
      <c r="B96" s="46"/>
      <c r="C96" s="46"/>
      <c r="D96" s="70"/>
      <c r="E96" s="1493" t="s">
        <v>4340</v>
      </c>
      <c r="F96" s="1493"/>
      <c r="G96" s="1493"/>
      <c r="H96" s="1493"/>
      <c r="I96" s="1493"/>
      <c r="J96" s="1493"/>
      <c r="K96" s="1493"/>
      <c r="L96" s="1493"/>
      <c r="M96" s="1493"/>
      <c r="N96" s="46"/>
      <c r="O96" s="46"/>
      <c r="P96" s="46"/>
      <c r="Q96" s="46"/>
      <c r="R96" s="46"/>
      <c r="S96" s="46"/>
    </row>
    <row r="97" spans="1:21" ht="16.5">
      <c r="A97" s="46"/>
      <c r="B97" s="46"/>
      <c r="C97" s="46"/>
      <c r="D97" s="70"/>
      <c r="E97" s="1453" t="s">
        <v>4343</v>
      </c>
      <c r="F97" s="1453"/>
      <c r="G97" s="1453"/>
      <c r="H97" s="1453"/>
      <c r="I97" s="1453"/>
      <c r="J97" s="1453"/>
      <c r="K97" s="1453"/>
      <c r="L97" s="1453"/>
      <c r="M97" s="1453"/>
      <c r="N97" s="46"/>
      <c r="O97" s="46"/>
      <c r="P97" s="46"/>
      <c r="Q97" s="46"/>
      <c r="R97" s="46"/>
      <c r="S97" s="46"/>
    </row>
    <row r="98" spans="1:21" ht="16.5">
      <c r="A98" s="46"/>
      <c r="B98" s="46"/>
      <c r="C98" s="46"/>
      <c r="D98" s="70"/>
      <c r="E98" s="47"/>
      <c r="F98" s="47"/>
      <c r="G98" s="47"/>
      <c r="H98" s="47"/>
      <c r="I98" s="47"/>
      <c r="J98" s="47"/>
      <c r="K98" s="47"/>
      <c r="L98" s="47"/>
      <c r="M98" s="47"/>
      <c r="N98" s="46"/>
      <c r="O98" s="46"/>
      <c r="P98" s="46"/>
      <c r="Q98" s="46"/>
      <c r="R98" s="46"/>
      <c r="S98" s="46"/>
    </row>
    <row r="99" spans="1:21" ht="18.75" customHeight="1">
      <c r="A99" s="46"/>
      <c r="B99" s="46"/>
      <c r="C99" s="46"/>
      <c r="D99" s="70"/>
      <c r="E99" s="1497" t="s">
        <v>195</v>
      </c>
      <c r="F99" s="1466"/>
      <c r="G99" s="1466"/>
      <c r="H99" s="1466"/>
      <c r="I99" s="1466"/>
      <c r="J99" s="1466"/>
      <c r="K99" s="1466"/>
      <c r="L99" s="1466"/>
      <c r="M99" s="1466"/>
      <c r="N99" s="46"/>
      <c r="O99" s="46"/>
      <c r="P99" s="46"/>
      <c r="Q99" s="46"/>
      <c r="R99" s="46"/>
      <c r="S99" s="46"/>
    </row>
    <row r="100" spans="1:21" ht="20.100000000000001" customHeight="1">
      <c r="A100" s="46"/>
      <c r="B100" s="46"/>
      <c r="C100" s="46"/>
      <c r="D100" s="70"/>
      <c r="E100" s="1454" t="str">
        <f>E20</f>
        <v xml:space="preserve">     - Tên công việc nghiệm thu: Đào đất hố móng</v>
      </c>
      <c r="F100" s="1464"/>
      <c r="G100" s="1464"/>
      <c r="H100" s="1464"/>
      <c r="I100" s="1464"/>
      <c r="J100" s="1464"/>
      <c r="K100" s="1464"/>
      <c r="L100" s="1464"/>
      <c r="M100" s="1464"/>
      <c r="N100" s="46"/>
      <c r="O100" s="46"/>
      <c r="P100" s="46"/>
      <c r="Q100" s="46"/>
      <c r="R100" s="46"/>
      <c r="S100" s="46"/>
      <c r="T100" s="44">
        <f>IF(E100&lt;&gt;"",ROW(),"")</f>
        <v>100</v>
      </c>
      <c r="U100" s="48"/>
    </row>
    <row r="101" spans="1:21" ht="20.100000000000001" customHeight="1">
      <c r="A101" s="46"/>
      <c r="B101" s="46"/>
      <c r="C101" s="46"/>
      <c r="D101" s="70"/>
      <c r="E101" s="1454" t="str">
        <f>E21</f>
        <v xml:space="preserve">     - Vị trí xây dựng trên công trình: Đoạn Km0+300 đến Km0+400</v>
      </c>
      <c r="F101" s="1464"/>
      <c r="G101" s="1464"/>
      <c r="H101" s="1464"/>
      <c r="I101" s="1464"/>
      <c r="J101" s="1464"/>
      <c r="K101" s="1464"/>
      <c r="L101" s="1464"/>
      <c r="M101" s="1464"/>
      <c r="N101" s="46"/>
      <c r="O101" s="46"/>
      <c r="P101" s="46"/>
      <c r="Q101" s="46"/>
      <c r="R101" s="46"/>
      <c r="S101" s="46"/>
      <c r="T101" s="44">
        <f>IF(E101&lt;&gt;"",ROW(),"")</f>
        <v>101</v>
      </c>
      <c r="U101" s="48"/>
    </row>
    <row r="102" spans="1:21" ht="4.5" customHeight="1">
      <c r="A102" s="46"/>
      <c r="B102" s="46"/>
      <c r="C102" s="46"/>
      <c r="D102" s="70"/>
      <c r="E102" s="697"/>
      <c r="F102" s="698"/>
      <c r="G102" s="698"/>
      <c r="H102" s="698"/>
      <c r="I102" s="698"/>
      <c r="J102" s="698"/>
      <c r="K102" s="698"/>
      <c r="L102" s="698"/>
      <c r="M102" s="698"/>
      <c r="N102" s="46"/>
      <c r="O102" s="46"/>
      <c r="P102" s="46"/>
      <c r="Q102" s="46"/>
      <c r="R102" s="46"/>
      <c r="S102" s="46"/>
      <c r="U102" s="48"/>
    </row>
    <row r="103" spans="1:21" ht="18.75" customHeight="1">
      <c r="A103" s="46"/>
      <c r="B103" s="46"/>
      <c r="C103" s="46"/>
      <c r="D103" s="70"/>
      <c r="E103" s="1497" t="s">
        <v>196</v>
      </c>
      <c r="F103" s="1466"/>
      <c r="G103" s="1466"/>
      <c r="H103" s="1466"/>
      <c r="I103" s="1466"/>
      <c r="J103" s="1466"/>
      <c r="K103" s="1466"/>
      <c r="L103" s="1466"/>
      <c r="M103" s="1466"/>
      <c r="N103" s="46"/>
      <c r="O103" s="46"/>
      <c r="P103" s="46"/>
      <c r="Q103" s="46"/>
      <c r="R103" s="46"/>
      <c r="S103" s="46"/>
    </row>
    <row r="104" spans="1:21" ht="16.5">
      <c r="A104" s="46"/>
      <c r="B104" s="46"/>
      <c r="C104" s="46"/>
      <c r="D104" s="70"/>
      <c r="E104" s="1498" t="str">
        <f>"     - "&amp;F146</f>
        <v xml:space="preserve">     -  Bắt đầu: 07 giờ 45 phút , ngày 10 tháng 5 năm 2020</v>
      </c>
      <c r="F104" s="1498"/>
      <c r="G104" s="1498"/>
      <c r="H104" s="1498"/>
      <c r="I104" s="1498"/>
      <c r="J104" s="1498"/>
      <c r="K104" s="1498"/>
      <c r="L104" s="1498"/>
      <c r="M104" s="1498"/>
      <c r="N104" s="46"/>
      <c r="O104" s="46"/>
      <c r="P104" s="46"/>
      <c r="Q104" s="46"/>
      <c r="R104" s="46"/>
      <c r="S104" s="46"/>
    </row>
    <row r="105" spans="1:21" ht="36.6" customHeight="1">
      <c r="A105" s="46"/>
      <c r="B105" s="46"/>
      <c r="C105" s="46"/>
      <c r="D105" s="70"/>
      <c r="E105" s="1493" t="str">
        <f>E34</f>
        <v xml:space="preserve">     - Vị trí tại công trình : Gia cố nâng cấp kênh Bà Xoài từ K0+300÷K0+600 - Hệ thống thủy lợi Nha Trinh, huyện Ninh Hải, tỉnh Ninh Thuận</v>
      </c>
      <c r="F105" s="1494"/>
      <c r="G105" s="1494"/>
      <c r="H105" s="1494"/>
      <c r="I105" s="1494"/>
      <c r="J105" s="1494"/>
      <c r="K105" s="1494"/>
      <c r="L105" s="1494"/>
      <c r="M105" s="1494"/>
      <c r="N105" s="46"/>
      <c r="O105" s="46"/>
      <c r="P105" s="46"/>
      <c r="Q105" s="46"/>
      <c r="R105" s="46"/>
      <c r="S105" s="46"/>
      <c r="U105" s="44">
        <f>IF(E105&lt;&gt;"",ROW(),"")</f>
        <v>105</v>
      </c>
    </row>
    <row r="106" spans="1:21" ht="3.75" customHeight="1">
      <c r="A106" s="46"/>
      <c r="B106" s="46"/>
      <c r="C106" s="46"/>
      <c r="D106" s="70"/>
      <c r="E106" s="699" t="str">
        <f>BienbanVatlieu!E99</f>
        <v xml:space="preserve">   Vậy kính mong CĐT và Đơn vị tư vấn giám sát có mặt đúng thời gian để triển khai công việc đảm bảo đúng tiến độ thi công.</v>
      </c>
      <c r="F106" s="700"/>
      <c r="G106" s="700"/>
      <c r="H106" s="700"/>
      <c r="I106" s="700"/>
      <c r="J106" s="700"/>
      <c r="K106" s="700"/>
      <c r="L106" s="700"/>
      <c r="M106" s="700"/>
      <c r="N106" s="46"/>
      <c r="O106" s="46"/>
      <c r="P106" s="46"/>
      <c r="Q106" s="46"/>
      <c r="R106" s="46"/>
      <c r="S106" s="46"/>
    </row>
    <row r="107" spans="1:21" ht="39.75" customHeight="1">
      <c r="A107" s="46"/>
      <c r="B107" s="46"/>
      <c r="C107" s="46"/>
      <c r="D107" s="70"/>
      <c r="E107" s="1493" t="s">
        <v>4341</v>
      </c>
      <c r="F107" s="1493"/>
      <c r="G107" s="1493"/>
      <c r="H107" s="1493"/>
      <c r="I107" s="1493"/>
      <c r="J107" s="1493"/>
      <c r="K107" s="1493"/>
      <c r="L107" s="1493"/>
      <c r="M107" s="1493"/>
      <c r="N107" s="46"/>
      <c r="O107" s="46"/>
      <c r="P107" s="46"/>
      <c r="Q107" s="46"/>
      <c r="R107" s="46"/>
      <c r="S107" s="46"/>
    </row>
    <row r="108" spans="1:21" ht="20.100000000000001" customHeight="1">
      <c r="A108" s="46"/>
      <c r="B108" s="46"/>
      <c r="C108" s="46"/>
      <c r="D108" s="70"/>
      <c r="E108" s="1495" t="str">
        <f>BienbanVatlieu!E100</f>
        <v xml:space="preserve">   Xin trân trọng cảm ơn!</v>
      </c>
      <c r="F108" s="1496"/>
      <c r="G108" s="1496"/>
      <c r="H108" s="1496"/>
      <c r="I108" s="1496"/>
      <c r="J108" s="1496"/>
      <c r="K108" s="1496"/>
      <c r="L108" s="1496"/>
      <c r="M108" s="1496"/>
      <c r="N108" s="46"/>
      <c r="O108" s="46"/>
      <c r="P108" s="46"/>
      <c r="Q108" s="46"/>
      <c r="R108" s="46"/>
      <c r="S108" s="46"/>
      <c r="U108" s="44">
        <f>IF(E108&lt;&gt;"",ROW(),"")</f>
        <v>108</v>
      </c>
    </row>
    <row r="109" spans="1:21" ht="4.5" customHeight="1">
      <c r="A109" s="46"/>
      <c r="B109" s="46"/>
      <c r="C109" s="46"/>
      <c r="D109" s="70"/>
      <c r="E109" s="708"/>
      <c r="F109" s="709"/>
      <c r="G109" s="709"/>
      <c r="H109" s="709"/>
      <c r="I109" s="709"/>
      <c r="J109" s="709"/>
      <c r="K109" s="709"/>
      <c r="L109" s="709"/>
      <c r="M109" s="709"/>
      <c r="N109" s="46"/>
      <c r="O109" s="46"/>
      <c r="P109" s="46"/>
      <c r="Q109" s="46"/>
      <c r="R109" s="46"/>
      <c r="S109" s="46"/>
      <c r="U109" s="44" t="str">
        <f>IF(E109&lt;&gt;"",ROW(),"")</f>
        <v/>
      </c>
    </row>
    <row r="110" spans="1:21" ht="18.75">
      <c r="A110" s="46"/>
      <c r="B110" s="46"/>
      <c r="C110" s="46"/>
      <c r="D110" s="70"/>
      <c r="E110" s="1505" t="s">
        <v>1088</v>
      </c>
      <c r="F110" s="1506"/>
      <c r="G110" s="1506"/>
      <c r="H110" s="1506"/>
      <c r="I110" s="1507" t="str">
        <f>UPPER(DVTC)</f>
        <v>CÔNG TY TNHH XÂY DỰNG THỊNH DŨNG</v>
      </c>
      <c r="J110" s="1507"/>
      <c r="K110" s="1507"/>
      <c r="L110" s="1507"/>
      <c r="M110" s="1507"/>
      <c r="N110" s="46"/>
      <c r="O110" s="46"/>
      <c r="P110" s="46"/>
      <c r="Q110" s="46"/>
      <c r="R110" s="46"/>
      <c r="S110" s="46"/>
    </row>
    <row r="111" spans="1:21" ht="18.75" customHeight="1">
      <c r="A111" s="46"/>
      <c r="B111" s="46"/>
      <c r="C111" s="46"/>
      <c r="D111" s="70"/>
      <c r="E111" s="1508" t="s">
        <v>1089</v>
      </c>
      <c r="F111" s="1509"/>
      <c r="G111" s="1509"/>
      <c r="H111" s="1509"/>
      <c r="I111" s="1491" t="str">
        <f>CV_NguoiphatphieuYCNT</f>
        <v>Chỉ huy công trường</v>
      </c>
      <c r="J111" s="1491"/>
      <c r="K111" s="1491"/>
      <c r="L111" s="1491"/>
      <c r="M111" s="1491"/>
      <c r="N111" s="46"/>
      <c r="O111" s="46"/>
      <c r="P111" s="46"/>
      <c r="Q111" s="46"/>
      <c r="R111" s="46"/>
      <c r="S111" s="46"/>
    </row>
    <row r="112" spans="1:21" ht="18.75" customHeight="1">
      <c r="A112" s="46"/>
      <c r="B112" s="46"/>
      <c r="C112" s="46"/>
      <c r="D112" s="70"/>
      <c r="E112" s="1508" t="s">
        <v>1090</v>
      </c>
      <c r="F112" s="1509"/>
      <c r="G112" s="1509"/>
      <c r="H112" s="1509"/>
      <c r="I112" s="47"/>
      <c r="J112" s="47"/>
      <c r="K112" s="47"/>
      <c r="L112" s="47"/>
      <c r="M112" s="47"/>
      <c r="N112" s="46"/>
      <c r="O112" s="46"/>
      <c r="P112" s="46"/>
      <c r="Q112" s="46"/>
      <c r="R112" s="46"/>
      <c r="S112" s="46"/>
    </row>
    <row r="113" spans="1:19" ht="17.25" customHeight="1">
      <c r="A113" s="46"/>
      <c r="B113" s="46"/>
      <c r="C113" s="46"/>
      <c r="D113" s="70"/>
      <c r="E113" s="1499"/>
      <c r="F113" s="1478"/>
      <c r="G113" s="1478"/>
      <c r="H113" s="1478"/>
      <c r="I113" s="47"/>
      <c r="J113" s="47"/>
      <c r="K113" s="47"/>
      <c r="L113" s="47"/>
      <c r="M113" s="47"/>
      <c r="N113" s="46"/>
      <c r="O113" s="46"/>
      <c r="P113" s="46"/>
      <c r="Q113" s="46"/>
      <c r="R113" s="46"/>
      <c r="S113" s="46"/>
    </row>
    <row r="114" spans="1:19" ht="17.25" customHeight="1">
      <c r="A114" s="46"/>
      <c r="B114" s="46"/>
      <c r="C114" s="46"/>
      <c r="D114" s="70"/>
      <c r="E114" s="157"/>
      <c r="F114" s="154"/>
      <c r="G114" s="154"/>
      <c r="H114" s="154"/>
      <c r="I114" s="47"/>
      <c r="J114" s="47"/>
      <c r="K114" s="47"/>
      <c r="L114" s="47"/>
      <c r="M114" s="47"/>
      <c r="N114" s="46"/>
      <c r="O114" s="46"/>
      <c r="P114" s="46"/>
      <c r="Q114" s="46"/>
      <c r="R114" s="46"/>
      <c r="S114" s="46"/>
    </row>
    <row r="115" spans="1:19" ht="17.25" customHeight="1">
      <c r="A115" s="46"/>
      <c r="B115" s="46"/>
      <c r="C115" s="46"/>
      <c r="D115" s="70"/>
      <c r="E115" s="1499"/>
      <c r="F115" s="1478"/>
      <c r="G115" s="1478"/>
      <c r="H115" s="1478"/>
      <c r="I115" s="47"/>
      <c r="J115" s="47"/>
      <c r="K115" s="47"/>
      <c r="L115" s="47"/>
      <c r="M115" s="47"/>
      <c r="N115" s="46"/>
      <c r="O115" s="46"/>
      <c r="P115" s="46"/>
      <c r="Q115" s="46"/>
      <c r="R115" s="46"/>
      <c r="S115" s="46"/>
    </row>
    <row r="116" spans="1:19" ht="16.5">
      <c r="A116" s="46"/>
      <c r="B116" s="46"/>
      <c r="C116" s="46"/>
      <c r="D116" s="70"/>
      <c r="E116" s="47"/>
      <c r="F116" s="47"/>
      <c r="G116" s="47"/>
      <c r="H116" s="47"/>
      <c r="I116" s="47"/>
      <c r="J116" s="47"/>
      <c r="K116" s="47"/>
      <c r="L116" s="47"/>
      <c r="M116" s="47"/>
      <c r="N116" s="46"/>
      <c r="O116" s="46"/>
      <c r="P116" s="46"/>
      <c r="Q116" s="46"/>
      <c r="R116" s="46"/>
      <c r="S116" s="46"/>
    </row>
    <row r="117" spans="1:19" ht="16.5">
      <c r="A117" s="46"/>
      <c r="B117" s="46"/>
      <c r="C117" s="46"/>
      <c r="D117" s="70"/>
      <c r="E117" s="1500" t="str">
        <f>CBGS1</f>
        <v>Trần Trọng Liêm</v>
      </c>
      <c r="F117" s="1501"/>
      <c r="G117" s="1501"/>
      <c r="H117" s="1501"/>
      <c r="I117" s="1484" t="str">
        <f>CBKT1</f>
        <v>Hoàng Đình Tảng</v>
      </c>
      <c r="J117" s="1484"/>
      <c r="K117" s="1484"/>
      <c r="L117" s="1484"/>
      <c r="M117" s="1484"/>
      <c r="N117" s="46"/>
      <c r="O117" s="46"/>
      <c r="P117" s="46"/>
      <c r="Q117" s="46"/>
      <c r="R117" s="46"/>
      <c r="S117" s="46"/>
    </row>
    <row r="118" spans="1:19" ht="16.5">
      <c r="A118" s="46"/>
      <c r="B118" s="46"/>
      <c r="C118" s="46"/>
      <c r="D118" s="70"/>
      <c r="E118" s="1500"/>
      <c r="F118" s="1500"/>
      <c r="G118" s="1500"/>
      <c r="H118" s="1500"/>
      <c r="I118" s="1500"/>
      <c r="J118" s="1500"/>
      <c r="K118" s="1500"/>
      <c r="L118" s="1500"/>
      <c r="M118" s="1500"/>
      <c r="N118" s="46"/>
      <c r="O118" s="46"/>
      <c r="P118" s="46"/>
      <c r="Q118" s="46"/>
      <c r="R118" s="46"/>
      <c r="S118" s="46"/>
    </row>
    <row r="119" spans="1:19" ht="7.5" customHeight="1">
      <c r="A119" s="46"/>
      <c r="B119" s="46"/>
      <c r="C119" s="46"/>
      <c r="D119" s="70"/>
      <c r="N119" s="46"/>
      <c r="O119" s="46"/>
      <c r="P119" s="46"/>
      <c r="Q119" s="46"/>
      <c r="R119" s="46"/>
      <c r="S119" s="46"/>
    </row>
    <row r="120" spans="1:19" ht="8.25" customHeight="1">
      <c r="A120" s="46"/>
      <c r="B120" s="46"/>
      <c r="C120" s="46"/>
      <c r="D120" s="71"/>
      <c r="E120" s="1502"/>
      <c r="F120" s="1503"/>
      <c r="G120" s="1503"/>
      <c r="H120" s="1503"/>
      <c r="I120" s="1503"/>
      <c r="J120" s="1503"/>
      <c r="K120" s="1503"/>
      <c r="L120" s="1503"/>
      <c r="M120" s="1504"/>
      <c r="N120" s="56"/>
      <c r="O120" s="46"/>
      <c r="P120" s="46"/>
      <c r="Q120" s="46"/>
      <c r="R120" s="46"/>
      <c r="S120" s="46"/>
    </row>
    <row r="121" spans="1:19" ht="17.25" customHeight="1">
      <c r="A121" s="46"/>
      <c r="B121" s="46"/>
      <c r="C121" s="46"/>
      <c r="D121" s="70"/>
      <c r="E121" s="1514" t="s">
        <v>158</v>
      </c>
      <c r="F121" s="1478"/>
      <c r="G121" s="1478"/>
      <c r="H121" s="1478"/>
      <c r="I121" s="1478"/>
      <c r="J121" s="1478"/>
      <c r="K121" s="1478"/>
      <c r="L121" s="1478"/>
      <c r="M121" s="1478"/>
      <c r="N121" s="46"/>
      <c r="O121" s="46"/>
      <c r="P121" s="46"/>
      <c r="Q121" s="46"/>
      <c r="R121" s="46"/>
      <c r="S121" s="46"/>
    </row>
    <row r="122" spans="1:19" ht="18.75" customHeight="1">
      <c r="A122" s="46"/>
      <c r="B122" s="46"/>
      <c r="C122" s="46"/>
      <c r="D122" s="70"/>
      <c r="E122" s="1515" t="s">
        <v>178</v>
      </c>
      <c r="F122" s="1506"/>
      <c r="G122" s="1506"/>
      <c r="H122" s="1506"/>
      <c r="I122" s="1506"/>
      <c r="J122" s="1506"/>
      <c r="K122" s="1506"/>
      <c r="L122" s="1506"/>
      <c r="M122" s="1506"/>
      <c r="N122" s="46"/>
      <c r="O122" s="46"/>
      <c r="P122" s="46"/>
      <c r="Q122" s="46"/>
      <c r="R122" s="46"/>
      <c r="S122" s="46"/>
    </row>
    <row r="123" spans="1:19" ht="17.25" customHeight="1">
      <c r="A123" s="46"/>
      <c r="B123" s="46"/>
      <c r="C123" s="46"/>
      <c r="D123" s="70"/>
      <c r="E123" s="1490" t="s">
        <v>179</v>
      </c>
      <c r="F123" s="1490"/>
      <c r="G123" s="1490"/>
      <c r="H123" s="1490"/>
      <c r="I123" s="1490"/>
      <c r="J123" s="1490"/>
      <c r="K123" s="1490"/>
      <c r="L123" s="1490"/>
      <c r="M123" s="1490"/>
      <c r="N123" s="46"/>
      <c r="O123" s="46"/>
      <c r="P123" s="46"/>
      <c r="Q123" s="46"/>
      <c r="R123" s="46"/>
      <c r="S123" s="46"/>
    </row>
    <row r="124" spans="1:19" ht="18.75" customHeight="1">
      <c r="A124" s="46"/>
      <c r="B124" s="46"/>
      <c r="C124" s="46"/>
      <c r="D124" s="70"/>
      <c r="E124" s="1516" t="str">
        <f>Diadanh&amp;", "&amp;Doingay(VLOOKUP(P2,ListBBCV!A6:AD124,10,0))</f>
        <v>Ninh Hải,  ngày 10 tháng 5 năm 2020</v>
      </c>
      <c r="F124" s="1517"/>
      <c r="G124" s="1517"/>
      <c r="H124" s="1517"/>
      <c r="I124" s="1517"/>
      <c r="J124" s="1517"/>
      <c r="K124" s="1517"/>
      <c r="L124" s="1517"/>
      <c r="M124" s="1517"/>
      <c r="N124" s="46"/>
      <c r="O124" s="46"/>
      <c r="P124" s="46"/>
      <c r="Q124" s="46"/>
      <c r="R124" s="46"/>
      <c r="S124" s="46"/>
    </row>
    <row r="125" spans="1:19" ht="6" customHeight="1">
      <c r="A125" s="46"/>
      <c r="B125" s="46"/>
      <c r="C125" s="46"/>
      <c r="D125" s="70"/>
      <c r="E125" s="57"/>
      <c r="F125" s="57"/>
      <c r="G125" s="57"/>
      <c r="H125" s="57"/>
      <c r="I125" s="57"/>
      <c r="J125" s="57"/>
      <c r="K125" s="57"/>
      <c r="L125" s="57"/>
      <c r="M125" s="57"/>
      <c r="N125" s="46"/>
      <c r="O125" s="46"/>
      <c r="P125" s="46"/>
      <c r="Q125" s="46"/>
      <c r="R125" s="46"/>
      <c r="S125" s="46"/>
    </row>
    <row r="126" spans="1:19" ht="18.75" customHeight="1">
      <c r="A126" s="46"/>
      <c r="B126" s="46"/>
      <c r="C126" s="46"/>
      <c r="D126" s="70"/>
      <c r="E126" s="1518" t="str">
        <f>"BIÊN BẢN: "&amp;IFERROR(TEXT(VLOOKUP(P2,ListBBCV!A6:AD124,15,0),"00"),"     ")&amp;"/NTCV"</f>
        <v>BIÊN BẢN: 01/NTCV</v>
      </c>
      <c r="F126" s="1506"/>
      <c r="G126" s="1506"/>
      <c r="H126" s="1506"/>
      <c r="I126" s="1506"/>
      <c r="J126" s="1506"/>
      <c r="K126" s="1506"/>
      <c r="L126" s="1506"/>
      <c r="M126" s="1506"/>
      <c r="N126" s="46"/>
      <c r="O126" s="46"/>
      <c r="P126" s="46"/>
      <c r="Q126" s="46"/>
      <c r="R126" s="46"/>
      <c r="S126" s="46"/>
    </row>
    <row r="127" spans="1:19" ht="20.25" customHeight="1">
      <c r="A127" s="46"/>
      <c r="B127" s="46"/>
      <c r="C127" s="46"/>
      <c r="D127" s="70"/>
      <c r="E127" s="1510" t="s">
        <v>197</v>
      </c>
      <c r="F127" s="1511"/>
      <c r="G127" s="1511"/>
      <c r="H127" s="1511"/>
      <c r="I127" s="1511"/>
      <c r="J127" s="1511"/>
      <c r="K127" s="1511"/>
      <c r="L127" s="1511"/>
      <c r="M127" s="1511"/>
      <c r="N127" s="46"/>
      <c r="O127" s="46"/>
      <c r="P127" s="46"/>
      <c r="Q127" s="46"/>
      <c r="R127" s="46"/>
      <c r="S127" s="46"/>
    </row>
    <row r="128" spans="1:19" ht="16.5">
      <c r="A128" s="46"/>
      <c r="B128" s="46"/>
      <c r="C128" s="46"/>
      <c r="D128" s="70"/>
      <c r="E128" s="58"/>
      <c r="F128" s="158"/>
      <c r="G128" s="158"/>
      <c r="H128" s="158"/>
      <c r="I128" s="158"/>
      <c r="J128" s="158"/>
      <c r="K128" s="158"/>
      <c r="L128" s="158"/>
      <c r="M128" s="158"/>
      <c r="N128" s="46"/>
      <c r="O128" s="46"/>
      <c r="P128" s="46"/>
      <c r="Q128" s="46"/>
      <c r="R128" s="46"/>
      <c r="S128" s="46"/>
    </row>
    <row r="129" spans="1:21" ht="36.6" customHeight="1">
      <c r="A129" s="46"/>
      <c r="B129" s="46"/>
      <c r="C129" s="46"/>
      <c r="D129" s="70"/>
      <c r="E129" s="1512" t="str">
        <f>E14</f>
        <v>Công trình: Gia cố nâng cấp kênh Bà Xoài từ K0+300÷K0+600 - Hệ thống thủy lợi Nha Trinh, huyện Ninh Hải, tỉnh Ninh Thuận</v>
      </c>
      <c r="F129" s="1452"/>
      <c r="G129" s="1452"/>
      <c r="H129" s="1452"/>
      <c r="I129" s="1452"/>
      <c r="J129" s="1452"/>
      <c r="K129" s="1452"/>
      <c r="L129" s="1452"/>
      <c r="M129" s="1452"/>
      <c r="N129" s="46"/>
      <c r="O129" s="46"/>
      <c r="P129" s="46"/>
      <c r="Q129" s="46"/>
      <c r="R129" s="46"/>
      <c r="S129" s="46"/>
      <c r="U129" s="44">
        <f>ROW()</f>
        <v>129</v>
      </c>
    </row>
    <row r="130" spans="1:21" ht="20.100000000000001" hidden="1" customHeight="1">
      <c r="A130" s="46"/>
      <c r="B130" s="46"/>
      <c r="C130" s="46"/>
      <c r="D130" s="70"/>
      <c r="E130" s="1513" t="str">
        <f>E15</f>
        <v/>
      </c>
      <c r="F130" s="1465"/>
      <c r="G130" s="1465"/>
      <c r="H130" s="1465"/>
      <c r="I130" s="1465"/>
      <c r="J130" s="1465"/>
      <c r="K130" s="1465"/>
      <c r="L130" s="1465"/>
      <c r="M130" s="1465"/>
      <c r="N130" s="46"/>
      <c r="O130" s="46"/>
      <c r="P130" s="46"/>
      <c r="Q130" s="46"/>
      <c r="R130" s="46"/>
      <c r="S130" s="46"/>
      <c r="U130" s="44">
        <f>ROW()</f>
        <v>130</v>
      </c>
    </row>
    <row r="131" spans="1:21" ht="20.100000000000001" customHeight="1">
      <c r="A131" s="46"/>
      <c r="B131" s="46"/>
      <c r="C131" s="46"/>
      <c r="D131" s="70"/>
      <c r="E131" s="1513" t="str">
        <f>E16</f>
        <v>Hạng mục: Kênh và Công trình trên kênh</v>
      </c>
      <c r="F131" s="1465"/>
      <c r="G131" s="1465"/>
      <c r="H131" s="1465"/>
      <c r="I131" s="1465"/>
      <c r="J131" s="1465"/>
      <c r="K131" s="1465"/>
      <c r="L131" s="1465"/>
      <c r="M131" s="1465"/>
      <c r="N131" s="46"/>
      <c r="O131" s="46"/>
      <c r="P131" s="46"/>
      <c r="Q131" s="46"/>
      <c r="R131" s="46"/>
      <c r="S131" s="46"/>
      <c r="U131" s="44">
        <f>ROW()</f>
        <v>131</v>
      </c>
    </row>
    <row r="132" spans="1:21" ht="20.100000000000001" customHeight="1">
      <c r="A132" s="46"/>
      <c r="B132" s="46"/>
      <c r="C132" s="46"/>
      <c r="D132" s="70"/>
      <c r="E132" s="1513" t="str">
        <f>E17</f>
        <v>Địa điểm xây dựng : Huyện Ninh Hải - Tỉnh Ninh Thuận</v>
      </c>
      <c r="F132" s="1465"/>
      <c r="G132" s="1465"/>
      <c r="H132" s="1465"/>
      <c r="I132" s="1465"/>
      <c r="J132" s="1465"/>
      <c r="K132" s="1465"/>
      <c r="L132" s="1465"/>
      <c r="M132" s="1465"/>
      <c r="N132" s="46"/>
      <c r="O132" s="46"/>
      <c r="P132" s="46"/>
      <c r="Q132" s="46"/>
      <c r="R132" s="46"/>
      <c r="S132" s="46"/>
      <c r="U132" s="44">
        <f>IF(E132&lt;&gt;"",ROW(),"")</f>
        <v>132</v>
      </c>
    </row>
    <row r="133" spans="1:21" ht="18.75" hidden="1" customHeight="1">
      <c r="A133" s="46"/>
      <c r="B133" s="46"/>
      <c r="C133" s="46"/>
      <c r="D133" s="70"/>
      <c r="E133" s="153"/>
      <c r="F133" s="153"/>
      <c r="G133" s="153"/>
      <c r="H133" s="153"/>
      <c r="I133" s="153"/>
      <c r="J133" s="153"/>
      <c r="K133" s="153"/>
      <c r="L133" s="153"/>
      <c r="M133" s="153"/>
      <c r="N133" s="46"/>
      <c r="O133" s="46"/>
      <c r="P133" s="46"/>
      <c r="Q133" s="46"/>
      <c r="R133" s="46"/>
      <c r="S133" s="46"/>
    </row>
    <row r="134" spans="1:21" ht="18.75" customHeight="1">
      <c r="A134" s="46"/>
      <c r="B134" s="46"/>
      <c r="C134" s="46"/>
      <c r="D134" s="70"/>
      <c r="E134" s="1456" t="s">
        <v>180</v>
      </c>
      <c r="F134" s="1456"/>
      <c r="G134" s="1456"/>
      <c r="H134" s="1456"/>
      <c r="I134" s="1456"/>
      <c r="J134" s="1456"/>
      <c r="K134" s="1456"/>
      <c r="L134" s="1456"/>
      <c r="M134" s="1456"/>
      <c r="N134" s="46"/>
      <c r="O134" s="46"/>
      <c r="P134" s="46"/>
      <c r="Q134" s="46"/>
      <c r="R134" s="46"/>
      <c r="S134" s="46"/>
    </row>
    <row r="135" spans="1:21" ht="20.100000000000001" customHeight="1">
      <c r="A135" s="46"/>
      <c r="B135" s="46"/>
      <c r="C135" s="46"/>
      <c r="D135" s="70"/>
      <c r="E135" s="1454" t="str">
        <f>E20</f>
        <v xml:space="preserve">     - Tên công việc nghiệm thu: Đào đất hố móng</v>
      </c>
      <c r="F135" s="1464"/>
      <c r="G135" s="1464"/>
      <c r="H135" s="1464"/>
      <c r="I135" s="1464"/>
      <c r="J135" s="1464"/>
      <c r="K135" s="1464"/>
      <c r="L135" s="1464"/>
      <c r="M135" s="1464"/>
      <c r="N135" s="46"/>
      <c r="O135" s="46"/>
      <c r="P135" s="46"/>
      <c r="Q135" s="46"/>
      <c r="R135" s="46"/>
      <c r="S135" s="46"/>
      <c r="T135" s="44">
        <f>IF(E135&lt;&gt;"",ROW(),"")</f>
        <v>135</v>
      </c>
      <c r="U135" s="48"/>
    </row>
    <row r="136" spans="1:21" ht="20.100000000000001" customHeight="1">
      <c r="A136" s="46"/>
      <c r="B136" s="46"/>
      <c r="C136" s="46"/>
      <c r="D136" s="70"/>
      <c r="E136" s="1454" t="str">
        <f>E21</f>
        <v xml:space="preserve">     - Vị trí xây dựng trên công trình: Đoạn Km0+300 đến Km0+400</v>
      </c>
      <c r="F136" s="1464"/>
      <c r="G136" s="1464"/>
      <c r="H136" s="1464"/>
      <c r="I136" s="1464"/>
      <c r="J136" s="1464"/>
      <c r="K136" s="1464"/>
      <c r="L136" s="1464"/>
      <c r="M136" s="1464"/>
      <c r="N136" s="46"/>
      <c r="O136" s="46"/>
      <c r="P136" s="46"/>
      <c r="Q136" s="46"/>
      <c r="R136" s="46"/>
      <c r="S136" s="46"/>
      <c r="T136" s="44">
        <f>IF(E136&lt;&gt;"",ROW(),"")</f>
        <v>136</v>
      </c>
      <c r="U136" s="48"/>
    </row>
    <row r="137" spans="1:21" ht="16.5">
      <c r="A137" s="46"/>
      <c r="B137" s="46"/>
      <c r="C137" s="46"/>
      <c r="D137" s="70"/>
      <c r="E137" s="1523" t="s">
        <v>198</v>
      </c>
      <c r="F137" s="1523"/>
      <c r="G137" s="1523"/>
      <c r="H137" s="1523"/>
      <c r="I137" s="1523"/>
      <c r="J137" s="1523"/>
      <c r="K137" s="1523"/>
      <c r="L137" s="1523"/>
      <c r="M137" s="1523"/>
      <c r="N137" s="46"/>
      <c r="O137" s="46"/>
      <c r="P137" s="46"/>
      <c r="Q137" s="46"/>
      <c r="R137" s="46"/>
      <c r="S137" s="46"/>
    </row>
    <row r="138" spans="1:21" ht="17.25" customHeight="1">
      <c r="A138" s="46"/>
      <c r="B138" s="46"/>
      <c r="C138" s="46"/>
      <c r="D138" s="70"/>
      <c r="E138" s="1479" t="str">
        <f>"a. Đại diện "&amp;LOWER(MID(Td_DVGS,1,1))&amp;MID(Td_DVGS,2,LEN(Td_DVGS))&amp;": "&amp;DVGS</f>
        <v>a. Đại diện đơn vị tư vấn giám sát: Công ty TNHH Tư vấn Đầu tư Xây dựng Huy Đạt</v>
      </c>
      <c r="F138" s="1524"/>
      <c r="G138" s="1524"/>
      <c r="H138" s="1524"/>
      <c r="I138" s="1524"/>
      <c r="J138" s="1524"/>
      <c r="K138" s="1524"/>
      <c r="L138" s="1524"/>
      <c r="M138" s="1524"/>
      <c r="N138" s="46"/>
      <c r="O138" s="46"/>
      <c r="P138" s="46"/>
      <c r="Q138" s="46"/>
      <c r="R138" s="46"/>
      <c r="S138" s="46"/>
      <c r="U138" s="44">
        <f>IF(E138&lt;&gt;"",ROW(),"")</f>
        <v>138</v>
      </c>
    </row>
    <row r="139" spans="1:21" ht="16.5">
      <c r="A139" s="46"/>
      <c r="B139" s="46"/>
      <c r="C139" s="46"/>
      <c r="D139" s="70"/>
      <c r="E139" s="47"/>
      <c r="F139" s="39" t="str">
        <f>GT_GS1&amp;CBGS1</f>
        <v>Ông: Trần Trọng Liêm</v>
      </c>
      <c r="H139" s="59"/>
      <c r="I139" s="38"/>
      <c r="J139" s="735" t="str">
        <f>"Chức vụ: "&amp;CV_CBGS1</f>
        <v>Chức vụ: Giám sát trưởng</v>
      </c>
      <c r="K139" s="41"/>
      <c r="L139" s="60"/>
      <c r="M139" s="60"/>
      <c r="N139" s="46"/>
      <c r="O139" s="46"/>
      <c r="P139" s="46"/>
      <c r="Q139" s="46"/>
      <c r="R139" s="46"/>
      <c r="S139" s="46"/>
    </row>
    <row r="140" spans="1:21" ht="16.5">
      <c r="A140" s="46"/>
      <c r="B140" s="46"/>
      <c r="C140" s="46"/>
      <c r="D140" s="70"/>
      <c r="E140" s="47"/>
      <c r="F140" s="39" t="str">
        <f>GT_GS2&amp;CBGS2</f>
        <v>Bà  : Nguyễn Thị Minh</v>
      </c>
      <c r="G140" s="39"/>
      <c r="H140" s="59"/>
      <c r="I140" s="38"/>
      <c r="J140" s="735" t="str">
        <f>"Chức vụ: "&amp;CV_CBGS2</f>
        <v>Chức vụ: Giám sát viên</v>
      </c>
      <c r="K140" s="41"/>
      <c r="L140" s="60"/>
      <c r="M140" s="60"/>
      <c r="N140" s="46"/>
      <c r="O140" s="46"/>
      <c r="P140" s="46"/>
      <c r="Q140" s="46"/>
      <c r="R140" s="46"/>
      <c r="S140" s="46"/>
    </row>
    <row r="141" spans="1:21" ht="22.5" hidden="1" customHeight="1">
      <c r="A141" s="46"/>
      <c r="B141" s="46"/>
      <c r="C141" s="46"/>
      <c r="D141" s="70"/>
      <c r="E141" s="1519" t="str">
        <f>IF(Liendanh&lt;&gt;"","b. Đại diện đơn vị thi công:  "&amp;Liendanh,"")</f>
        <v/>
      </c>
      <c r="F141" s="1520"/>
      <c r="G141" s="1520"/>
      <c r="H141" s="1520"/>
      <c r="I141" s="1520"/>
      <c r="J141" s="1520"/>
      <c r="K141" s="1520"/>
      <c r="L141" s="1520"/>
      <c r="M141" s="1520"/>
      <c r="N141" s="46"/>
      <c r="O141" s="46"/>
      <c r="P141" s="46"/>
      <c r="Q141" s="46"/>
      <c r="R141" s="46"/>
      <c r="S141" s="46"/>
      <c r="U141" s="44">
        <f>ROW()</f>
        <v>141</v>
      </c>
    </row>
    <row r="142" spans="1:21" ht="17.25" customHeight="1">
      <c r="A142" s="46"/>
      <c r="B142" s="46"/>
      <c r="C142" s="46"/>
      <c r="D142" s="70"/>
      <c r="E142" s="1525" t="str">
        <f>IF(Liendanh="","b. Đại diện "&amp;LOWER(MID(Td_DVTC,1,1))&amp;MID(Td_DVTC,2,LEN(Td_DVTC))&amp;":  "&amp;DVTC,"   * Đại diện đơn vị thi công trực tiếp:  "&amp;DVTC)</f>
        <v>b. Đại diện đơn vị thi công:  Công ty TNHH Xây dựng Thịnh Dũng</v>
      </c>
      <c r="F142" s="1526"/>
      <c r="G142" s="1526"/>
      <c r="H142" s="1526"/>
      <c r="I142" s="1526"/>
      <c r="J142" s="1526"/>
      <c r="K142" s="1526"/>
      <c r="L142" s="1526"/>
      <c r="M142" s="1526"/>
      <c r="N142" s="46"/>
      <c r="O142" s="46"/>
      <c r="P142" s="46"/>
      <c r="Q142" s="46"/>
      <c r="R142" s="46"/>
      <c r="S142" s="46"/>
      <c r="U142" s="44">
        <f>IF(E142&lt;&gt;"",ROW(),"")</f>
        <v>142</v>
      </c>
    </row>
    <row r="143" spans="1:21" ht="21.75" customHeight="1">
      <c r="A143" s="46"/>
      <c r="B143" s="46"/>
      <c r="C143" s="46"/>
      <c r="D143" s="70"/>
      <c r="E143" s="47"/>
      <c r="F143" s="166" t="str">
        <f>GT_CBKT1&amp;CBKT1</f>
        <v>Ông: Hoàng Đình Tảng</v>
      </c>
      <c r="G143" s="62"/>
      <c r="I143" s="63"/>
      <c r="J143" s="50" t="s">
        <v>15</v>
      </c>
      <c r="K143" s="51" t="str">
        <f>CV_CBKT1</f>
        <v>Chỉ huy công trường</v>
      </c>
      <c r="L143" s="54"/>
      <c r="M143" s="54"/>
      <c r="N143" s="46"/>
      <c r="O143" s="46"/>
      <c r="P143" s="46"/>
      <c r="Q143" s="46"/>
      <c r="R143" s="46"/>
      <c r="S143" s="46"/>
    </row>
    <row r="144" spans="1:21" ht="18.75" customHeight="1">
      <c r="A144" s="46"/>
      <c r="B144" s="46"/>
      <c r="C144" s="46"/>
      <c r="D144" s="70"/>
      <c r="E144" s="47"/>
      <c r="F144" s="166" t="str">
        <f>GT_CBKT2&amp;CBKT2</f>
        <v>Ông: Lê Thiên Phương</v>
      </c>
      <c r="G144" s="62"/>
      <c r="I144" s="63"/>
      <c r="J144" s="50" t="s">
        <v>15</v>
      </c>
      <c r="K144" s="51" t="str">
        <f>CV_CBKT2</f>
        <v>Kỹ thuật thi công</v>
      </c>
      <c r="L144" s="54"/>
      <c r="M144" s="54"/>
      <c r="N144" s="46"/>
      <c r="O144" s="46"/>
      <c r="P144" s="46"/>
      <c r="Q144" s="46"/>
      <c r="R144" s="46"/>
      <c r="S144" s="46"/>
    </row>
    <row r="145" spans="1:23" s="52" customFormat="1" ht="16.5">
      <c r="A145" s="64"/>
      <c r="B145" s="64"/>
      <c r="C145" s="64"/>
      <c r="D145" s="72"/>
      <c r="E145" s="1521" t="s">
        <v>181</v>
      </c>
      <c r="F145" s="1521"/>
      <c r="G145" s="1521"/>
      <c r="H145" s="1521"/>
      <c r="I145" s="1521"/>
      <c r="J145" s="1521"/>
      <c r="K145" s="1521"/>
      <c r="L145" s="1521"/>
      <c r="M145" s="1521"/>
      <c r="N145" s="64"/>
      <c r="O145" s="64"/>
      <c r="P145" s="64"/>
      <c r="Q145" s="64"/>
      <c r="R145" s="64"/>
      <c r="S145" s="64"/>
      <c r="T145" s="65"/>
      <c r="U145" s="65"/>
    </row>
    <row r="146" spans="1:23" ht="16.5">
      <c r="A146" s="46"/>
      <c r="B146" s="46"/>
      <c r="C146" s="46"/>
      <c r="D146" s="70"/>
      <c r="E146" s="49"/>
      <c r="F146" s="66" t="str">
        <f>" Bắt đầu: "&amp;TachgioBB(VLOOKUP(P2,ListBBCV!A6:AD124,9,0),1)&amp;","&amp;Doingay(VLOOKUP(P2,ListBBCV!A6:AD124,10,0))</f>
        <v xml:space="preserve"> Bắt đầu: 07 giờ 45 phút , ngày 10 tháng 5 năm 2020</v>
      </c>
      <c r="G146" s="49"/>
      <c r="H146" s="49"/>
      <c r="I146" s="49"/>
      <c r="J146" s="49"/>
      <c r="K146" s="49"/>
      <c r="L146" s="49"/>
      <c r="M146" s="49"/>
      <c r="N146" s="46"/>
      <c r="O146" s="46"/>
      <c r="P146" s="46"/>
      <c r="Q146" s="46"/>
      <c r="R146" s="46"/>
      <c r="S146" s="46"/>
      <c r="V146" s="44"/>
      <c r="W146" s="53"/>
    </row>
    <row r="147" spans="1:23" ht="16.5">
      <c r="A147" s="46"/>
      <c r="B147" s="46"/>
      <c r="C147" s="46"/>
      <c r="D147" s="70"/>
      <c r="E147" s="49"/>
      <c r="F147" s="66" t="str">
        <f>" Kết thúc: "&amp;TachgioBB(VLOOKUP(P2,ListBBCV!A6:AD124,9,0),2)&amp;","&amp;Doingay(VLOOKUP(P2,ListBBCV!A6:AD124,10,0))</f>
        <v xml:space="preserve"> Kết thúc: 08 giờ 25 phút , ngày 10 tháng 5 năm 2020</v>
      </c>
      <c r="G147" s="67"/>
      <c r="H147" s="67"/>
      <c r="I147" s="67"/>
      <c r="J147" s="67"/>
      <c r="K147" s="67"/>
      <c r="L147" s="67"/>
      <c r="M147" s="67"/>
      <c r="N147" s="46"/>
      <c r="O147" s="46"/>
      <c r="P147" s="46"/>
      <c r="Q147" s="46"/>
      <c r="R147" s="46"/>
      <c r="S147" s="46"/>
      <c r="V147" s="44"/>
    </row>
    <row r="148" spans="1:23" ht="36.6" customHeight="1">
      <c r="A148" s="46"/>
      <c r="B148" s="46"/>
      <c r="C148" s="46"/>
      <c r="D148" s="70"/>
      <c r="E148" s="1513" t="str">
        <f>E34</f>
        <v xml:space="preserve">     - Vị trí tại công trình : Gia cố nâng cấp kênh Bà Xoài từ K0+300÷K0+600 - Hệ thống thủy lợi Nha Trinh, huyện Ninh Hải, tỉnh Ninh Thuận</v>
      </c>
      <c r="F148" s="1522"/>
      <c r="G148" s="1522"/>
      <c r="H148" s="1522"/>
      <c r="I148" s="1522"/>
      <c r="J148" s="1522"/>
      <c r="K148" s="1522"/>
      <c r="L148" s="1522"/>
      <c r="M148" s="1522"/>
      <c r="N148" s="46"/>
      <c r="O148" s="46"/>
      <c r="P148" s="46"/>
      <c r="Q148" s="46"/>
      <c r="R148" s="46"/>
      <c r="S148" s="46"/>
      <c r="U148" s="44">
        <f>IF(E148&lt;&gt;"",ROW(),"")</f>
        <v>148</v>
      </c>
      <c r="V148" s="44"/>
    </row>
    <row r="149" spans="1:23" ht="16.5">
      <c r="A149" s="46"/>
      <c r="B149" s="46"/>
      <c r="C149" s="46"/>
      <c r="D149" s="70"/>
      <c r="E149" s="1521" t="s">
        <v>182</v>
      </c>
      <c r="F149" s="1521"/>
      <c r="G149" s="1521"/>
      <c r="H149" s="1521"/>
      <c r="I149" s="1521"/>
      <c r="J149" s="1521"/>
      <c r="K149" s="1521"/>
      <c r="L149" s="1521"/>
      <c r="M149" s="1521"/>
      <c r="N149" s="46"/>
      <c r="O149" s="46"/>
      <c r="P149" s="46"/>
      <c r="Q149" s="46"/>
      <c r="R149" s="46"/>
      <c r="S149" s="46"/>
    </row>
    <row r="150" spans="1:23" ht="20.100000000000001" customHeight="1">
      <c r="A150" s="46"/>
      <c r="B150" s="46"/>
      <c r="C150" s="46"/>
      <c r="D150" s="70"/>
      <c r="E150" s="1495" t="s">
        <v>4356</v>
      </c>
      <c r="F150" s="1496"/>
      <c r="G150" s="1496"/>
      <c r="H150" s="1496"/>
      <c r="I150" s="1496"/>
      <c r="J150" s="1496"/>
      <c r="K150" s="1496"/>
      <c r="L150" s="1496"/>
      <c r="M150" s="1496"/>
      <c r="N150" s="46"/>
      <c r="O150" s="46"/>
      <c r="P150" s="46"/>
      <c r="Q150" s="46"/>
      <c r="R150" s="46"/>
      <c r="S150" s="46"/>
      <c r="T150" s="44">
        <f t="shared" ref="T150:T175" si="1">IF(E150&lt;&gt;"",ROW(),"")</f>
        <v>150</v>
      </c>
    </row>
    <row r="151" spans="1:23" ht="36.6" customHeight="1">
      <c r="A151" s="46"/>
      <c r="B151" s="46"/>
      <c r="C151" s="46"/>
      <c r="D151" s="70"/>
      <c r="E151" s="1513" t="str">
        <f>IFERROR("b) Hồ sơ lập dự toán thi công: Hồ sơ lập dự toán thi công do "&amp;DVTK&amp;" lập và được cấp có thẩm quyền phê duyệt.","b) - Hồ sơ thiết kế bản vẽ thi công: Hồ sơ thiết kế bản vẽ thi công đã được phê duyệt.")</f>
        <v>b) Hồ sơ lập dự toán thi công: Hồ sơ lập dự toán thi công do Công ty TNHH Tư vấn Xây dựng Hưng Thịnh lập và được cấp có thẩm quyền phê duyệt.</v>
      </c>
      <c r="F151" s="1465"/>
      <c r="G151" s="1465"/>
      <c r="H151" s="1465"/>
      <c r="I151" s="1465"/>
      <c r="J151" s="1465"/>
      <c r="K151" s="1465"/>
      <c r="L151" s="1465"/>
      <c r="M151" s="1465"/>
      <c r="N151" s="46"/>
      <c r="O151" s="46"/>
      <c r="P151" s="46"/>
      <c r="Q151" s="46"/>
      <c r="R151" s="46"/>
      <c r="S151" s="46"/>
      <c r="U151" s="44">
        <f>IF(E151&lt;&gt;"",ROW(),"")</f>
        <v>151</v>
      </c>
    </row>
    <row r="152" spans="1:23" ht="16.5">
      <c r="A152" s="46"/>
      <c r="B152" s="46"/>
      <c r="C152" s="46"/>
      <c r="D152" s="70"/>
      <c r="E152" s="1528" t="s">
        <v>3881</v>
      </c>
      <c r="F152" s="1527"/>
      <c r="G152" s="1527"/>
      <c r="H152" s="1527"/>
      <c r="I152" s="1527"/>
      <c r="J152" s="1527"/>
      <c r="K152" s="1527"/>
      <c r="L152" s="1527"/>
      <c r="M152" s="1527"/>
      <c r="N152" s="46"/>
      <c r="O152" s="46"/>
      <c r="P152" s="46"/>
      <c r="Q152" s="46"/>
      <c r="R152" s="46"/>
      <c r="S152" s="46"/>
    </row>
    <row r="153" spans="1:23" ht="20.100000000000001" customHeight="1">
      <c r="A153" s="46"/>
      <c r="B153" s="46"/>
      <c r="C153" s="46"/>
      <c r="D153" s="70"/>
      <c r="E153" s="1527" t="s">
        <v>203</v>
      </c>
      <c r="F153" s="1466"/>
      <c r="G153" s="1466"/>
      <c r="H153" s="1466"/>
      <c r="I153" s="1466"/>
      <c r="J153" s="1466"/>
      <c r="K153" s="1466"/>
      <c r="L153" s="1466"/>
      <c r="M153" s="1466"/>
      <c r="N153" s="46"/>
      <c r="O153" s="46"/>
      <c r="P153" s="46"/>
      <c r="Q153" s="46"/>
      <c r="R153" s="46"/>
      <c r="S153" s="46"/>
      <c r="T153" s="44">
        <f>IF(E153&lt;&gt;"",ROW(),"")</f>
        <v>153</v>
      </c>
    </row>
    <row r="154" spans="1:23" ht="20.100000000000001" customHeight="1">
      <c r="A154" s="46"/>
      <c r="B154" s="46"/>
      <c r="C154" s="46"/>
      <c r="D154" s="70"/>
      <c r="E154" s="1464" t="s">
        <v>3847</v>
      </c>
      <c r="F154" s="1464"/>
      <c r="G154" s="1464"/>
      <c r="H154" s="1464"/>
      <c r="I154" s="1464"/>
      <c r="J154" s="1464"/>
      <c r="K154" s="1464"/>
      <c r="L154" s="1464"/>
      <c r="M154" s="1464"/>
      <c r="N154" s="46"/>
      <c r="O154" s="46"/>
      <c r="P154" s="46"/>
      <c r="Q154" s="46"/>
      <c r="R154" s="46"/>
      <c r="S154" s="46"/>
      <c r="T154" s="44">
        <f t="shared" si="1"/>
        <v>154</v>
      </c>
      <c r="U154" s="45"/>
    </row>
    <row r="155" spans="1:23" ht="20.100000000000001" customHeight="1">
      <c r="A155" s="46"/>
      <c r="B155" s="46"/>
      <c r="C155" s="46"/>
      <c r="D155" s="70"/>
      <c r="E155" s="1464" t="s">
        <v>5821</v>
      </c>
      <c r="F155" s="1464"/>
      <c r="G155" s="1464"/>
      <c r="H155" s="1464"/>
      <c r="I155" s="1464"/>
      <c r="J155" s="1464"/>
      <c r="K155" s="1464"/>
      <c r="L155" s="1464"/>
      <c r="M155" s="1464"/>
      <c r="N155" s="46"/>
      <c r="O155" s="46"/>
      <c r="P155" s="46"/>
      <c r="Q155" s="46"/>
      <c r="R155" s="46"/>
      <c r="S155" s="46"/>
      <c r="T155" s="44">
        <f t="shared" si="1"/>
        <v>155</v>
      </c>
      <c r="U155" s="45"/>
    </row>
    <row r="156" spans="1:23" ht="16.5" hidden="1">
      <c r="A156" s="46"/>
      <c r="B156" s="46"/>
      <c r="C156" s="46"/>
      <c r="D156" s="70"/>
      <c r="E156" s="1464"/>
      <c r="F156" s="1464"/>
      <c r="G156" s="1464"/>
      <c r="H156" s="1464"/>
      <c r="I156" s="1464"/>
      <c r="J156" s="1464"/>
      <c r="K156" s="1464"/>
      <c r="L156" s="1464"/>
      <c r="M156" s="1464"/>
      <c r="N156" s="46"/>
      <c r="O156" s="46"/>
      <c r="P156" s="46"/>
      <c r="Q156" s="46"/>
      <c r="R156" s="46"/>
      <c r="S156" s="46"/>
      <c r="T156" s="44" t="str">
        <f t="shared" si="1"/>
        <v/>
      </c>
      <c r="U156" s="45"/>
    </row>
    <row r="157" spans="1:23" ht="16.5" hidden="1">
      <c r="A157" s="46"/>
      <c r="B157" s="46"/>
      <c r="C157" s="46"/>
      <c r="D157" s="70"/>
      <c r="E157" s="1464"/>
      <c r="F157" s="1464"/>
      <c r="G157" s="1464"/>
      <c r="H157" s="1464"/>
      <c r="I157" s="1464"/>
      <c r="J157" s="1464"/>
      <c r="K157" s="1464"/>
      <c r="L157" s="1464"/>
      <c r="M157" s="1464"/>
      <c r="N157" s="46"/>
      <c r="O157" s="46"/>
      <c r="P157" s="46"/>
      <c r="Q157" s="46"/>
      <c r="R157" s="46"/>
      <c r="S157" s="46"/>
      <c r="T157" s="44" t="str">
        <f t="shared" si="1"/>
        <v/>
      </c>
      <c r="U157" s="45"/>
    </row>
    <row r="158" spans="1:23" ht="16.5" hidden="1">
      <c r="A158" s="46"/>
      <c r="B158" s="46"/>
      <c r="C158" s="46"/>
      <c r="D158" s="70"/>
      <c r="E158" s="1464"/>
      <c r="F158" s="1464"/>
      <c r="G158" s="1464"/>
      <c r="H158" s="1464"/>
      <c r="I158" s="1464"/>
      <c r="J158" s="1464"/>
      <c r="K158" s="1464"/>
      <c r="L158" s="1464"/>
      <c r="M158" s="1464"/>
      <c r="N158" s="46"/>
      <c r="O158" s="46"/>
      <c r="P158" s="46"/>
      <c r="Q158" s="46"/>
      <c r="R158" s="46"/>
      <c r="S158" s="46"/>
      <c r="T158" s="44" t="str">
        <f t="shared" si="1"/>
        <v/>
      </c>
      <c r="U158" s="45"/>
    </row>
    <row r="159" spans="1:23" ht="16.5" hidden="1">
      <c r="A159" s="46"/>
      <c r="B159" s="46"/>
      <c r="C159" s="46"/>
      <c r="D159" s="70"/>
      <c r="E159" s="1464"/>
      <c r="F159" s="1464"/>
      <c r="G159" s="1464"/>
      <c r="H159" s="1464"/>
      <c r="I159" s="1464"/>
      <c r="J159" s="1464"/>
      <c r="K159" s="1464"/>
      <c r="L159" s="1464"/>
      <c r="M159" s="1464"/>
      <c r="N159" s="46"/>
      <c r="O159" s="46"/>
      <c r="P159" s="46"/>
      <c r="Q159" s="46"/>
      <c r="R159" s="46"/>
      <c r="S159" s="46"/>
      <c r="T159" s="44" t="str">
        <f t="shared" si="1"/>
        <v/>
      </c>
      <c r="U159" s="45"/>
    </row>
    <row r="160" spans="1:23" ht="16.5" hidden="1">
      <c r="A160" s="46"/>
      <c r="B160" s="46"/>
      <c r="C160" s="46"/>
      <c r="D160" s="70"/>
      <c r="E160" s="1464"/>
      <c r="F160" s="1464"/>
      <c r="G160" s="1464"/>
      <c r="H160" s="1464"/>
      <c r="I160" s="1464"/>
      <c r="J160" s="1464"/>
      <c r="K160" s="1464"/>
      <c r="L160" s="1464"/>
      <c r="M160" s="1464"/>
      <c r="N160" s="46"/>
      <c r="O160" s="46"/>
      <c r="P160" s="46"/>
      <c r="Q160" s="46"/>
      <c r="R160" s="46"/>
      <c r="S160" s="46"/>
      <c r="T160" s="44" t="str">
        <f t="shared" si="1"/>
        <v/>
      </c>
      <c r="U160" s="45"/>
    </row>
    <row r="161" spans="1:21" ht="16.5" hidden="1">
      <c r="A161" s="46"/>
      <c r="B161" s="46"/>
      <c r="C161" s="46"/>
      <c r="D161" s="70"/>
      <c r="E161" s="1464"/>
      <c r="F161" s="1464"/>
      <c r="G161" s="1464"/>
      <c r="H161" s="1464"/>
      <c r="I161" s="1464"/>
      <c r="J161" s="1464"/>
      <c r="K161" s="1464"/>
      <c r="L161" s="1464"/>
      <c r="M161" s="1464"/>
      <c r="N161" s="46"/>
      <c r="O161" s="46"/>
      <c r="P161" s="46"/>
      <c r="Q161" s="46"/>
      <c r="R161" s="46"/>
      <c r="S161" s="46"/>
      <c r="T161" s="44" t="str">
        <f t="shared" si="1"/>
        <v/>
      </c>
      <c r="U161" s="45"/>
    </row>
    <row r="162" spans="1:21" ht="16.5" hidden="1">
      <c r="A162" s="46"/>
      <c r="B162" s="46"/>
      <c r="C162" s="46"/>
      <c r="D162" s="70"/>
      <c r="E162" s="1464"/>
      <c r="F162" s="1464"/>
      <c r="G162" s="1464"/>
      <c r="H162" s="1464"/>
      <c r="I162" s="1464"/>
      <c r="J162" s="1464"/>
      <c r="K162" s="1464"/>
      <c r="L162" s="1464"/>
      <c r="M162" s="1464"/>
      <c r="N162" s="46"/>
      <c r="O162" s="46"/>
      <c r="P162" s="46"/>
      <c r="Q162" s="46"/>
      <c r="R162" s="46"/>
      <c r="S162" s="46"/>
      <c r="T162" s="44" t="str">
        <f t="shared" si="1"/>
        <v/>
      </c>
      <c r="U162" s="45"/>
    </row>
    <row r="163" spans="1:21" ht="16.5">
      <c r="A163" s="46"/>
      <c r="B163" s="46"/>
      <c r="C163" s="46"/>
      <c r="D163" s="70"/>
      <c r="E163" s="1530" t="s">
        <v>4288</v>
      </c>
      <c r="F163" s="1530"/>
      <c r="G163" s="1530"/>
      <c r="H163" s="1530"/>
      <c r="I163" s="1530"/>
      <c r="J163" s="1530"/>
      <c r="K163" s="1530"/>
      <c r="L163" s="1530"/>
      <c r="M163" s="1530"/>
      <c r="N163" s="46"/>
      <c r="O163" s="46"/>
      <c r="P163" s="46"/>
      <c r="Q163" s="46"/>
      <c r="R163" s="46"/>
      <c r="S163" s="46"/>
      <c r="U163" s="45"/>
    </row>
    <row r="164" spans="1:21" ht="53.1" customHeight="1">
      <c r="A164" s="46"/>
      <c r="B164" s="46"/>
      <c r="C164" s="46"/>
      <c r="D164" s="70"/>
      <c r="E164" s="1464" t="str">
        <f>"d) Tài liệu chỉ dẫn kỹ thuật có liên quan: Hợp đồng số: "&amp;Hopdong&amp;" giữa "&amp;CĐT&amp;" và "&amp;DVTC</f>
        <v>d) Tài liệu chỉ dẫn kỹ thuật có liên quan: Hợp đồng số: 01/2020/HĐXD-TD ngày 28 tháng 04 năm 2020 giữa Công ty TNHH MTV khai thác công trình thủy lợi Ninh Thuận và Công ty TNHH Xây dựng Thịnh Dũng</v>
      </c>
      <c r="F164" s="1455"/>
      <c r="G164" s="1455"/>
      <c r="H164" s="1455"/>
      <c r="I164" s="1455"/>
      <c r="J164" s="1455"/>
      <c r="K164" s="1455"/>
      <c r="L164" s="1455"/>
      <c r="M164" s="1455"/>
      <c r="N164" s="46"/>
      <c r="O164" s="46"/>
      <c r="P164" s="46"/>
      <c r="Q164" s="46"/>
      <c r="R164" s="46"/>
      <c r="S164" s="46"/>
      <c r="U164" s="44">
        <f>IF(E164&lt;&gt;"",ROW(),"")</f>
        <v>164</v>
      </c>
    </row>
    <row r="165" spans="1:21" ht="16.5">
      <c r="A165" s="46"/>
      <c r="B165" s="46"/>
      <c r="C165" s="46"/>
      <c r="D165" s="70"/>
      <c r="E165" s="1529" t="s">
        <v>422</v>
      </c>
      <c r="F165" s="1529"/>
      <c r="G165" s="1529"/>
      <c r="H165" s="1529"/>
      <c r="I165" s="1529"/>
      <c r="J165" s="1529"/>
      <c r="K165" s="1529"/>
      <c r="L165" s="1529"/>
      <c r="M165" s="1529"/>
      <c r="N165" s="46"/>
      <c r="O165" s="46"/>
      <c r="P165" s="46"/>
      <c r="Q165" s="46"/>
      <c r="R165" s="46"/>
      <c r="S165" s="46"/>
    </row>
    <row r="166" spans="1:21" ht="16.5" hidden="1">
      <c r="A166" s="46"/>
      <c r="B166" s="46"/>
      <c r="C166" s="46"/>
      <c r="D166" s="70"/>
      <c r="E166" s="1464"/>
      <c r="F166" s="1464"/>
      <c r="G166" s="1464"/>
      <c r="H166" s="1464"/>
      <c r="I166" s="1464"/>
      <c r="J166" s="1464"/>
      <c r="K166" s="1464"/>
      <c r="L166" s="1464"/>
      <c r="M166" s="1464"/>
      <c r="N166" s="46"/>
      <c r="O166" s="46"/>
      <c r="P166" s="46"/>
      <c r="Q166" s="46"/>
      <c r="R166" s="46"/>
      <c r="S166" s="46"/>
      <c r="T166" s="44" t="str">
        <f>IF(E166&lt;&gt;"",ROW(),"")</f>
        <v/>
      </c>
    </row>
    <row r="167" spans="1:21" ht="16.5" hidden="1">
      <c r="A167" s="46"/>
      <c r="B167" s="46"/>
      <c r="C167" s="46"/>
      <c r="D167" s="70"/>
      <c r="E167" s="1464"/>
      <c r="F167" s="1464"/>
      <c r="G167" s="1464"/>
      <c r="H167" s="1464"/>
      <c r="I167" s="1464"/>
      <c r="J167" s="1464"/>
      <c r="K167" s="1464"/>
      <c r="L167" s="1464"/>
      <c r="M167" s="1464"/>
      <c r="N167" s="46"/>
      <c r="O167" s="46"/>
      <c r="P167" s="46"/>
      <c r="Q167" s="46"/>
      <c r="R167" s="46"/>
      <c r="S167" s="46"/>
      <c r="T167" s="44" t="str">
        <f t="shared" si="1"/>
        <v/>
      </c>
    </row>
    <row r="168" spans="1:21" ht="16.5" hidden="1">
      <c r="A168" s="46"/>
      <c r="B168" s="46"/>
      <c r="C168" s="46"/>
      <c r="D168" s="70"/>
      <c r="E168" s="1464"/>
      <c r="F168" s="1464"/>
      <c r="G168" s="1464"/>
      <c r="H168" s="1464"/>
      <c r="I168" s="1464"/>
      <c r="J168" s="1464"/>
      <c r="K168" s="1464"/>
      <c r="L168" s="1464"/>
      <c r="M168" s="1464"/>
      <c r="N168" s="46"/>
      <c r="O168" s="46"/>
      <c r="P168" s="46"/>
      <c r="Q168" s="46"/>
      <c r="R168" s="46"/>
      <c r="S168" s="46"/>
      <c r="T168" s="44" t="str">
        <f t="shared" si="1"/>
        <v/>
      </c>
    </row>
    <row r="169" spans="1:21" ht="16.5" hidden="1">
      <c r="A169" s="46"/>
      <c r="B169" s="46"/>
      <c r="C169" s="46"/>
      <c r="D169" s="70"/>
      <c r="E169" s="1464"/>
      <c r="F169" s="1464"/>
      <c r="G169" s="1464"/>
      <c r="H169" s="1464"/>
      <c r="I169" s="1464"/>
      <c r="J169" s="1464"/>
      <c r="K169" s="1464"/>
      <c r="L169" s="1464"/>
      <c r="M169" s="1464"/>
      <c r="N169" s="46"/>
      <c r="O169" s="46"/>
      <c r="P169" s="46"/>
      <c r="Q169" s="46"/>
      <c r="R169" s="46"/>
      <c r="S169" s="46"/>
      <c r="T169" s="44" t="str">
        <f t="shared" si="1"/>
        <v/>
      </c>
    </row>
    <row r="170" spans="1:21" ht="16.5" hidden="1">
      <c r="A170" s="46"/>
      <c r="B170" s="46"/>
      <c r="C170" s="46"/>
      <c r="D170" s="70"/>
      <c r="E170" s="1464"/>
      <c r="F170" s="1464"/>
      <c r="G170" s="1464"/>
      <c r="H170" s="1464"/>
      <c r="I170" s="1464"/>
      <c r="J170" s="1464"/>
      <c r="K170" s="1464"/>
      <c r="L170" s="1464"/>
      <c r="M170" s="1464"/>
      <c r="N170" s="46"/>
      <c r="O170" s="46"/>
      <c r="P170" s="46"/>
      <c r="Q170" s="46"/>
      <c r="R170" s="46"/>
      <c r="S170" s="46"/>
      <c r="T170" s="44" t="str">
        <f t="shared" si="1"/>
        <v/>
      </c>
    </row>
    <row r="171" spans="1:21" ht="16.5" hidden="1">
      <c r="A171" s="46"/>
      <c r="B171" s="46"/>
      <c r="C171" s="46"/>
      <c r="D171" s="70"/>
      <c r="E171" s="1464"/>
      <c r="F171" s="1464"/>
      <c r="G171" s="1464"/>
      <c r="H171" s="1464"/>
      <c r="I171" s="1464"/>
      <c r="J171" s="1464"/>
      <c r="K171" s="1464"/>
      <c r="L171" s="1464"/>
      <c r="M171" s="1464"/>
      <c r="N171" s="46"/>
      <c r="O171" s="46"/>
      <c r="P171" s="46"/>
      <c r="Q171" s="46"/>
      <c r="R171" s="46"/>
      <c r="S171" s="46"/>
      <c r="T171" s="44" t="str">
        <f t="shared" si="1"/>
        <v/>
      </c>
    </row>
    <row r="172" spans="1:21" ht="16.5" hidden="1">
      <c r="A172" s="46"/>
      <c r="B172" s="46"/>
      <c r="C172" s="46"/>
      <c r="D172" s="70"/>
      <c r="E172" s="1464"/>
      <c r="F172" s="1464"/>
      <c r="G172" s="1464"/>
      <c r="H172" s="1464"/>
      <c r="I172" s="1464"/>
      <c r="J172" s="1464"/>
      <c r="K172" s="1464"/>
      <c r="L172" s="1464"/>
      <c r="M172" s="1464"/>
      <c r="N172" s="46"/>
      <c r="O172" s="46"/>
      <c r="P172" s="46"/>
      <c r="Q172" s="46"/>
      <c r="R172" s="46"/>
      <c r="S172" s="46"/>
      <c r="T172" s="44" t="str">
        <f t="shared" si="1"/>
        <v/>
      </c>
    </row>
    <row r="173" spans="1:21" ht="16.5" hidden="1">
      <c r="A173" s="46"/>
      <c r="B173" s="46"/>
      <c r="C173" s="46"/>
      <c r="D173" s="70"/>
      <c r="E173" s="1464"/>
      <c r="F173" s="1464"/>
      <c r="G173" s="1464"/>
      <c r="H173" s="1464"/>
      <c r="I173" s="1464"/>
      <c r="J173" s="1464"/>
      <c r="K173" s="1464"/>
      <c r="L173" s="1464"/>
      <c r="M173" s="1464"/>
      <c r="N173" s="46"/>
      <c r="O173" s="46"/>
      <c r="P173" s="46"/>
      <c r="Q173" s="46"/>
      <c r="R173" s="46"/>
      <c r="S173" s="46"/>
      <c r="T173" s="44" t="str">
        <f t="shared" si="1"/>
        <v/>
      </c>
    </row>
    <row r="174" spans="1:21" ht="16.5" hidden="1">
      <c r="A174" s="46"/>
      <c r="B174" s="46"/>
      <c r="C174" s="46"/>
      <c r="D174" s="70"/>
      <c r="E174" s="1464"/>
      <c r="F174" s="1464"/>
      <c r="G174" s="1464"/>
      <c r="H174" s="1464"/>
      <c r="I174" s="1464"/>
      <c r="J174" s="1464"/>
      <c r="K174" s="1464"/>
      <c r="L174" s="1464"/>
      <c r="M174" s="1464"/>
      <c r="N174" s="46"/>
      <c r="O174" s="46"/>
      <c r="P174" s="46"/>
      <c r="Q174" s="46"/>
      <c r="R174" s="46"/>
      <c r="S174" s="46"/>
      <c r="T174" s="44" t="str">
        <f t="shared" si="1"/>
        <v/>
      </c>
    </row>
    <row r="175" spans="1:21" ht="16.5" hidden="1">
      <c r="A175" s="46"/>
      <c r="B175" s="46"/>
      <c r="C175" s="46"/>
      <c r="D175" s="70"/>
      <c r="E175" s="1464"/>
      <c r="F175" s="1464"/>
      <c r="G175" s="1464"/>
      <c r="H175" s="1464"/>
      <c r="I175" s="1464"/>
      <c r="J175" s="1464"/>
      <c r="K175" s="1464"/>
      <c r="L175" s="1464"/>
      <c r="M175" s="1464"/>
      <c r="N175" s="46"/>
      <c r="O175" s="46"/>
      <c r="P175" s="46"/>
      <c r="Q175" s="46"/>
      <c r="R175" s="46"/>
      <c r="S175" s="46"/>
      <c r="T175" s="44" t="str">
        <f t="shared" si="1"/>
        <v/>
      </c>
      <c r="U175" s="45"/>
    </row>
    <row r="176" spans="1:21" ht="36.6" customHeight="1">
      <c r="A176" s="46"/>
      <c r="B176" s="46"/>
      <c r="C176" s="46"/>
      <c r="D176" s="70"/>
      <c r="E176" s="1464" t="s">
        <v>1091</v>
      </c>
      <c r="F176" s="1455"/>
      <c r="G176" s="1455"/>
      <c r="H176" s="1455"/>
      <c r="I176" s="1455"/>
      <c r="J176" s="1455"/>
      <c r="K176" s="1455"/>
      <c r="L176" s="1455"/>
      <c r="M176" s="1455"/>
      <c r="N176" s="46"/>
      <c r="O176" s="46"/>
      <c r="P176" s="46"/>
      <c r="Q176" s="46"/>
      <c r="R176" s="46"/>
      <c r="S176" s="46"/>
      <c r="T176" s="44" t="str">
        <f>IF(D176&lt;&gt;"",ROW(),"")</f>
        <v/>
      </c>
      <c r="U176" s="44">
        <f>IF(E176&lt;&gt;"",ROW(),"")</f>
        <v>176</v>
      </c>
    </row>
    <row r="177" spans="1:19" ht="22.5" customHeight="1">
      <c r="A177" s="46"/>
      <c r="B177" s="46"/>
      <c r="C177" s="46"/>
      <c r="D177" s="70"/>
      <c r="E177" s="1513" t="s">
        <v>4357</v>
      </c>
      <c r="F177" s="1465"/>
      <c r="G177" s="1465"/>
      <c r="H177" s="1465"/>
      <c r="I177" s="1465"/>
      <c r="J177" s="1465"/>
      <c r="K177" s="1465"/>
      <c r="L177" s="1465"/>
      <c r="M177" s="1465"/>
      <c r="N177" s="46"/>
      <c r="O177" s="46"/>
      <c r="P177" s="46"/>
      <c r="Q177" s="46"/>
      <c r="R177" s="46"/>
      <c r="S177" s="46"/>
    </row>
    <row r="178" spans="1:19" ht="16.5">
      <c r="A178" s="46"/>
      <c r="B178" s="46"/>
      <c r="C178" s="46"/>
      <c r="D178" s="70"/>
      <c r="E178" s="1532" t="s">
        <v>183</v>
      </c>
      <c r="F178" s="1532"/>
      <c r="G178" s="1532"/>
      <c r="H178" s="1532"/>
      <c r="I178" s="1532"/>
      <c r="J178" s="1532"/>
      <c r="K178" s="1532"/>
      <c r="L178" s="1532"/>
      <c r="M178" s="1532"/>
      <c r="N178" s="46"/>
      <c r="O178" s="46"/>
      <c r="P178" s="46"/>
      <c r="Q178" s="46"/>
      <c r="R178" s="46"/>
      <c r="S178" s="46"/>
    </row>
    <row r="179" spans="1:19" ht="17.25">
      <c r="A179" s="46"/>
      <c r="B179" s="46"/>
      <c r="C179" s="46"/>
      <c r="D179" s="70"/>
      <c r="E179" s="1533" t="s">
        <v>184</v>
      </c>
      <c r="F179" s="1533"/>
      <c r="G179" s="1533"/>
      <c r="H179" s="1533"/>
      <c r="I179" s="1533"/>
      <c r="J179" s="1533"/>
      <c r="K179" s="1533"/>
      <c r="L179" s="1533"/>
      <c r="M179" s="1533"/>
      <c r="N179" s="46"/>
      <c r="O179" s="46"/>
      <c r="P179" s="46"/>
      <c r="Q179" s="46"/>
      <c r="R179" s="46"/>
      <c r="S179" s="46"/>
    </row>
    <row r="180" spans="1:19" ht="18.75" customHeight="1">
      <c r="A180" s="46"/>
      <c r="B180" s="46"/>
      <c r="C180" s="46"/>
      <c r="D180" s="70"/>
      <c r="E180" s="1531" t="s">
        <v>185</v>
      </c>
      <c r="F180" s="1475"/>
      <c r="G180" s="1475"/>
      <c r="H180" s="1475"/>
      <c r="I180" s="1475"/>
      <c r="J180" s="1475"/>
      <c r="K180" s="1475"/>
      <c r="L180" s="1475"/>
      <c r="M180" s="1475"/>
      <c r="N180" s="46"/>
      <c r="O180" s="46"/>
      <c r="P180" s="46"/>
      <c r="Q180" s="46"/>
      <c r="R180" s="46"/>
      <c r="S180" s="46"/>
    </row>
    <row r="181" spans="1:19" ht="19.5" customHeight="1">
      <c r="A181" s="46"/>
      <c r="B181" s="46"/>
      <c r="C181" s="46"/>
      <c r="D181" s="70"/>
      <c r="E181" s="1534" t="s">
        <v>186</v>
      </c>
      <c r="F181" s="1535"/>
      <c r="G181" s="1535"/>
      <c r="H181" s="1535"/>
      <c r="I181" s="1535"/>
      <c r="J181" s="1535"/>
      <c r="K181" s="1535"/>
      <c r="L181" s="1535"/>
      <c r="M181" s="1535"/>
      <c r="N181" s="46"/>
      <c r="O181" s="46"/>
      <c r="P181" s="46"/>
      <c r="Q181" s="46"/>
      <c r="R181" s="46"/>
      <c r="S181" s="46"/>
    </row>
    <row r="182" spans="1:19" ht="37.5" customHeight="1">
      <c r="A182" s="46"/>
      <c r="B182" s="46"/>
      <c r="C182" s="46"/>
      <c r="D182" s="70"/>
      <c r="E182" s="1546" t="s">
        <v>187</v>
      </c>
      <c r="F182" s="1547"/>
      <c r="G182" s="1547"/>
      <c r="H182" s="1547"/>
      <c r="I182" s="1547"/>
      <c r="J182" s="1547"/>
      <c r="K182" s="1547"/>
      <c r="L182" s="1547"/>
      <c r="M182" s="1547"/>
      <c r="N182" s="46"/>
      <c r="O182" s="46"/>
      <c r="P182" s="46"/>
      <c r="Q182" s="46"/>
      <c r="R182" s="46"/>
      <c r="S182" s="46"/>
    </row>
    <row r="183" spans="1:19" ht="17.25">
      <c r="A183" s="46"/>
      <c r="B183" s="46"/>
      <c r="C183" s="46"/>
      <c r="D183" s="70"/>
      <c r="E183" s="1533" t="s">
        <v>188</v>
      </c>
      <c r="F183" s="1533"/>
      <c r="G183" s="1533"/>
      <c r="H183" s="1533"/>
      <c r="I183" s="1533"/>
      <c r="J183" s="1533"/>
      <c r="K183" s="1533"/>
      <c r="L183" s="1533"/>
      <c r="M183" s="1533"/>
      <c r="N183" s="46"/>
      <c r="O183" s="46"/>
      <c r="P183" s="46"/>
      <c r="Q183" s="46"/>
      <c r="R183" s="46"/>
      <c r="S183" s="46"/>
    </row>
    <row r="184" spans="1:19" ht="18.75" customHeight="1">
      <c r="A184" s="46"/>
      <c r="B184" s="46"/>
      <c r="C184" s="46"/>
      <c r="D184" s="70"/>
      <c r="E184" s="1531" t="s">
        <v>189</v>
      </c>
      <c r="F184" s="1475"/>
      <c r="G184" s="1475"/>
      <c r="H184" s="1475"/>
      <c r="I184" s="1475"/>
      <c r="J184" s="1475"/>
      <c r="K184" s="1475"/>
      <c r="L184" s="1475"/>
      <c r="M184" s="1475"/>
      <c r="N184" s="46"/>
      <c r="O184" s="46"/>
      <c r="P184" s="46"/>
      <c r="Q184" s="46"/>
      <c r="R184" s="46"/>
      <c r="S184" s="46"/>
    </row>
    <row r="185" spans="1:19" ht="17.25">
      <c r="A185" s="46"/>
      <c r="B185" s="46"/>
      <c r="C185" s="46"/>
      <c r="D185" s="70"/>
      <c r="E185" s="1533" t="s">
        <v>190</v>
      </c>
      <c r="F185" s="1533"/>
      <c r="G185" s="1533"/>
      <c r="H185" s="1533"/>
      <c r="I185" s="1533"/>
      <c r="J185" s="1533"/>
      <c r="K185" s="1533"/>
      <c r="L185" s="1533"/>
      <c r="M185" s="1533"/>
      <c r="N185" s="46"/>
      <c r="O185" s="46"/>
      <c r="P185" s="46"/>
      <c r="Q185" s="46"/>
      <c r="R185" s="46"/>
      <c r="S185" s="46"/>
    </row>
    <row r="186" spans="1:19" ht="18.75" customHeight="1">
      <c r="A186" s="46"/>
      <c r="B186" s="46"/>
      <c r="C186" s="46"/>
      <c r="D186" s="70"/>
      <c r="E186" s="1531" t="s">
        <v>191</v>
      </c>
      <c r="F186" s="1475"/>
      <c r="G186" s="1475"/>
      <c r="H186" s="1475"/>
      <c r="I186" s="1475"/>
      <c r="J186" s="1475"/>
      <c r="K186" s="1475"/>
      <c r="L186" s="1475"/>
      <c r="M186" s="1475"/>
      <c r="N186" s="46"/>
      <c r="O186" s="46"/>
      <c r="P186" s="46"/>
      <c r="Q186" s="46"/>
      <c r="R186" s="46"/>
      <c r="S186" s="46"/>
    </row>
    <row r="187" spans="1:19" ht="17.25">
      <c r="A187" s="46"/>
      <c r="B187" s="46"/>
      <c r="C187" s="46"/>
      <c r="D187" s="70"/>
      <c r="E187" s="1533" t="s">
        <v>200</v>
      </c>
      <c r="F187" s="1533"/>
      <c r="G187" s="1533"/>
      <c r="H187" s="1533"/>
      <c r="I187" s="1533"/>
      <c r="J187" s="1533"/>
      <c r="K187" s="1533"/>
      <c r="L187" s="1533"/>
      <c r="M187" s="1533"/>
      <c r="N187" s="46"/>
      <c r="O187" s="46"/>
      <c r="P187" s="46"/>
      <c r="Q187" s="46"/>
      <c r="R187" s="46"/>
      <c r="S187" s="46"/>
    </row>
    <row r="188" spans="1:19" ht="18.75" customHeight="1">
      <c r="A188" s="46"/>
      <c r="B188" s="46"/>
      <c r="C188" s="46"/>
      <c r="D188" s="70"/>
      <c r="E188" s="1531" t="s">
        <v>191</v>
      </c>
      <c r="F188" s="1475"/>
      <c r="G188" s="1475"/>
      <c r="H188" s="1475"/>
      <c r="I188" s="1475"/>
      <c r="J188" s="1475"/>
      <c r="K188" s="1475"/>
      <c r="L188" s="1475"/>
      <c r="M188" s="1475"/>
      <c r="N188" s="46"/>
      <c r="O188" s="46"/>
      <c r="P188" s="46"/>
      <c r="Q188" s="46"/>
      <c r="R188" s="46"/>
      <c r="S188" s="46"/>
    </row>
    <row r="189" spans="1:19" ht="16.5">
      <c r="A189" s="46"/>
      <c r="B189" s="46"/>
      <c r="C189" s="46"/>
      <c r="D189" s="70"/>
      <c r="E189" s="1532" t="s">
        <v>192</v>
      </c>
      <c r="F189" s="1532"/>
      <c r="G189" s="1532"/>
      <c r="H189" s="1532"/>
      <c r="I189" s="1532"/>
      <c r="J189" s="1532"/>
      <c r="K189" s="1532"/>
      <c r="L189" s="1532"/>
      <c r="M189" s="1532"/>
      <c r="N189" s="46"/>
      <c r="O189" s="46"/>
      <c r="P189" s="46"/>
      <c r="Q189" s="46"/>
      <c r="R189" s="46"/>
      <c r="S189" s="46"/>
    </row>
    <row r="190" spans="1:19" ht="37.5" customHeight="1">
      <c r="A190" s="46"/>
      <c r="B190" s="46"/>
      <c r="C190" s="46"/>
      <c r="D190" s="70"/>
      <c r="E190" s="1544" t="s">
        <v>201</v>
      </c>
      <c r="F190" s="1545"/>
      <c r="G190" s="1545"/>
      <c r="H190" s="1545"/>
      <c r="I190" s="1545"/>
      <c r="J190" s="1545"/>
      <c r="K190" s="1545"/>
      <c r="L190" s="1545"/>
      <c r="M190" s="1545"/>
      <c r="N190" s="46"/>
      <c r="O190" s="46"/>
      <c r="P190" s="46"/>
      <c r="Q190" s="46"/>
      <c r="R190" s="46"/>
      <c r="S190" s="46"/>
    </row>
    <row r="191" spans="1:19" ht="7.5" customHeight="1">
      <c r="A191" s="46"/>
      <c r="B191" s="46"/>
      <c r="C191" s="46"/>
      <c r="D191" s="70"/>
      <c r="E191" s="49"/>
      <c r="F191" s="68"/>
      <c r="G191" s="49"/>
      <c r="H191" s="49"/>
      <c r="I191" s="49"/>
      <c r="J191" s="49"/>
      <c r="K191" s="49"/>
      <c r="L191" s="49"/>
      <c r="M191" s="49"/>
      <c r="N191" s="46"/>
      <c r="O191" s="46"/>
      <c r="P191" s="46"/>
      <c r="Q191" s="46"/>
      <c r="R191" s="46"/>
      <c r="S191" s="46"/>
    </row>
    <row r="192" spans="1:19" ht="17.25" customHeight="1">
      <c r="A192" s="46"/>
      <c r="B192" s="46"/>
      <c r="C192" s="46"/>
      <c r="D192" s="70"/>
      <c r="E192" s="1536" t="s">
        <v>166</v>
      </c>
      <c r="F192" s="1478"/>
      <c r="G192" s="1478"/>
      <c r="H192" s="1478"/>
      <c r="I192" s="1478"/>
      <c r="J192" s="1537" t="s">
        <v>167</v>
      </c>
      <c r="K192" s="1537"/>
      <c r="L192" s="1537"/>
      <c r="M192" s="1537"/>
      <c r="N192" s="46"/>
      <c r="O192" s="46"/>
      <c r="P192" s="46"/>
      <c r="Q192" s="46"/>
      <c r="R192" s="46"/>
      <c r="S192" s="46"/>
    </row>
    <row r="193" spans="1:19" ht="16.5">
      <c r="A193" s="46"/>
      <c r="B193" s="46"/>
      <c r="C193" s="46"/>
      <c r="D193" s="70"/>
      <c r="E193" s="49"/>
      <c r="F193" s="49"/>
      <c r="G193" s="49"/>
      <c r="H193" s="49"/>
      <c r="I193" s="49"/>
      <c r="J193" s="49"/>
      <c r="K193" s="49"/>
      <c r="L193" s="49"/>
      <c r="M193" s="49"/>
      <c r="N193" s="46"/>
      <c r="O193" s="46"/>
      <c r="P193" s="46"/>
      <c r="Q193" s="46"/>
      <c r="R193" s="46"/>
      <c r="S193" s="46"/>
    </row>
    <row r="194" spans="1:19" ht="16.5">
      <c r="A194" s="46"/>
      <c r="B194" s="46"/>
      <c r="C194" s="46"/>
      <c r="D194" s="70"/>
      <c r="E194" s="49"/>
      <c r="F194" s="49"/>
      <c r="G194" s="49"/>
      <c r="H194" s="49"/>
      <c r="I194" s="49"/>
      <c r="J194" s="49"/>
      <c r="K194" s="49"/>
      <c r="L194" s="49"/>
      <c r="M194" s="49"/>
      <c r="N194" s="46"/>
      <c r="O194" s="46"/>
      <c r="P194" s="46"/>
      <c r="Q194" s="46"/>
      <c r="R194" s="46"/>
      <c r="S194" s="46"/>
    </row>
    <row r="195" spans="1:19" ht="16.5">
      <c r="A195" s="46"/>
      <c r="B195" s="46"/>
      <c r="C195" s="46"/>
      <c r="D195" s="70"/>
      <c r="E195" s="49"/>
      <c r="F195" s="49"/>
      <c r="G195" s="49"/>
      <c r="H195" s="49"/>
      <c r="I195" s="49"/>
      <c r="J195" s="49"/>
      <c r="K195" s="49"/>
      <c r="L195" s="49"/>
      <c r="M195" s="49"/>
      <c r="N195" s="46"/>
      <c r="O195" s="46"/>
      <c r="P195" s="46"/>
      <c r="Q195" s="46"/>
      <c r="R195" s="46"/>
      <c r="S195" s="46"/>
    </row>
    <row r="196" spans="1:19" ht="16.5">
      <c r="A196" s="46"/>
      <c r="B196" s="46"/>
      <c r="C196" s="46"/>
      <c r="D196" s="70"/>
      <c r="E196" s="49"/>
      <c r="F196" s="49"/>
      <c r="G196" s="49"/>
      <c r="H196" s="49"/>
      <c r="I196" s="49"/>
      <c r="J196" s="49"/>
      <c r="K196" s="49"/>
      <c r="L196" s="49"/>
      <c r="M196" s="49"/>
      <c r="N196" s="46"/>
      <c r="O196" s="46"/>
      <c r="P196" s="46"/>
      <c r="Q196" s="46"/>
      <c r="R196" s="46"/>
      <c r="S196" s="46"/>
    </row>
    <row r="197" spans="1:19" ht="16.5">
      <c r="A197" s="46"/>
      <c r="B197" s="46"/>
      <c r="C197" s="46"/>
      <c r="D197" s="70"/>
      <c r="E197" s="49"/>
      <c r="F197" s="49"/>
      <c r="G197" s="49"/>
      <c r="H197" s="49"/>
      <c r="I197" s="49"/>
      <c r="J197" s="49"/>
      <c r="K197" s="49"/>
      <c r="L197" s="49"/>
      <c r="M197" s="49"/>
      <c r="N197" s="46"/>
      <c r="O197" s="46"/>
      <c r="P197" s="46"/>
      <c r="Q197" s="46"/>
      <c r="R197" s="46"/>
      <c r="S197" s="46"/>
    </row>
    <row r="198" spans="1:19" ht="17.25" customHeight="1">
      <c r="A198" s="46"/>
      <c r="B198" s="46"/>
      <c r="C198" s="46"/>
      <c r="D198" s="70"/>
      <c r="E198" s="1536" t="str">
        <f>CBGS1</f>
        <v>Trần Trọng Liêm</v>
      </c>
      <c r="F198" s="1478"/>
      <c r="G198" s="1478"/>
      <c r="H198" s="1478"/>
      <c r="I198" s="1478"/>
      <c r="J198" s="1537" t="str">
        <f>CBKT1</f>
        <v>Hoàng Đình Tảng</v>
      </c>
      <c r="K198" s="1537"/>
      <c r="L198" s="1537"/>
      <c r="M198" s="1537"/>
      <c r="N198" s="46"/>
      <c r="O198" s="46"/>
      <c r="P198" s="46"/>
      <c r="Q198" s="46"/>
      <c r="R198" s="46"/>
      <c r="S198" s="46"/>
    </row>
    <row r="199" spans="1:19" ht="16.5">
      <c r="A199" s="46"/>
      <c r="B199" s="46"/>
      <c r="C199" s="46"/>
      <c r="D199" s="70"/>
      <c r="E199" s="46"/>
      <c r="F199" s="46"/>
      <c r="G199" s="46"/>
      <c r="H199" s="46"/>
      <c r="I199" s="46"/>
      <c r="J199" s="46"/>
      <c r="K199" s="46"/>
      <c r="L199" s="46"/>
      <c r="M199" s="46"/>
      <c r="N199" s="46"/>
      <c r="O199" s="46"/>
      <c r="P199" s="46"/>
      <c r="Q199" s="46"/>
      <c r="R199" s="46"/>
      <c r="S199" s="46"/>
    </row>
    <row r="200" spans="1:19" ht="16.5">
      <c r="A200" s="46"/>
      <c r="B200" s="46"/>
      <c r="C200" s="46"/>
      <c r="D200" s="70"/>
      <c r="E200" s="46"/>
      <c r="F200" s="46"/>
      <c r="G200" s="46"/>
      <c r="H200" s="46"/>
      <c r="I200" s="46"/>
      <c r="J200" s="46"/>
      <c r="K200" s="46"/>
      <c r="L200" s="46"/>
      <c r="M200" s="46"/>
      <c r="N200" s="46"/>
      <c r="O200" s="46"/>
      <c r="P200" s="46"/>
      <c r="Q200" s="46"/>
      <c r="R200" s="46"/>
      <c r="S200" s="46"/>
    </row>
    <row r="201" spans="1:19" ht="16.5">
      <c r="A201" s="46"/>
      <c r="B201" s="46"/>
      <c r="C201" s="46"/>
      <c r="D201" s="70"/>
      <c r="E201" s="46"/>
      <c r="F201" s="46"/>
      <c r="G201" s="46"/>
      <c r="H201" s="46"/>
      <c r="I201" s="46"/>
      <c r="J201" s="46"/>
      <c r="K201" s="46"/>
      <c r="L201" s="46"/>
      <c r="M201" s="46"/>
      <c r="N201" s="46"/>
      <c r="O201" s="46"/>
      <c r="P201" s="46"/>
      <c r="Q201" s="46"/>
      <c r="R201" s="46"/>
      <c r="S201" s="46"/>
    </row>
    <row r="202" spans="1:19" ht="16.5">
      <c r="A202" s="46"/>
      <c r="B202" s="46"/>
      <c r="C202" s="46"/>
      <c r="D202" s="70"/>
      <c r="E202" s="46"/>
      <c r="F202" s="46"/>
      <c r="G202" s="46"/>
      <c r="H202" s="46"/>
      <c r="I202" s="46"/>
      <c r="J202" s="46"/>
      <c r="K202" s="46"/>
      <c r="L202" s="46"/>
      <c r="M202" s="46"/>
      <c r="N202" s="46"/>
      <c r="O202" s="46"/>
      <c r="P202" s="46"/>
      <c r="Q202" s="46"/>
      <c r="R202" s="46"/>
      <c r="S202" s="46"/>
    </row>
    <row r="203" spans="1:19" ht="16.5">
      <c r="A203" s="46"/>
      <c r="B203" s="46"/>
      <c r="C203" s="46"/>
      <c r="D203" s="70"/>
      <c r="E203" s="46"/>
      <c r="F203" s="46"/>
      <c r="G203" s="46"/>
      <c r="H203" s="46"/>
      <c r="I203" s="46"/>
      <c r="J203" s="46"/>
      <c r="K203" s="46"/>
      <c r="L203" s="46"/>
      <c r="M203" s="46"/>
      <c r="N203" s="46"/>
      <c r="O203" s="46"/>
      <c r="P203" s="46"/>
      <c r="Q203" s="46"/>
      <c r="R203" s="46"/>
      <c r="S203" s="46"/>
    </row>
    <row r="204" spans="1:19" ht="16.5">
      <c r="A204" s="46"/>
      <c r="B204" s="46"/>
      <c r="C204" s="46"/>
      <c r="D204" s="70"/>
      <c r="E204" s="46"/>
      <c r="F204" s="46"/>
      <c r="G204" s="46"/>
      <c r="H204" s="46"/>
      <c r="I204" s="46"/>
      <c r="J204" s="46"/>
      <c r="K204" s="46"/>
      <c r="L204" s="46"/>
      <c r="M204" s="46"/>
      <c r="N204" s="46"/>
      <c r="O204" s="46"/>
      <c r="P204" s="46"/>
      <c r="Q204" s="46"/>
      <c r="R204" s="46"/>
      <c r="S204" s="46"/>
    </row>
    <row r="205" spans="1:19" ht="16.5">
      <c r="A205" s="46"/>
      <c r="B205" s="46"/>
      <c r="C205" s="46"/>
      <c r="D205" s="70"/>
      <c r="E205" s="46"/>
      <c r="F205" s="46"/>
      <c r="G205" s="46"/>
      <c r="H205" s="46"/>
      <c r="I205" s="46"/>
      <c r="J205" s="46"/>
      <c r="K205" s="46"/>
      <c r="L205" s="46"/>
      <c r="M205" s="46"/>
      <c r="N205" s="46"/>
      <c r="O205" s="46"/>
      <c r="P205" s="46"/>
      <c r="Q205" s="46"/>
      <c r="R205" s="46"/>
      <c r="S205" s="46"/>
    </row>
    <row r="206" spans="1:19" ht="16.5">
      <c r="A206" s="46"/>
      <c r="B206" s="46"/>
      <c r="C206" s="46"/>
      <c r="D206" s="70"/>
      <c r="E206" s="46"/>
      <c r="F206" s="46"/>
      <c r="G206" s="46"/>
      <c r="H206" s="46"/>
      <c r="I206" s="46"/>
      <c r="J206" s="46"/>
      <c r="K206" s="46"/>
      <c r="L206" s="46"/>
      <c r="M206" s="46"/>
      <c r="N206" s="46"/>
      <c r="O206" s="46"/>
      <c r="P206" s="46"/>
      <c r="Q206" s="46"/>
      <c r="R206" s="46"/>
      <c r="S206" s="46"/>
    </row>
    <row r="207" spans="1:19" ht="16.5"/>
    <row r="208" spans="1:19" ht="16.5"/>
    <row r="209" ht="16.5"/>
    <row r="210" ht="18.75" customHeight="1"/>
    <row r="211" ht="18.75" customHeight="1"/>
  </sheetData>
  <mergeCells count="164">
    <mergeCell ref="E198:I198"/>
    <mergeCell ref="J198:M198"/>
    <mergeCell ref="E6:M6"/>
    <mergeCell ref="E7:M7"/>
    <mergeCell ref="E8:M8"/>
    <mergeCell ref="E9:M9"/>
    <mergeCell ref="E11:M11"/>
    <mergeCell ref="E12:M12"/>
    <mergeCell ref="E14:M14"/>
    <mergeCell ref="E15:M15"/>
    <mergeCell ref="E16:M16"/>
    <mergeCell ref="E19:M19"/>
    <mergeCell ref="E20:M20"/>
    <mergeCell ref="E118:M118"/>
    <mergeCell ref="E187:M187"/>
    <mergeCell ref="E188:M188"/>
    <mergeCell ref="E189:M189"/>
    <mergeCell ref="E190:M190"/>
    <mergeCell ref="E192:I192"/>
    <mergeCell ref="J192:M192"/>
    <mergeCell ref="E182:M182"/>
    <mergeCell ref="E183:M183"/>
    <mergeCell ref="E184:M184"/>
    <mergeCell ref="E185:M185"/>
    <mergeCell ref="E186:M186"/>
    <mergeCell ref="E177:M177"/>
    <mergeCell ref="E178:M178"/>
    <mergeCell ref="E179:M179"/>
    <mergeCell ref="E180:M180"/>
    <mergeCell ref="E181:M181"/>
    <mergeCell ref="E172:M172"/>
    <mergeCell ref="E173:M173"/>
    <mergeCell ref="E174:M174"/>
    <mergeCell ref="E175:M175"/>
    <mergeCell ref="E176:M176"/>
    <mergeCell ref="E167:M167"/>
    <mergeCell ref="E168:M168"/>
    <mergeCell ref="E169:M169"/>
    <mergeCell ref="E170:M170"/>
    <mergeCell ref="E171:M171"/>
    <mergeCell ref="E162:M162"/>
    <mergeCell ref="E164:M164"/>
    <mergeCell ref="E165:M165"/>
    <mergeCell ref="E166:M166"/>
    <mergeCell ref="E163:M163"/>
    <mergeCell ref="E157:M157"/>
    <mergeCell ref="E158:M158"/>
    <mergeCell ref="E159:M159"/>
    <mergeCell ref="E160:M160"/>
    <mergeCell ref="E161:M161"/>
    <mergeCell ref="E151:M151"/>
    <mergeCell ref="E153:M153"/>
    <mergeCell ref="E154:M154"/>
    <mergeCell ref="E155:M155"/>
    <mergeCell ref="E156:M156"/>
    <mergeCell ref="E152:M152"/>
    <mergeCell ref="E141:M141"/>
    <mergeCell ref="E145:M145"/>
    <mergeCell ref="E148:M148"/>
    <mergeCell ref="E149:M149"/>
    <mergeCell ref="E150:M150"/>
    <mergeCell ref="E134:M134"/>
    <mergeCell ref="E135:M135"/>
    <mergeCell ref="E136:M136"/>
    <mergeCell ref="E137:M137"/>
    <mergeCell ref="E138:M138"/>
    <mergeCell ref="E142:M142"/>
    <mergeCell ref="E127:M127"/>
    <mergeCell ref="E129:M129"/>
    <mergeCell ref="E130:M130"/>
    <mergeCell ref="E131:M131"/>
    <mergeCell ref="E132:M132"/>
    <mergeCell ref="E121:M121"/>
    <mergeCell ref="E122:M122"/>
    <mergeCell ref="E123:M123"/>
    <mergeCell ref="E124:M124"/>
    <mergeCell ref="E126:M126"/>
    <mergeCell ref="E113:H113"/>
    <mergeCell ref="E115:H115"/>
    <mergeCell ref="E117:H117"/>
    <mergeCell ref="I117:M117"/>
    <mergeCell ref="E120:M120"/>
    <mergeCell ref="E110:H110"/>
    <mergeCell ref="I110:M110"/>
    <mergeCell ref="E111:H111"/>
    <mergeCell ref="I111:M111"/>
    <mergeCell ref="E112:H112"/>
    <mergeCell ref="E105:M105"/>
    <mergeCell ref="E107:M107"/>
    <mergeCell ref="E108:M108"/>
    <mergeCell ref="G91:M91"/>
    <mergeCell ref="E99:M99"/>
    <mergeCell ref="E100:M100"/>
    <mergeCell ref="E101:M101"/>
    <mergeCell ref="E103:M103"/>
    <mergeCell ref="E96:M96"/>
    <mergeCell ref="E97:M97"/>
    <mergeCell ref="E104:M104"/>
    <mergeCell ref="E93:M93"/>
    <mergeCell ref="E94:M94"/>
    <mergeCell ref="E86:M86"/>
    <mergeCell ref="E89:F89"/>
    <mergeCell ref="G89:M89"/>
    <mergeCell ref="E79:I79"/>
    <mergeCell ref="J79:M79"/>
    <mergeCell ref="E80:M80"/>
    <mergeCell ref="E81:M81"/>
    <mergeCell ref="E82:M82"/>
    <mergeCell ref="E83:M83"/>
    <mergeCell ref="E87:M87"/>
    <mergeCell ref="E84:M84"/>
    <mergeCell ref="E69:M69"/>
    <mergeCell ref="E70:M70"/>
    <mergeCell ref="E71:M71"/>
    <mergeCell ref="E72:M72"/>
    <mergeCell ref="E73:I73"/>
    <mergeCell ref="J73:M73"/>
    <mergeCell ref="E64:M64"/>
    <mergeCell ref="E65:M65"/>
    <mergeCell ref="E66:M66"/>
    <mergeCell ref="E67:M67"/>
    <mergeCell ref="E68:M68"/>
    <mergeCell ref="E60:M60"/>
    <mergeCell ref="E61:M61"/>
    <mergeCell ref="E62:M62"/>
    <mergeCell ref="E63:M63"/>
    <mergeCell ref="E54:M54"/>
    <mergeCell ref="E55:M55"/>
    <mergeCell ref="E56:M56"/>
    <mergeCell ref="E57:M57"/>
    <mergeCell ref="E58:M58"/>
    <mergeCell ref="E51:M51"/>
    <mergeCell ref="E52:M52"/>
    <mergeCell ref="E53:M53"/>
    <mergeCell ref="E44:M44"/>
    <mergeCell ref="E45:M45"/>
    <mergeCell ref="E46:M46"/>
    <mergeCell ref="E47:M47"/>
    <mergeCell ref="E48:M48"/>
    <mergeCell ref="E59:M59"/>
    <mergeCell ref="E17:M17"/>
    <mergeCell ref="E95:M95"/>
    <mergeCell ref="G90:M90"/>
    <mergeCell ref="E21:M21"/>
    <mergeCell ref="E23:M23"/>
    <mergeCell ref="E24:M24"/>
    <mergeCell ref="E27:M27"/>
    <mergeCell ref="E31:M31"/>
    <mergeCell ref="E1:M1"/>
    <mergeCell ref="E2:M2"/>
    <mergeCell ref="E3:M3"/>
    <mergeCell ref="E5:M5"/>
    <mergeCell ref="E39:M39"/>
    <mergeCell ref="E40:M40"/>
    <mergeCell ref="E41:M41"/>
    <mergeCell ref="E42:M42"/>
    <mergeCell ref="E43:M43"/>
    <mergeCell ref="E34:M34"/>
    <mergeCell ref="E35:M35"/>
    <mergeCell ref="E36:M36"/>
    <mergeCell ref="E37:M37"/>
    <mergeCell ref="E38:M38"/>
    <mergeCell ref="E49:M49"/>
    <mergeCell ref="E50:M50"/>
  </mergeCells>
  <dataValidations count="2">
    <dataValidation allowBlank="1" showInputMessage="1" showErrorMessage="1" prompt="Title of the project. Enter a new title in this cell. Highlight a period in H2. Chart legend is in J2 to AI2" sqref="B1" xr:uid="{00000000-0002-0000-2800-000000000000}"/>
    <dataValidation allowBlank="1" showInputMessage="1" showErrorMessage="1" prompt="Không xoá ô này" sqref="A1" xr:uid="{00000000-0002-0000-2800-000001000000}"/>
  </dataValidations>
  <printOptions horizontalCentered="1"/>
  <pageMargins left="0.78740157480314998" right="0.39370078740157499" top="0.27" bottom="0.27" header="0" footer="0"/>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Spinner 1">
              <controlPr defaultSize="0" autoPict="0" macro="[0]!CandongBB">
                <anchor moveWithCells="1" sizeWithCells="1">
                  <from>
                    <xdr:col>16</xdr:col>
                    <xdr:colOff>209550</xdr:colOff>
                    <xdr:row>0</xdr:row>
                    <xdr:rowOff>85725</xdr:rowOff>
                  </from>
                  <to>
                    <xdr:col>17</xdr:col>
                    <xdr:colOff>200025</xdr:colOff>
                    <xdr:row>2</xdr:row>
                    <xdr:rowOff>133350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dimension ref="A1:AD209"/>
  <sheetViews>
    <sheetView showGridLines="0" zoomScaleNormal="100" workbookViewId="0">
      <pane xSplit="19" ySplit="5" topLeftCell="U132" activePane="bottomRight" state="frozen"/>
      <selection activeCell="B7" sqref="B7"/>
      <selection pane="topRight" activeCell="B7" sqref="B7"/>
      <selection pane="bottomLeft" activeCell="B7" sqref="B7"/>
      <selection pane="bottomRight" activeCell="E25" sqref="E25:M25"/>
    </sheetView>
  </sheetViews>
  <sheetFormatPr defaultColWidth="8.88671875" defaultRowHeight="0" customHeight="1" zeroHeight="1"/>
  <cols>
    <col min="1" max="1" width="8.88671875" style="45"/>
    <col min="2" max="2" width="7.6640625" style="45" customWidth="1"/>
    <col min="3" max="3" width="8.88671875" style="45"/>
    <col min="4" max="4" width="8.88671875" style="73"/>
    <col min="5" max="5" width="4.88671875" style="45" customWidth="1"/>
    <col min="6" max="6" width="5.6640625" style="45" customWidth="1"/>
    <col min="7" max="7" width="10.33203125" style="45" customWidth="1"/>
    <col min="8" max="8" width="8.5546875" style="45" customWidth="1"/>
    <col min="9" max="9" width="8.88671875" style="45" customWidth="1"/>
    <col min="10" max="10" width="8.5546875" style="45" bestFit="1" customWidth="1"/>
    <col min="11" max="11" width="8.88671875" style="45" customWidth="1"/>
    <col min="12" max="12" width="5.21875" style="45" customWidth="1"/>
    <col min="13" max="13" width="15.77734375" style="45" customWidth="1"/>
    <col min="14" max="14" width="4.77734375" style="45" customWidth="1"/>
    <col min="15" max="15" width="5.109375" style="45" customWidth="1"/>
    <col min="16" max="16" width="4.77734375" style="45" customWidth="1"/>
    <col min="17" max="17" width="3.21875" style="45" customWidth="1"/>
    <col min="18" max="19" width="8.88671875" style="45"/>
    <col min="20" max="20" width="5.21875" style="44" bestFit="1" customWidth="1"/>
    <col min="21" max="21" width="11.6640625" style="44" bestFit="1" customWidth="1"/>
    <col min="22" max="22" width="11.6640625" style="45" bestFit="1" customWidth="1"/>
    <col min="23" max="23" width="11.5546875" style="45" bestFit="1" customWidth="1"/>
    <col min="24" max="24" width="11.6640625" style="45" customWidth="1"/>
    <col min="25" max="25" width="12.21875" style="45" customWidth="1"/>
    <col min="26" max="26" width="12.6640625" style="45" customWidth="1"/>
    <col min="27" max="27" width="11.5546875" style="45" bestFit="1" customWidth="1"/>
    <col min="28" max="28" width="12.6640625" style="45" customWidth="1"/>
    <col min="29" max="16384" width="8.88671875" style="45"/>
  </cols>
  <sheetData>
    <row r="1" spans="1:30" ht="31.5" customHeight="1">
      <c r="A1" s="1293" t="str">
        <f ca="1">SUBSTITUTE(CELL("address",G91),"$","")</f>
        <v>G91</v>
      </c>
      <c r="B1" s="46"/>
      <c r="C1" s="46"/>
      <c r="D1" s="46"/>
      <c r="E1" s="1549" t="str">
        <f>E126</f>
        <v>NGHIỆM THU GIAI ĐOẠN THI CÔNG XÂY DỰNG HOÀN THÀNH 
( HOẶC BỘ PHẬN CÔNG TRÌNH XÂY DỰNG HOÀN THÀNH)</v>
      </c>
      <c r="F1" s="1549"/>
      <c r="G1" s="1549"/>
      <c r="H1" s="1549"/>
      <c r="I1" s="1549"/>
      <c r="J1" s="1549"/>
      <c r="K1" s="1549"/>
      <c r="L1" s="1549"/>
      <c r="M1" s="1549"/>
      <c r="N1" s="46"/>
      <c r="O1" s="46"/>
      <c r="P1" s="46"/>
      <c r="Q1" s="46"/>
      <c r="R1" s="46"/>
      <c r="S1" s="46"/>
      <c r="U1" s="66" t="str">
        <f>IFERROR(VLOOKUP(P2,ListBBHT!A6:M17,4,0),"")</f>
        <v>Hoàn thành công tác thi công</v>
      </c>
      <c r="X1" s="45" t="s">
        <v>1092</v>
      </c>
      <c r="Y1" s="45" t="s">
        <v>1093</v>
      </c>
      <c r="Z1" s="45" t="s">
        <v>1094</v>
      </c>
      <c r="AA1" s="45" t="s">
        <v>1095</v>
      </c>
      <c r="AD1" s="45" t="str">
        <f>VLOOKUP(P2,ListBBHT!A6:M17,11,0)</f>
        <v>TCVN4055:2012; TCVN 5637 : 1991; TCVN9361:2012; TCVN 4447:2012; TCVN4453:1995</v>
      </c>
    </row>
    <row r="2" spans="1:30" ht="16.5" customHeight="1">
      <c r="A2" s="46"/>
      <c r="B2" s="46"/>
      <c r="C2" s="46"/>
      <c r="D2" s="46"/>
      <c r="E2" s="1460" t="str">
        <f>Nhattrinh!E1</f>
        <v xml:space="preserve">     Công trình: Gia cố nâng cấp kênh Bà Xoài từ K0+300÷K0+600 - Hệ thống thủy lợi Nha Trinh, huyện Ninh Hải, tỉnh Ninh Thuận</v>
      </c>
      <c r="F2" s="1460"/>
      <c r="G2" s="1460"/>
      <c r="H2" s="1460"/>
      <c r="I2" s="1460"/>
      <c r="J2" s="1460"/>
      <c r="K2" s="1460"/>
      <c r="L2" s="1460"/>
      <c r="M2" s="1460"/>
      <c r="N2" s="46"/>
      <c r="O2" s="46"/>
      <c r="P2" s="74">
        <v>1</v>
      </c>
      <c r="Q2" s="46"/>
      <c r="R2" s="46"/>
      <c r="S2" s="46"/>
      <c r="X2" s="45">
        <f>ROW(E39)</f>
        <v>39</v>
      </c>
      <c r="Y2" s="45">
        <f>ROW(E51)</f>
        <v>51</v>
      </c>
      <c r="Z2" s="45">
        <f>ROW(E152)</f>
        <v>152</v>
      </c>
      <c r="AA2" s="45">
        <f>ROW(E164)</f>
        <v>164</v>
      </c>
      <c r="AD2" s="45" t="str">
        <f>VLOOKUP(P2,ListBBHT!A6:M17,12,0)</f>
        <v>CP.010021; CP.010032; CP.010033</v>
      </c>
    </row>
    <row r="3" spans="1:30" ht="16.5">
      <c r="A3" s="46"/>
      <c r="B3" s="46"/>
      <c r="C3" s="46"/>
      <c r="D3" s="46"/>
      <c r="E3" s="1460" t="str">
        <f>Nhattrinh!E2</f>
        <v xml:space="preserve">     Địa điểm XD: Huyện Ninh Hải - Tỉnh Ninh Thuận</v>
      </c>
      <c r="F3" s="1460"/>
      <c r="G3" s="1460"/>
      <c r="H3" s="1460"/>
      <c r="I3" s="1460"/>
      <c r="J3" s="1460"/>
      <c r="K3" s="1460"/>
      <c r="L3" s="1460"/>
      <c r="M3" s="1460"/>
      <c r="N3" s="46"/>
      <c r="O3" s="46"/>
      <c r="P3" s="46"/>
      <c r="Q3" s="46"/>
      <c r="R3" s="46"/>
      <c r="S3" s="46"/>
    </row>
    <row r="4" spans="1:30" ht="16.5">
      <c r="A4" s="42"/>
      <c r="B4" s="42"/>
      <c r="C4" s="42"/>
      <c r="D4" s="69"/>
      <c r="E4" s="43"/>
      <c r="F4" s="43"/>
      <c r="G4" s="43"/>
      <c r="H4" s="43"/>
      <c r="I4" s="43"/>
      <c r="J4" s="43"/>
      <c r="K4" s="43"/>
      <c r="L4" s="43"/>
      <c r="M4" s="43"/>
      <c r="N4" s="42"/>
      <c r="O4" s="42"/>
      <c r="P4" s="42"/>
      <c r="Q4" s="42"/>
      <c r="R4" s="42"/>
      <c r="S4" s="42"/>
    </row>
    <row r="5" spans="1:30" ht="6.75" customHeight="1">
      <c r="A5" s="42"/>
      <c r="B5" s="42"/>
      <c r="C5" s="42"/>
      <c r="D5" s="69"/>
      <c r="E5" s="1461"/>
      <c r="F5" s="1462"/>
      <c r="G5" s="1462"/>
      <c r="H5" s="1462"/>
      <c r="I5" s="1462"/>
      <c r="J5" s="1462"/>
      <c r="K5" s="1462"/>
      <c r="L5" s="1462"/>
      <c r="M5" s="1463"/>
      <c r="N5" s="42"/>
      <c r="O5" s="42"/>
      <c r="P5" s="42"/>
      <c r="Q5" s="42"/>
      <c r="R5" s="42"/>
      <c r="S5" s="42"/>
    </row>
    <row r="6" spans="1:30" ht="6.75" customHeight="1">
      <c r="A6" s="42"/>
      <c r="B6" s="42"/>
      <c r="C6" s="42"/>
      <c r="D6" s="69"/>
      <c r="E6" s="125"/>
      <c r="F6" s="125"/>
      <c r="G6" s="125"/>
      <c r="H6" s="125"/>
      <c r="I6" s="125"/>
      <c r="J6" s="125"/>
      <c r="K6" s="125"/>
      <c r="L6" s="125"/>
      <c r="M6" s="125"/>
      <c r="N6" s="42"/>
      <c r="O6" s="42"/>
      <c r="P6" s="42"/>
      <c r="Q6" s="42"/>
      <c r="R6" s="42"/>
      <c r="S6" s="42"/>
    </row>
    <row r="7" spans="1:30" ht="17.25" customHeight="1">
      <c r="A7" s="46"/>
      <c r="B7" s="46"/>
      <c r="C7" s="46"/>
      <c r="D7" s="161"/>
      <c r="E7" s="1477" t="s">
        <v>158</v>
      </c>
      <c r="F7" s="1478"/>
      <c r="G7" s="1478"/>
      <c r="H7" s="1478"/>
      <c r="I7" s="1478"/>
      <c r="J7" s="1478"/>
      <c r="K7" s="1478"/>
      <c r="L7" s="1478"/>
      <c r="M7" s="1478"/>
      <c r="N7" s="46"/>
      <c r="O7" s="46"/>
      <c r="P7" s="46"/>
      <c r="Q7" s="46"/>
      <c r="R7" s="46"/>
      <c r="S7" s="46"/>
    </row>
    <row r="8" spans="1:30" ht="18.75" customHeight="1">
      <c r="A8" s="46"/>
      <c r="B8" s="46"/>
      <c r="C8" s="46"/>
      <c r="D8" s="161"/>
      <c r="E8" s="1538" t="s">
        <v>178</v>
      </c>
      <c r="F8" s="1501"/>
      <c r="G8" s="1501"/>
      <c r="H8" s="1501"/>
      <c r="I8" s="1501"/>
      <c r="J8" s="1501"/>
      <c r="K8" s="1501"/>
      <c r="L8" s="1501"/>
      <c r="M8" s="1501"/>
      <c r="N8" s="46"/>
      <c r="O8" s="46"/>
      <c r="P8" s="46"/>
      <c r="Q8" s="46"/>
      <c r="R8" s="46"/>
      <c r="S8" s="46"/>
    </row>
    <row r="9" spans="1:30" ht="18.75" customHeight="1">
      <c r="A9" s="46"/>
      <c r="B9" s="46"/>
      <c r="C9" s="46"/>
      <c r="D9" s="161"/>
      <c r="E9" s="1490" t="s">
        <v>179</v>
      </c>
      <c r="F9" s="1490"/>
      <c r="G9" s="1490"/>
      <c r="H9" s="1490"/>
      <c r="I9" s="1490"/>
      <c r="J9" s="1490"/>
      <c r="K9" s="1490"/>
      <c r="L9" s="1490"/>
      <c r="M9" s="1490"/>
      <c r="N9" s="46"/>
      <c r="O9" s="46"/>
      <c r="P9" s="46"/>
      <c r="Q9" s="46"/>
      <c r="R9" s="46"/>
      <c r="S9" s="46"/>
    </row>
    <row r="10" spans="1:30" ht="17.25" customHeight="1">
      <c r="A10" s="46"/>
      <c r="B10" s="46"/>
      <c r="C10" s="46"/>
      <c r="D10" s="161"/>
      <c r="E10" s="1539" t="str">
        <f>Diadanh&amp;", "&amp;IFERROR(Doingay(VLOOKUP(P2,ListBBHT!A5:L17,8,0))," ngày ….. tháng ….. năm …..")</f>
        <v>Ninh Hải,  ngày 6 tháng 6 năm 2020</v>
      </c>
      <c r="F10" s="1540"/>
      <c r="G10" s="1540"/>
      <c r="H10" s="1540"/>
      <c r="I10" s="1540"/>
      <c r="J10" s="1540"/>
      <c r="K10" s="1540"/>
      <c r="L10" s="1540"/>
      <c r="M10" s="1540"/>
      <c r="N10" s="46"/>
      <c r="O10" s="46"/>
      <c r="P10" s="46"/>
      <c r="Q10" s="46"/>
      <c r="R10" s="46"/>
      <c r="S10" s="46"/>
    </row>
    <row r="11" spans="1:30" ht="12.75" customHeight="1">
      <c r="A11" s="46"/>
      <c r="B11" s="46"/>
      <c r="C11" s="46"/>
      <c r="D11" s="70"/>
      <c r="E11" s="47"/>
      <c r="F11" s="47"/>
      <c r="G11" s="47"/>
      <c r="H11" s="47"/>
      <c r="I11" s="47"/>
      <c r="J11" s="47"/>
      <c r="K11" s="47"/>
      <c r="L11" s="47"/>
      <c r="M11" s="47"/>
      <c r="N11" s="46"/>
      <c r="O11" s="46"/>
      <c r="P11" s="46"/>
      <c r="Q11" s="46"/>
      <c r="R11" s="46"/>
      <c r="S11" s="46"/>
    </row>
    <row r="12" spans="1:30" ht="17.25" customHeight="1">
      <c r="A12" s="46"/>
      <c r="B12" s="46"/>
      <c r="C12" s="46"/>
      <c r="D12" s="70"/>
      <c r="E12" s="1536" t="str">
        <f>"BIÊN BẢN SỐ: "&amp;TEXT(VLOOKUP(P2,ListBBHT!A5:AB17,15,0),"00")&amp;"/NBHT"</f>
        <v>BIÊN BẢN SỐ: 01/NBHT</v>
      </c>
      <c r="F12" s="1541"/>
      <c r="G12" s="1541"/>
      <c r="H12" s="1541"/>
      <c r="I12" s="1541"/>
      <c r="J12" s="1541"/>
      <c r="K12" s="1541"/>
      <c r="L12" s="1541"/>
      <c r="M12" s="1541"/>
      <c r="N12" s="46"/>
      <c r="O12" s="46"/>
      <c r="P12" s="46"/>
      <c r="Q12" s="46"/>
      <c r="R12" s="46"/>
      <c r="S12" s="46"/>
    </row>
    <row r="13" spans="1:30" ht="38.25" customHeight="1">
      <c r="A13" s="46"/>
      <c r="B13" s="46"/>
      <c r="C13" s="46"/>
      <c r="D13" s="70"/>
      <c r="E13" s="1550" t="s">
        <v>1096</v>
      </c>
      <c r="F13" s="1551"/>
      <c r="G13" s="1551"/>
      <c r="H13" s="1551"/>
      <c r="I13" s="1551"/>
      <c r="J13" s="1551"/>
      <c r="K13" s="1551"/>
      <c r="L13" s="1551"/>
      <c r="M13" s="1551"/>
      <c r="N13" s="46"/>
      <c r="O13" s="46"/>
      <c r="P13" s="46"/>
      <c r="Q13" s="46"/>
      <c r="R13" s="46"/>
      <c r="S13" s="46"/>
    </row>
    <row r="14" spans="1:30" ht="14.25" customHeight="1">
      <c r="A14" s="46"/>
      <c r="B14" s="46"/>
      <c r="C14" s="46"/>
      <c r="D14" s="70"/>
      <c r="E14" s="47"/>
      <c r="F14" s="47"/>
      <c r="G14" s="47"/>
      <c r="H14" s="47"/>
      <c r="I14" s="47"/>
      <c r="J14" s="47"/>
      <c r="K14" s="47"/>
      <c r="L14" s="47"/>
      <c r="M14" s="47"/>
      <c r="N14" s="46"/>
      <c r="O14" s="46"/>
      <c r="P14" s="46"/>
      <c r="Q14" s="46"/>
      <c r="R14" s="46"/>
      <c r="S14" s="46"/>
    </row>
    <row r="15" spans="1:30" ht="36.6" customHeight="1">
      <c r="A15" s="46"/>
      <c r="B15" s="46"/>
      <c r="C15" s="46"/>
      <c r="D15" s="70"/>
      <c r="E15" s="1513" t="str">
        <f>IF(NDtieude1&lt;&gt;"",Tieude1&amp;": "&amp;NDtieude1,"")</f>
        <v>Công trình: Gia cố nâng cấp kênh Bà Xoài từ K0+300÷K0+600 - Hệ thống thủy lợi Nha Trinh, huyện Ninh Hải, tỉnh Ninh Thuận</v>
      </c>
      <c r="F15" s="1452"/>
      <c r="G15" s="1452"/>
      <c r="H15" s="1452"/>
      <c r="I15" s="1452"/>
      <c r="J15" s="1452"/>
      <c r="K15" s="1452"/>
      <c r="L15" s="1452"/>
      <c r="M15" s="1452"/>
      <c r="N15" s="46"/>
      <c r="O15" s="46"/>
      <c r="P15" s="46"/>
      <c r="Q15" s="46"/>
      <c r="R15" s="46"/>
      <c r="S15" s="46"/>
      <c r="U15" s="44">
        <f>ROW()</f>
        <v>15</v>
      </c>
    </row>
    <row r="16" spans="1:30" ht="20.100000000000001" hidden="1" customHeight="1">
      <c r="A16" s="46"/>
      <c r="B16" s="46"/>
      <c r="C16" s="46"/>
      <c r="D16" s="70"/>
      <c r="E16" s="1527" t="str">
        <f>IF(NDtieude2&lt;&gt;"",Tieude2&amp;": "&amp;NDtieude2,"")</f>
        <v/>
      </c>
      <c r="F16" s="1542"/>
      <c r="G16" s="1542"/>
      <c r="H16" s="1542"/>
      <c r="I16" s="1542"/>
      <c r="J16" s="1542"/>
      <c r="K16" s="1542"/>
      <c r="L16" s="1542"/>
      <c r="M16" s="1542"/>
      <c r="N16" s="46"/>
      <c r="O16" s="46"/>
      <c r="P16" s="46"/>
      <c r="Q16" s="46"/>
      <c r="R16" s="46"/>
      <c r="S16" s="46"/>
      <c r="U16" s="44">
        <f>ROW()</f>
        <v>16</v>
      </c>
    </row>
    <row r="17" spans="1:23" ht="20.100000000000001" customHeight="1">
      <c r="A17" s="46"/>
      <c r="B17" s="46"/>
      <c r="C17" s="46"/>
      <c r="D17" s="70"/>
      <c r="E17" s="1527" t="str">
        <f>IF(NDtieude3&lt;&gt;"",Tieude3&amp;": "&amp;NDtieude3,"")</f>
        <v>Hạng mục: Kênh và Công trình trên kênh</v>
      </c>
      <c r="F17" s="1542"/>
      <c r="G17" s="1542"/>
      <c r="H17" s="1542"/>
      <c r="I17" s="1542"/>
      <c r="J17" s="1542"/>
      <c r="K17" s="1542"/>
      <c r="L17" s="1542"/>
      <c r="M17" s="1542"/>
      <c r="N17" s="46"/>
      <c r="O17" s="46"/>
      <c r="P17" s="46"/>
      <c r="Q17" s="46"/>
      <c r="R17" s="46"/>
      <c r="S17" s="46"/>
      <c r="U17" s="44">
        <f>ROW()</f>
        <v>17</v>
      </c>
    </row>
    <row r="18" spans="1:23" ht="20.100000000000001" customHeight="1">
      <c r="A18" s="46"/>
      <c r="B18" s="46"/>
      <c r="C18" s="46"/>
      <c r="D18" s="70"/>
      <c r="E18" s="1452" t="str">
        <f>IF(DDXD&lt;&gt;"","Địa điểm xây dựng : "&amp;DDXD,"")</f>
        <v>Địa điểm xây dựng : Huyện Ninh Hải - Tỉnh Ninh Thuận</v>
      </c>
      <c r="F18" s="1452"/>
      <c r="G18" s="1452"/>
      <c r="H18" s="1452"/>
      <c r="I18" s="1452"/>
      <c r="J18" s="1452"/>
      <c r="K18" s="1452"/>
      <c r="L18" s="1452"/>
      <c r="M18" s="1452"/>
      <c r="N18" s="46"/>
      <c r="O18" s="46"/>
      <c r="P18" s="46"/>
      <c r="Q18" s="46"/>
      <c r="R18" s="46"/>
      <c r="S18" s="46"/>
      <c r="U18" s="44">
        <f>IF(E18&lt;&gt;"",ROW(),"")</f>
        <v>18</v>
      </c>
    </row>
    <row r="19" spans="1:23" ht="6.75" customHeight="1">
      <c r="A19" s="46"/>
      <c r="B19" s="46"/>
      <c r="C19" s="46"/>
      <c r="D19" s="70"/>
      <c r="E19" s="153"/>
      <c r="F19" s="153"/>
      <c r="G19" s="153"/>
      <c r="H19" s="153"/>
      <c r="I19" s="153"/>
      <c r="J19" s="153"/>
      <c r="K19" s="153"/>
      <c r="L19" s="153"/>
      <c r="M19" s="153"/>
      <c r="N19" s="46"/>
      <c r="O19" s="46"/>
      <c r="P19" s="46"/>
      <c r="Q19" s="46"/>
      <c r="R19" s="46"/>
      <c r="S19" s="46"/>
    </row>
    <row r="20" spans="1:23" ht="16.5">
      <c r="A20" s="46"/>
      <c r="B20" s="46"/>
      <c r="C20" s="46"/>
      <c r="D20" s="70"/>
      <c r="E20" s="1543" t="s">
        <v>180</v>
      </c>
      <c r="F20" s="1543"/>
      <c r="G20" s="1543"/>
      <c r="H20" s="1543"/>
      <c r="I20" s="1543"/>
      <c r="J20" s="1543"/>
      <c r="K20" s="1543"/>
      <c r="L20" s="1543"/>
      <c r="M20" s="1543"/>
      <c r="N20" s="46"/>
      <c r="O20" s="46"/>
      <c r="P20" s="46"/>
      <c r="Q20" s="46"/>
      <c r="R20" s="46"/>
      <c r="S20" s="46"/>
    </row>
    <row r="21" spans="1:23" ht="20.100000000000001" customHeight="1">
      <c r="A21" s="46"/>
      <c r="B21" s="46"/>
      <c r="C21" s="46"/>
      <c r="D21" s="70"/>
      <c r="E21" s="1548" t="str">
        <f>IFERROR("- Tên công việc nghiệm thu: "&amp;VLOOKUP(P2,ListBBHT!A5:L17,4,0),"- Tên công việc nghiệm thu: ")</f>
        <v>- Tên công việc nghiệm thu: Hoàn thành công tác thi công</v>
      </c>
      <c r="F21" s="1522"/>
      <c r="G21" s="1522"/>
      <c r="H21" s="1522"/>
      <c r="I21" s="1522"/>
      <c r="J21" s="1522"/>
      <c r="K21" s="1522"/>
      <c r="L21" s="1522"/>
      <c r="M21" s="1522"/>
      <c r="N21" s="46"/>
      <c r="O21" s="46"/>
      <c r="P21" s="46"/>
      <c r="Q21" s="46"/>
      <c r="R21" s="46"/>
      <c r="S21" s="46"/>
      <c r="T21" s="44">
        <f>IF(E21&lt;&gt;"",ROW(),"")</f>
        <v>21</v>
      </c>
      <c r="U21" s="48"/>
    </row>
    <row r="22" spans="1:23" ht="20.100000000000001" customHeight="1">
      <c r="A22" s="46"/>
      <c r="B22" s="46"/>
      <c r="C22" s="46"/>
      <c r="D22" s="70"/>
      <c r="E22" s="1548" t="str">
        <f>IFERROR("- Vị trí xây dựng trên công trình: "&amp;IF(VLOOKUP(P2,ListBBHT!A5:L17,5,0)&gt;0,VLOOKUP(P2,ListBBHT!A5:L17,5,0),""),"- Vị trí xây dựng trên công trình: ")</f>
        <v>- Vị trí xây dựng trên công trình: Đoạn Km0+300 đến Km0+600</v>
      </c>
      <c r="F22" s="1522"/>
      <c r="G22" s="1522"/>
      <c r="H22" s="1522"/>
      <c r="I22" s="1522"/>
      <c r="J22" s="1522"/>
      <c r="K22" s="1522"/>
      <c r="L22" s="1522"/>
      <c r="M22" s="1522"/>
      <c r="N22" s="46"/>
      <c r="O22" s="46"/>
      <c r="P22" s="46"/>
      <c r="Q22" s="46"/>
      <c r="R22" s="46"/>
      <c r="S22" s="46"/>
      <c r="T22" s="44">
        <f>IF(E22&lt;&gt;"",ROW(),"")</f>
        <v>22</v>
      </c>
      <c r="U22" s="48"/>
    </row>
    <row r="23" spans="1:23" ht="6" customHeight="1">
      <c r="A23" s="46"/>
      <c r="B23" s="46"/>
      <c r="C23" s="46"/>
      <c r="D23" s="70"/>
      <c r="E23" s="162"/>
      <c r="F23" s="162"/>
      <c r="G23" s="162"/>
      <c r="H23" s="162"/>
      <c r="I23" s="162"/>
      <c r="J23" s="162"/>
      <c r="K23" s="162"/>
      <c r="L23" s="162"/>
      <c r="M23" s="162"/>
      <c r="N23" s="46"/>
      <c r="O23" s="46"/>
      <c r="P23" s="46"/>
      <c r="Q23" s="46"/>
      <c r="R23" s="46"/>
      <c r="S23" s="46"/>
    </row>
    <row r="24" spans="1:23" ht="16.5">
      <c r="A24" s="46"/>
      <c r="B24" s="46"/>
      <c r="C24" s="46"/>
      <c r="D24" s="70"/>
      <c r="E24" s="1456" t="s">
        <v>1081</v>
      </c>
      <c r="F24" s="1456"/>
      <c r="G24" s="1456"/>
      <c r="H24" s="1456"/>
      <c r="I24" s="1456"/>
      <c r="J24" s="1456"/>
      <c r="K24" s="1456"/>
      <c r="L24" s="1456"/>
      <c r="M24" s="1456"/>
      <c r="N24" s="46"/>
      <c r="O24" s="46"/>
      <c r="P24" s="46"/>
      <c r="Q24" s="46"/>
      <c r="R24" s="46"/>
      <c r="S24" s="46"/>
    </row>
    <row r="25" spans="1:23" ht="17.25">
      <c r="A25" s="46"/>
      <c r="B25" s="46"/>
      <c r="C25" s="46"/>
      <c r="D25" s="70"/>
      <c r="E25" s="1457" t="str">
        <f>"a. Đại diện phòng quản lý chất lượng:"</f>
        <v>a. Đại diện phòng quản lý chất lượng:</v>
      </c>
      <c r="F25" s="1458"/>
      <c r="G25" s="1458"/>
      <c r="H25" s="1458"/>
      <c r="I25" s="1458"/>
      <c r="J25" s="1458"/>
      <c r="K25" s="1458"/>
      <c r="L25" s="1458"/>
      <c r="M25" s="1458"/>
      <c r="N25" s="46"/>
      <c r="O25" s="46"/>
      <c r="P25" s="46"/>
      <c r="Q25" s="46"/>
      <c r="R25" s="46"/>
      <c r="S25" s="46"/>
    </row>
    <row r="26" spans="1:23" ht="16.5">
      <c r="A26" s="46"/>
      <c r="B26" s="46"/>
      <c r="C26" s="46"/>
      <c r="D26" s="70"/>
      <c r="E26" s="49"/>
      <c r="F26" s="163" t="s">
        <v>14</v>
      </c>
      <c r="G26" s="164" t="str">
        <f>KCS1_</f>
        <v>Nguyễn Văn Hải</v>
      </c>
      <c r="I26" s="165"/>
      <c r="J26" s="50" t="s">
        <v>15</v>
      </c>
      <c r="K26" s="51" t="str">
        <f>CV_KCS1</f>
        <v>Cán bộ KCS</v>
      </c>
      <c r="L26" s="52"/>
      <c r="M26" s="52"/>
      <c r="N26" s="46"/>
      <c r="O26" s="46"/>
      <c r="P26" s="46"/>
      <c r="Q26" s="46"/>
      <c r="R26" s="46"/>
      <c r="S26" s="46"/>
    </row>
    <row r="27" spans="1:23" ht="16.5">
      <c r="A27" s="46"/>
      <c r="B27" s="46"/>
      <c r="C27" s="46"/>
      <c r="D27" s="70"/>
      <c r="E27" s="49"/>
      <c r="F27" s="163" t="s">
        <v>14</v>
      </c>
      <c r="G27" s="164" t="str">
        <f>KCS2_</f>
        <v>………………………..</v>
      </c>
      <c r="I27" s="165"/>
      <c r="J27" s="50" t="s">
        <v>15</v>
      </c>
      <c r="K27" s="51" t="str">
        <f>CV_KCS2</f>
        <v xml:space="preserve"> …………………</v>
      </c>
      <c r="L27" s="52"/>
      <c r="M27" s="52"/>
      <c r="N27" s="46"/>
      <c r="O27" s="46"/>
      <c r="P27" s="46"/>
      <c r="Q27" s="46"/>
      <c r="R27" s="46"/>
      <c r="S27" s="46"/>
    </row>
    <row r="28" spans="1:23" ht="17.25">
      <c r="A28" s="46"/>
      <c r="B28" s="46"/>
      <c r="C28" s="46"/>
      <c r="D28" s="70"/>
      <c r="E28" s="1457" t="str">
        <f>"b. Đại diện ban chỉ huy công trình:"</f>
        <v>b. Đại diện ban chỉ huy công trình:</v>
      </c>
      <c r="F28" s="1458"/>
      <c r="G28" s="1458"/>
      <c r="H28" s="1458"/>
      <c r="I28" s="1458"/>
      <c r="J28" s="1458"/>
      <c r="K28" s="1458"/>
      <c r="L28" s="1458"/>
      <c r="M28" s="1458"/>
      <c r="N28" s="46"/>
      <c r="O28" s="46"/>
      <c r="P28" s="46"/>
      <c r="Q28" s="46"/>
      <c r="R28" s="46"/>
      <c r="S28" s="46"/>
    </row>
    <row r="29" spans="1:23" ht="16.5">
      <c r="A29" s="46"/>
      <c r="B29" s="46"/>
      <c r="C29" s="46"/>
      <c r="D29" s="70"/>
      <c r="E29" s="49"/>
      <c r="F29" s="163" t="s">
        <v>14</v>
      </c>
      <c r="G29" s="166" t="str">
        <f>CBKT1</f>
        <v>Hoàng Đình Tảng</v>
      </c>
      <c r="I29" s="165"/>
      <c r="J29" s="50" t="s">
        <v>15</v>
      </c>
      <c r="K29" s="51" t="str">
        <f>CV_CBKT1</f>
        <v>Chỉ huy công trường</v>
      </c>
      <c r="L29" s="52"/>
      <c r="M29" s="52"/>
      <c r="N29" s="46"/>
      <c r="O29" s="46"/>
      <c r="P29" s="46"/>
      <c r="Q29" s="46"/>
      <c r="R29" s="46"/>
      <c r="S29" s="46"/>
    </row>
    <row r="30" spans="1:23" ht="16.5">
      <c r="A30" s="46"/>
      <c r="B30" s="46"/>
      <c r="C30" s="46"/>
      <c r="D30" s="70"/>
      <c r="E30" s="49"/>
      <c r="F30" s="163" t="s">
        <v>14</v>
      </c>
      <c r="G30" s="166" t="str">
        <f>CBKT2</f>
        <v>Lê Thiên Phương</v>
      </c>
      <c r="I30" s="165"/>
      <c r="J30" s="50" t="s">
        <v>15</v>
      </c>
      <c r="K30" s="51" t="str">
        <f>CV_CBKT2</f>
        <v>Kỹ thuật thi công</v>
      </c>
      <c r="L30" s="52"/>
      <c r="M30" s="52"/>
      <c r="N30" s="46"/>
      <c r="O30" s="46"/>
      <c r="P30" s="46"/>
      <c r="Q30" s="46"/>
      <c r="R30" s="46"/>
      <c r="S30" s="46"/>
      <c r="W30" s="53"/>
    </row>
    <row r="31" spans="1:23" ht="5.25" customHeight="1">
      <c r="A31" s="46"/>
      <c r="B31" s="46"/>
      <c r="C31" s="46"/>
      <c r="D31" s="70"/>
      <c r="E31" s="47"/>
      <c r="F31" s="153"/>
      <c r="G31" s="153"/>
      <c r="H31" s="153"/>
      <c r="I31" s="47"/>
      <c r="J31" s="47"/>
      <c r="K31" s="47"/>
      <c r="L31" s="47"/>
      <c r="M31" s="47"/>
      <c r="N31" s="46"/>
      <c r="O31" s="46"/>
      <c r="P31" s="46"/>
      <c r="Q31" s="46"/>
      <c r="R31" s="46"/>
      <c r="S31" s="46"/>
    </row>
    <row r="32" spans="1:23" ht="16.5">
      <c r="A32" s="46"/>
      <c r="B32" s="46"/>
      <c r="C32" s="46"/>
      <c r="D32" s="70"/>
      <c r="E32" s="1456" t="s">
        <v>181</v>
      </c>
      <c r="F32" s="1456"/>
      <c r="G32" s="1456"/>
      <c r="H32" s="1456"/>
      <c r="I32" s="1456"/>
      <c r="J32" s="1456"/>
      <c r="K32" s="1456"/>
      <c r="L32" s="1456"/>
      <c r="M32" s="1456"/>
      <c r="N32" s="46"/>
      <c r="O32" s="46"/>
      <c r="P32" s="46"/>
      <c r="Q32" s="46"/>
      <c r="R32" s="46"/>
      <c r="S32" s="46"/>
    </row>
    <row r="33" spans="1:22" ht="21.75" customHeight="1">
      <c r="A33" s="46"/>
      <c r="B33" s="46"/>
      <c r="C33" s="46"/>
      <c r="D33" s="70"/>
      <c r="E33" s="47"/>
      <c r="F33" s="171" t="str">
        <f>" Bắt đầu: "&amp;TachgioBB(VLOOKUP(P2,ListBBHT!A5:L17,6,0),1)&amp;", "&amp;Doingay(VLOOKUP(P2,ListBBHT!A5:L17,7,0))</f>
        <v xml:space="preserve"> Bắt đầu: 13 giờ 30 phút ,  ngày 6 tháng 6 năm 2020</v>
      </c>
      <c r="G33" s="52"/>
      <c r="H33" s="52"/>
      <c r="I33" s="54"/>
      <c r="J33" s="54"/>
      <c r="K33" s="54"/>
      <c r="L33" s="54"/>
      <c r="M33" s="54"/>
      <c r="N33" s="46"/>
      <c r="O33" s="46"/>
      <c r="P33" s="46"/>
      <c r="Q33" s="46"/>
      <c r="R33" s="46"/>
      <c r="S33" s="46"/>
    </row>
    <row r="34" spans="1:22" ht="18.75" customHeight="1">
      <c r="A34" s="46"/>
      <c r="B34" s="46"/>
      <c r="C34" s="46"/>
      <c r="D34" s="70"/>
      <c r="E34" s="47"/>
      <c r="F34" s="171" t="str">
        <f>" Kết thúc: "&amp;TachgioBB(VLOOKUP(P2,ListBBHT!A5:L17,6,0),2)&amp;", "&amp;Doingay(VLOOKUP(P2,ListBBHT!A5:L17,7,0))</f>
        <v xml:space="preserve"> Kết thúc: 14 giờ 10 phút ,  ngày 6 tháng 6 năm 2020</v>
      </c>
      <c r="G34" s="172"/>
      <c r="H34" s="172"/>
      <c r="I34" s="173"/>
      <c r="J34" s="173"/>
      <c r="K34" s="173"/>
      <c r="L34" s="173"/>
      <c r="M34" s="173"/>
      <c r="N34" s="46"/>
      <c r="O34" s="46"/>
      <c r="P34" s="46"/>
      <c r="Q34" s="46"/>
      <c r="R34" s="46"/>
      <c r="S34" s="46"/>
    </row>
    <row r="35" spans="1:22" ht="36.6" customHeight="1">
      <c r="A35" s="46"/>
      <c r="B35" s="46"/>
      <c r="C35" s="46"/>
      <c r="D35" s="70"/>
      <c r="E35" s="1452" t="str">
        <f>" - Vị trí tại "&amp;Tieude1&amp;" : "&amp;NDtieude1</f>
        <v xml:space="preserve"> - Vị trí tại Công trình : Gia cố nâng cấp kênh Bà Xoài từ K0+300÷K0+600 - Hệ thống thủy lợi Nha Trinh, huyện Ninh Hải, tỉnh Ninh Thuận</v>
      </c>
      <c r="F35" s="1465"/>
      <c r="G35" s="1465"/>
      <c r="H35" s="1465"/>
      <c r="I35" s="1465"/>
      <c r="J35" s="1465"/>
      <c r="K35" s="1465"/>
      <c r="L35" s="1465"/>
      <c r="M35" s="1465"/>
      <c r="N35" s="46"/>
      <c r="O35" s="46"/>
      <c r="P35" s="46"/>
      <c r="Q35" s="46"/>
      <c r="R35" s="46"/>
      <c r="S35" s="46"/>
      <c r="U35" s="44">
        <f>IF(E35&lt;&gt;"",ROW(),"")</f>
        <v>35</v>
      </c>
    </row>
    <row r="36" spans="1:22" ht="16.5">
      <c r="A36" s="46"/>
      <c r="B36" s="46"/>
      <c r="C36" s="46"/>
      <c r="D36" s="70"/>
      <c r="E36" s="1456" t="s">
        <v>182</v>
      </c>
      <c r="F36" s="1456"/>
      <c r="G36" s="1456"/>
      <c r="H36" s="1456"/>
      <c r="I36" s="1456"/>
      <c r="J36" s="1456"/>
      <c r="K36" s="1456"/>
      <c r="L36" s="1456"/>
      <c r="M36" s="1456"/>
      <c r="N36" s="46"/>
      <c r="O36" s="46"/>
      <c r="P36" s="46"/>
      <c r="Q36" s="46"/>
      <c r="R36" s="46"/>
      <c r="S36" s="46"/>
    </row>
    <row r="37" spans="1:22" ht="36.6" customHeight="1">
      <c r="A37" s="46"/>
      <c r="B37" s="46"/>
      <c r="C37" s="46"/>
      <c r="D37" s="70"/>
      <c r="E37" s="1452" t="str">
        <f>IFERROR("a) Hồ sơ lập dự toán: Hồ sơ lập dự toán thi công do "&amp;DVTK&amp;" lập và được cấp có thẩm quyền phê duyệt.","a) - Hồ sơ thiết kế bản vẽ thi công: Hồ sơ thiết kế bản vẽ thi công đã được phê duyệt.")</f>
        <v>a) Hồ sơ lập dự toán: Hồ sơ lập dự toán thi công do Công ty TNHH Tư vấn Xây dựng Hưng Thịnh lập và được cấp có thẩm quyền phê duyệt.</v>
      </c>
      <c r="F37" s="1465"/>
      <c r="G37" s="1465"/>
      <c r="H37" s="1465"/>
      <c r="I37" s="1465"/>
      <c r="J37" s="1465"/>
      <c r="K37" s="1465"/>
      <c r="L37" s="1465"/>
      <c r="M37" s="1465"/>
      <c r="N37" s="46"/>
      <c r="O37" s="46"/>
      <c r="P37" s="46"/>
      <c r="Q37" s="46"/>
      <c r="R37" s="46"/>
      <c r="S37" s="46"/>
      <c r="U37" s="44">
        <f>IF(E37&lt;&gt;"",ROW(),"")</f>
        <v>37</v>
      </c>
    </row>
    <row r="38" spans="1:22" ht="16.5">
      <c r="A38" s="46"/>
      <c r="B38" s="46"/>
      <c r="C38" s="46"/>
      <c r="D38" s="70"/>
      <c r="E38" s="1466" t="s">
        <v>1082</v>
      </c>
      <c r="F38" s="1466"/>
      <c r="G38" s="1466"/>
      <c r="H38" s="1466"/>
      <c r="I38" s="1466"/>
      <c r="J38" s="1466"/>
      <c r="K38" s="1466"/>
      <c r="L38" s="1466"/>
      <c r="M38" s="1466"/>
      <c r="N38" s="46"/>
      <c r="O38" s="46"/>
      <c r="P38" s="46"/>
      <c r="Q38" s="46"/>
      <c r="R38" s="46"/>
      <c r="S38" s="46"/>
      <c r="V38" s="66"/>
    </row>
    <row r="39" spans="1:22" ht="20.100000000000001" customHeight="1">
      <c r="A39" s="46"/>
      <c r="B39" s="46"/>
      <c r="C39" s="46"/>
      <c r="D39" s="70"/>
      <c r="E39" s="1529" t="s">
        <v>203</v>
      </c>
      <c r="F39" s="1552"/>
      <c r="G39" s="1552"/>
      <c r="H39" s="1552"/>
      <c r="I39" s="1552"/>
      <c r="J39" s="1552"/>
      <c r="K39" s="1552"/>
      <c r="L39" s="1552"/>
      <c r="M39" s="1552"/>
      <c r="N39" s="46"/>
      <c r="O39" s="46"/>
      <c r="P39" s="46"/>
      <c r="Q39" s="46"/>
      <c r="R39" s="46"/>
      <c r="S39" s="46"/>
      <c r="T39" s="44">
        <f>IF(E39&lt;&gt;"",ROW(),"")</f>
        <v>39</v>
      </c>
      <c r="U39" s="48"/>
    </row>
    <row r="40" spans="1:22" ht="20.100000000000001" customHeight="1">
      <c r="A40" s="46"/>
      <c r="B40" s="46"/>
      <c r="C40" s="46"/>
      <c r="D40" s="70"/>
      <c r="E40" s="1529" t="s">
        <v>3847</v>
      </c>
      <c r="F40" s="1529"/>
      <c r="G40" s="1529"/>
      <c r="H40" s="1529"/>
      <c r="I40" s="1529"/>
      <c r="J40" s="1529"/>
      <c r="K40" s="1529"/>
      <c r="L40" s="1529"/>
      <c r="M40" s="1529"/>
      <c r="N40" s="46"/>
      <c r="O40" s="46"/>
      <c r="P40" s="46"/>
      <c r="Q40" s="46"/>
      <c r="R40" s="46"/>
      <c r="S40" s="46"/>
      <c r="T40" s="44">
        <f>IF(E40&lt;&gt;"",ROW(),"")</f>
        <v>40</v>
      </c>
      <c r="U40" s="48"/>
    </row>
    <row r="41" spans="1:22" ht="20.100000000000001" customHeight="1">
      <c r="A41" s="46"/>
      <c r="B41" s="46"/>
      <c r="C41" s="46"/>
      <c r="D41" s="70"/>
      <c r="E41" s="1529" t="s">
        <v>5822</v>
      </c>
      <c r="F41" s="1529"/>
      <c r="G41" s="1529"/>
      <c r="H41" s="1529"/>
      <c r="I41" s="1529"/>
      <c r="J41" s="1529"/>
      <c r="K41" s="1529"/>
      <c r="L41" s="1529"/>
      <c r="M41" s="1529"/>
      <c r="N41" s="46"/>
      <c r="O41" s="46"/>
      <c r="P41" s="46"/>
      <c r="Q41" s="46"/>
      <c r="R41" s="46"/>
      <c r="S41" s="46"/>
      <c r="T41" s="44">
        <f>IF(E41&lt;&gt;"",ROW(),"")</f>
        <v>41</v>
      </c>
      <c r="U41" s="48"/>
    </row>
    <row r="42" spans="1:22" ht="20.100000000000001" customHeight="1">
      <c r="A42" s="46"/>
      <c r="B42" s="46"/>
      <c r="C42" s="46"/>
      <c r="D42" s="70"/>
      <c r="E42" s="1529" t="s">
        <v>5821</v>
      </c>
      <c r="F42" s="1529"/>
      <c r="G42" s="1529"/>
      <c r="H42" s="1529"/>
      <c r="I42" s="1529"/>
      <c r="J42" s="1529"/>
      <c r="K42" s="1529"/>
      <c r="L42" s="1529"/>
      <c r="M42" s="1529"/>
      <c r="N42" s="46"/>
      <c r="O42" s="46"/>
      <c r="P42" s="46"/>
      <c r="Q42" s="46"/>
      <c r="R42" s="46"/>
      <c r="S42" s="46"/>
      <c r="T42" s="44">
        <f>IF(E42&lt;&gt;"",ROW(),"")</f>
        <v>42</v>
      </c>
      <c r="U42" s="48"/>
    </row>
    <row r="43" spans="1:22" ht="36.6" customHeight="1">
      <c r="A43" s="46"/>
      <c r="B43" s="46"/>
      <c r="C43" s="46"/>
      <c r="D43" s="70"/>
      <c r="E43" s="1529" t="s">
        <v>5823</v>
      </c>
      <c r="F43" s="1529"/>
      <c r="G43" s="1529"/>
      <c r="H43" s="1529"/>
      <c r="I43" s="1529"/>
      <c r="J43" s="1529"/>
      <c r="K43" s="1529"/>
      <c r="L43" s="1529"/>
      <c r="M43" s="1529"/>
      <c r="N43" s="46"/>
      <c r="O43" s="46"/>
      <c r="P43" s="46"/>
      <c r="Q43" s="46"/>
      <c r="R43" s="46"/>
      <c r="S43" s="46"/>
      <c r="T43" s="44">
        <f t="shared" ref="T43:T60" si="0">IF(E43&lt;&gt;"",ROW(),"")</f>
        <v>43</v>
      </c>
      <c r="U43" s="48"/>
    </row>
    <row r="44" spans="1:22" ht="16.5" hidden="1">
      <c r="A44" s="46"/>
      <c r="B44" s="46"/>
      <c r="C44" s="46"/>
      <c r="D44" s="70"/>
      <c r="E44" s="1529"/>
      <c r="F44" s="1529"/>
      <c r="G44" s="1529"/>
      <c r="H44" s="1529"/>
      <c r="I44" s="1529"/>
      <c r="J44" s="1529"/>
      <c r="K44" s="1529"/>
      <c r="L44" s="1529"/>
      <c r="M44" s="1529"/>
      <c r="N44" s="46"/>
      <c r="O44" s="46"/>
      <c r="P44" s="46"/>
      <c r="Q44" s="46"/>
      <c r="R44" s="46"/>
      <c r="S44" s="46"/>
      <c r="T44" s="44" t="str">
        <f t="shared" si="0"/>
        <v/>
      </c>
      <c r="U44" s="48"/>
    </row>
    <row r="45" spans="1:22" ht="16.5" hidden="1">
      <c r="A45" s="46"/>
      <c r="B45" s="46"/>
      <c r="C45" s="46"/>
      <c r="D45" s="70"/>
      <c r="E45" s="1529"/>
      <c r="F45" s="1529"/>
      <c r="G45" s="1529"/>
      <c r="H45" s="1529"/>
      <c r="I45" s="1529"/>
      <c r="J45" s="1529"/>
      <c r="K45" s="1529"/>
      <c r="L45" s="1529"/>
      <c r="M45" s="1529"/>
      <c r="N45" s="46"/>
      <c r="O45" s="46"/>
      <c r="P45" s="46"/>
      <c r="Q45" s="46"/>
      <c r="R45" s="46"/>
      <c r="S45" s="46"/>
      <c r="T45" s="44" t="str">
        <f t="shared" si="0"/>
        <v/>
      </c>
      <c r="U45" s="48"/>
    </row>
    <row r="46" spans="1:22" ht="16.5" hidden="1">
      <c r="A46" s="46"/>
      <c r="B46" s="46"/>
      <c r="C46" s="46"/>
      <c r="D46" s="70"/>
      <c r="E46" s="1529"/>
      <c r="F46" s="1529"/>
      <c r="G46" s="1529"/>
      <c r="H46" s="1529"/>
      <c r="I46" s="1529"/>
      <c r="J46" s="1529"/>
      <c r="K46" s="1529"/>
      <c r="L46" s="1529"/>
      <c r="M46" s="1529"/>
      <c r="N46" s="46"/>
      <c r="O46" s="46"/>
      <c r="P46" s="46"/>
      <c r="Q46" s="46"/>
      <c r="R46" s="46"/>
      <c r="S46" s="46"/>
      <c r="T46" s="44" t="str">
        <f t="shared" si="0"/>
        <v/>
      </c>
      <c r="U46" s="48"/>
    </row>
    <row r="47" spans="1:22" ht="16.5" hidden="1">
      <c r="A47" s="46"/>
      <c r="B47" s="46"/>
      <c r="C47" s="46"/>
      <c r="D47" s="70"/>
      <c r="E47" s="1529"/>
      <c r="F47" s="1529"/>
      <c r="G47" s="1529"/>
      <c r="H47" s="1529"/>
      <c r="I47" s="1529"/>
      <c r="J47" s="1529"/>
      <c r="K47" s="1529"/>
      <c r="L47" s="1529"/>
      <c r="M47" s="1529"/>
      <c r="N47" s="46"/>
      <c r="O47" s="46"/>
      <c r="P47" s="46"/>
      <c r="Q47" s="46"/>
      <c r="R47" s="46"/>
      <c r="S47" s="46"/>
      <c r="T47" s="44" t="str">
        <f t="shared" si="0"/>
        <v/>
      </c>
      <c r="U47" s="48"/>
    </row>
    <row r="48" spans="1:22" ht="16.5" hidden="1">
      <c r="A48" s="46"/>
      <c r="B48" s="46"/>
      <c r="C48" s="46"/>
      <c r="D48" s="70"/>
      <c r="E48" s="1529"/>
      <c r="F48" s="1529"/>
      <c r="G48" s="1529"/>
      <c r="H48" s="1529"/>
      <c r="I48" s="1529"/>
      <c r="J48" s="1529"/>
      <c r="K48" s="1529"/>
      <c r="L48" s="1529"/>
      <c r="M48" s="1529"/>
      <c r="N48" s="46"/>
      <c r="O48" s="46"/>
      <c r="P48" s="46"/>
      <c r="Q48" s="46"/>
      <c r="R48" s="46"/>
      <c r="S48" s="46"/>
      <c r="T48" s="44" t="str">
        <f t="shared" si="0"/>
        <v/>
      </c>
      <c r="U48" s="48"/>
    </row>
    <row r="49" spans="1:21" ht="53.1" customHeight="1">
      <c r="A49" s="46"/>
      <c r="B49" s="46"/>
      <c r="C49" s="46"/>
      <c r="D49" s="70"/>
      <c r="E49" s="1529" t="str">
        <f>"c) Tài liệu chỉ dẫn kỹ thuật có liên quan: Hợp đồng số: "&amp;Hopdong&amp;" giữa "&amp;CĐT&amp;" và "&amp;DVTC</f>
        <v>c) Tài liệu chỉ dẫn kỹ thuật có liên quan: Hợp đồng số: 01/2020/HĐXD-TD ngày 28 tháng 04 năm 2020 giữa Công ty TNHH MTV khai thác công trình thủy lợi Ninh Thuận và Công ty TNHH Xây dựng Thịnh Dũng</v>
      </c>
      <c r="F49" s="1552"/>
      <c r="G49" s="1552"/>
      <c r="H49" s="1552"/>
      <c r="I49" s="1552"/>
      <c r="J49" s="1552"/>
      <c r="K49" s="1552"/>
      <c r="L49" s="1552"/>
      <c r="M49" s="1552"/>
      <c r="N49" s="46"/>
      <c r="O49" s="46"/>
      <c r="P49" s="46"/>
      <c r="Q49" s="46"/>
      <c r="R49" s="46"/>
      <c r="S49" s="46"/>
      <c r="U49" s="44">
        <f>IF(E49&lt;&gt;"",ROW(),"")</f>
        <v>49</v>
      </c>
    </row>
    <row r="50" spans="1:21" ht="16.5">
      <c r="A50" s="46"/>
      <c r="B50" s="46"/>
      <c r="C50" s="46"/>
      <c r="D50" s="70"/>
      <c r="E50" s="1544" t="s">
        <v>1083</v>
      </c>
      <c r="F50" s="1544"/>
      <c r="G50" s="1544"/>
      <c r="H50" s="1544"/>
      <c r="I50" s="1544"/>
      <c r="J50" s="1544"/>
      <c r="K50" s="1544"/>
      <c r="L50" s="1544"/>
      <c r="M50" s="1544"/>
      <c r="N50" s="46"/>
      <c r="O50" s="46"/>
      <c r="P50" s="46"/>
      <c r="Q50" s="46"/>
      <c r="R50" s="46"/>
      <c r="S50" s="46"/>
    </row>
    <row r="51" spans="1:21" ht="20.100000000000001" customHeight="1">
      <c r="A51" s="46"/>
      <c r="B51" s="46"/>
      <c r="C51" s="46"/>
      <c r="D51" s="70"/>
      <c r="E51" s="1467" t="s">
        <v>4379</v>
      </c>
      <c r="F51" s="1468"/>
      <c r="G51" s="1468"/>
      <c r="H51" s="1468"/>
      <c r="I51" s="1468"/>
      <c r="J51" s="1468"/>
      <c r="K51" s="1468"/>
      <c r="L51" s="1468"/>
      <c r="M51" s="1468"/>
      <c r="N51" s="46"/>
      <c r="O51" s="46"/>
      <c r="P51" s="46"/>
      <c r="Q51" s="46"/>
      <c r="R51" s="46"/>
      <c r="S51" s="46"/>
      <c r="T51" s="44">
        <f t="shared" si="0"/>
        <v>51</v>
      </c>
    </row>
    <row r="52" spans="1:21" ht="20.100000000000001" customHeight="1">
      <c r="A52" s="46"/>
      <c r="B52" s="46"/>
      <c r="C52" s="46"/>
      <c r="D52" s="70"/>
      <c r="E52" s="1467" t="s">
        <v>5824</v>
      </c>
      <c r="F52" s="1468"/>
      <c r="G52" s="1468"/>
      <c r="H52" s="1468"/>
      <c r="I52" s="1468"/>
      <c r="J52" s="1468"/>
      <c r="K52" s="1468"/>
      <c r="L52" s="1468"/>
      <c r="M52" s="1468"/>
      <c r="N52" s="46"/>
      <c r="O52" s="46"/>
      <c r="P52" s="46"/>
      <c r="Q52" s="46"/>
      <c r="R52" s="46"/>
      <c r="S52" s="46"/>
      <c r="T52" s="44">
        <f t="shared" si="0"/>
        <v>52</v>
      </c>
    </row>
    <row r="53" spans="1:21" ht="20.100000000000001" customHeight="1">
      <c r="A53" s="46"/>
      <c r="B53" s="46"/>
      <c r="C53" s="46"/>
      <c r="D53" s="70"/>
      <c r="E53" s="1467" t="s">
        <v>5927</v>
      </c>
      <c r="F53" s="1468"/>
      <c r="G53" s="1468"/>
      <c r="H53" s="1468"/>
      <c r="I53" s="1468"/>
      <c r="J53" s="1468"/>
      <c r="K53" s="1468"/>
      <c r="L53" s="1468"/>
      <c r="M53" s="1468"/>
      <c r="N53" s="46"/>
      <c r="O53" s="46"/>
      <c r="P53" s="46"/>
      <c r="Q53" s="46"/>
      <c r="R53" s="46"/>
      <c r="S53" s="46"/>
      <c r="T53" s="44">
        <f t="shared" si="0"/>
        <v>53</v>
      </c>
    </row>
    <row r="54" spans="1:21" ht="16.5" hidden="1">
      <c r="A54" s="46"/>
      <c r="B54" s="46"/>
      <c r="C54" s="46"/>
      <c r="D54" s="70"/>
      <c r="E54" s="1467"/>
      <c r="F54" s="1468"/>
      <c r="G54" s="1468"/>
      <c r="H54" s="1468"/>
      <c r="I54" s="1468"/>
      <c r="J54" s="1468"/>
      <c r="K54" s="1468"/>
      <c r="L54" s="1468"/>
      <c r="M54" s="1468"/>
      <c r="N54" s="46"/>
      <c r="O54" s="46"/>
      <c r="P54" s="46"/>
      <c r="Q54" s="46"/>
      <c r="R54" s="46"/>
      <c r="S54" s="46"/>
      <c r="T54" s="44" t="str">
        <f t="shared" si="0"/>
        <v/>
      </c>
    </row>
    <row r="55" spans="1:21" ht="16.5" hidden="1">
      <c r="A55" s="46"/>
      <c r="B55" s="46"/>
      <c r="C55" s="46"/>
      <c r="D55" s="70"/>
      <c r="E55" s="1467"/>
      <c r="F55" s="1468"/>
      <c r="G55" s="1468"/>
      <c r="H55" s="1468"/>
      <c r="I55" s="1468"/>
      <c r="J55" s="1468"/>
      <c r="K55" s="1468"/>
      <c r="L55" s="1468"/>
      <c r="M55" s="1468"/>
      <c r="N55" s="46"/>
      <c r="O55" s="46"/>
      <c r="P55" s="46"/>
      <c r="Q55" s="46"/>
      <c r="R55" s="46"/>
      <c r="S55" s="46"/>
      <c r="T55" s="44" t="str">
        <f t="shared" si="0"/>
        <v/>
      </c>
    </row>
    <row r="56" spans="1:21" ht="16.5" hidden="1">
      <c r="A56" s="46"/>
      <c r="B56" s="46"/>
      <c r="C56" s="46"/>
      <c r="D56" s="70"/>
      <c r="E56" s="1467"/>
      <c r="F56" s="1468"/>
      <c r="G56" s="1468"/>
      <c r="H56" s="1468"/>
      <c r="I56" s="1468"/>
      <c r="J56" s="1468"/>
      <c r="K56" s="1468"/>
      <c r="L56" s="1468"/>
      <c r="M56" s="1468"/>
      <c r="N56" s="46"/>
      <c r="O56" s="46"/>
      <c r="P56" s="46"/>
      <c r="Q56" s="46"/>
      <c r="R56" s="46"/>
      <c r="S56" s="46"/>
      <c r="T56" s="44" t="str">
        <f t="shared" si="0"/>
        <v/>
      </c>
    </row>
    <row r="57" spans="1:21" ht="16.5" hidden="1">
      <c r="A57" s="46"/>
      <c r="B57" s="46"/>
      <c r="C57" s="46"/>
      <c r="D57" s="70"/>
      <c r="E57" s="1467"/>
      <c r="F57" s="1468"/>
      <c r="G57" s="1468"/>
      <c r="H57" s="1468"/>
      <c r="I57" s="1468"/>
      <c r="J57" s="1468"/>
      <c r="K57" s="1468"/>
      <c r="L57" s="1468"/>
      <c r="M57" s="1468"/>
      <c r="N57" s="46"/>
      <c r="O57" s="46"/>
      <c r="P57" s="46"/>
      <c r="Q57" s="46"/>
      <c r="R57" s="46"/>
      <c r="S57" s="46"/>
      <c r="T57" s="44" t="str">
        <f t="shared" si="0"/>
        <v/>
      </c>
    </row>
    <row r="58" spans="1:21" ht="16.5" hidden="1">
      <c r="A58" s="46"/>
      <c r="B58" s="46"/>
      <c r="C58" s="46"/>
      <c r="D58" s="70"/>
      <c r="E58" s="1467"/>
      <c r="F58" s="1468"/>
      <c r="G58" s="1468"/>
      <c r="H58" s="1468"/>
      <c r="I58" s="1468"/>
      <c r="J58" s="1468"/>
      <c r="K58" s="1468"/>
      <c r="L58" s="1468"/>
      <c r="M58" s="1468"/>
      <c r="N58" s="46"/>
      <c r="O58" s="46"/>
      <c r="P58" s="46"/>
      <c r="Q58" s="46"/>
      <c r="R58" s="46"/>
      <c r="S58" s="46"/>
      <c r="T58" s="44" t="str">
        <f t="shared" si="0"/>
        <v/>
      </c>
    </row>
    <row r="59" spans="1:21" ht="16.5" hidden="1">
      <c r="A59" s="46"/>
      <c r="B59" s="46"/>
      <c r="C59" s="46"/>
      <c r="D59" s="70"/>
      <c r="E59" s="1467"/>
      <c r="F59" s="1468"/>
      <c r="G59" s="1468"/>
      <c r="H59" s="1468"/>
      <c r="I59" s="1468"/>
      <c r="J59" s="1468"/>
      <c r="K59" s="1468"/>
      <c r="L59" s="1468"/>
      <c r="M59" s="1468"/>
      <c r="N59" s="46"/>
      <c r="O59" s="46"/>
      <c r="P59" s="46"/>
      <c r="Q59" s="46"/>
      <c r="R59" s="46"/>
      <c r="S59" s="46"/>
      <c r="T59" s="44" t="str">
        <f t="shared" si="0"/>
        <v/>
      </c>
    </row>
    <row r="60" spans="1:21" ht="16.5" hidden="1">
      <c r="A60" s="46"/>
      <c r="B60" s="46"/>
      <c r="C60" s="46"/>
      <c r="D60" s="70"/>
      <c r="E60" s="1467"/>
      <c r="F60" s="1468"/>
      <c r="G60" s="1468"/>
      <c r="H60" s="1468"/>
      <c r="I60" s="1468"/>
      <c r="J60" s="1468"/>
      <c r="K60" s="1468"/>
      <c r="L60" s="1468"/>
      <c r="M60" s="1468"/>
      <c r="N60" s="46"/>
      <c r="O60" s="46"/>
      <c r="P60" s="46"/>
      <c r="Q60" s="46"/>
      <c r="R60" s="46"/>
      <c r="S60" s="46"/>
      <c r="T60" s="44" t="str">
        <f t="shared" si="0"/>
        <v/>
      </c>
      <c r="U60" s="48"/>
    </row>
    <row r="61" spans="1:21" ht="36.6" customHeight="1">
      <c r="A61" s="46"/>
      <c r="B61" s="46"/>
      <c r="C61" s="46"/>
      <c r="D61" s="70"/>
      <c r="E61" s="1464" t="s">
        <v>1084</v>
      </c>
      <c r="F61" s="1464"/>
      <c r="G61" s="1464"/>
      <c r="H61" s="1464"/>
      <c r="I61" s="1464"/>
      <c r="J61" s="1464"/>
      <c r="K61" s="1464"/>
      <c r="L61" s="1464"/>
      <c r="M61" s="1464"/>
      <c r="N61" s="46"/>
      <c r="O61" s="46"/>
      <c r="P61" s="46"/>
      <c r="Q61" s="46"/>
      <c r="R61" s="46"/>
      <c r="S61" s="46"/>
      <c r="U61" s="44">
        <f>IF(E61&lt;&gt;"",ROW(),"")</f>
        <v>61</v>
      </c>
    </row>
    <row r="62" spans="1:21" ht="16.5">
      <c r="A62" s="46"/>
      <c r="B62" s="46"/>
      <c r="C62" s="46"/>
      <c r="D62" s="70"/>
      <c r="E62" s="1456" t="s">
        <v>183</v>
      </c>
      <c r="F62" s="1456"/>
      <c r="G62" s="1456"/>
      <c r="H62" s="1456"/>
      <c r="I62" s="1456"/>
      <c r="J62" s="1456"/>
      <c r="K62" s="1456"/>
      <c r="L62" s="1456"/>
      <c r="M62" s="1456"/>
      <c r="N62" s="46"/>
      <c r="O62" s="46"/>
      <c r="P62" s="46"/>
      <c r="Q62" s="46"/>
      <c r="R62" s="46"/>
      <c r="S62" s="46"/>
    </row>
    <row r="63" spans="1:21" ht="17.25">
      <c r="A63" s="46"/>
      <c r="B63" s="46"/>
      <c r="C63" s="46"/>
      <c r="D63" s="70"/>
      <c r="E63" s="1471" t="s">
        <v>184</v>
      </c>
      <c r="F63" s="1471"/>
      <c r="G63" s="1471"/>
      <c r="H63" s="1471"/>
      <c r="I63" s="1471"/>
      <c r="J63" s="1471"/>
      <c r="K63" s="1471"/>
      <c r="L63" s="1471"/>
      <c r="M63" s="1471"/>
      <c r="N63" s="46"/>
      <c r="O63" s="46"/>
      <c r="P63" s="46"/>
      <c r="Q63" s="46"/>
      <c r="R63" s="46"/>
      <c r="S63" s="46"/>
    </row>
    <row r="64" spans="1:21" ht="18.75" customHeight="1">
      <c r="A64" s="46"/>
      <c r="B64" s="46"/>
      <c r="C64" s="46"/>
      <c r="D64" s="70"/>
      <c r="E64" s="1554" t="s">
        <v>185</v>
      </c>
      <c r="F64" s="1453"/>
      <c r="G64" s="1453"/>
      <c r="H64" s="1453"/>
      <c r="I64" s="1453"/>
      <c r="J64" s="1453"/>
      <c r="K64" s="1453"/>
      <c r="L64" s="1453"/>
      <c r="M64" s="1453"/>
      <c r="N64" s="46"/>
      <c r="O64" s="46"/>
      <c r="P64" s="46"/>
      <c r="Q64" s="46"/>
      <c r="R64" s="46"/>
      <c r="S64" s="46"/>
    </row>
    <row r="65" spans="1:19" ht="19.5" customHeight="1">
      <c r="A65" s="46"/>
      <c r="B65" s="46"/>
      <c r="C65" s="46"/>
      <c r="D65" s="70"/>
      <c r="E65" s="1479" t="s">
        <v>186</v>
      </c>
      <c r="F65" s="1452"/>
      <c r="G65" s="1452"/>
      <c r="H65" s="1452"/>
      <c r="I65" s="1452"/>
      <c r="J65" s="1452"/>
      <c r="K65" s="1452"/>
      <c r="L65" s="1452"/>
      <c r="M65" s="1452"/>
      <c r="N65" s="46"/>
      <c r="O65" s="46"/>
      <c r="P65" s="46"/>
      <c r="Q65" s="46"/>
      <c r="R65" s="46"/>
      <c r="S65" s="46"/>
    </row>
    <row r="66" spans="1:19" ht="37.5" customHeight="1">
      <c r="A66" s="46"/>
      <c r="B66" s="46"/>
      <c r="C66" s="46"/>
      <c r="D66" s="70"/>
      <c r="E66" s="1554" t="s">
        <v>187</v>
      </c>
      <c r="F66" s="1453"/>
      <c r="G66" s="1453"/>
      <c r="H66" s="1453"/>
      <c r="I66" s="1453"/>
      <c r="J66" s="1453"/>
      <c r="K66" s="1453"/>
      <c r="L66" s="1453"/>
      <c r="M66" s="1453"/>
      <c r="N66" s="46"/>
      <c r="O66" s="46"/>
      <c r="P66" s="46"/>
      <c r="Q66" s="46"/>
      <c r="R66" s="46"/>
      <c r="S66" s="46"/>
    </row>
    <row r="67" spans="1:19" ht="17.25">
      <c r="A67" s="46"/>
      <c r="B67" s="46"/>
      <c r="C67" s="46"/>
      <c r="D67" s="70"/>
      <c r="E67" s="1471" t="s">
        <v>188</v>
      </c>
      <c r="F67" s="1471"/>
      <c r="G67" s="1471"/>
      <c r="H67" s="1471"/>
      <c r="I67" s="1471"/>
      <c r="J67" s="1471"/>
      <c r="K67" s="1471"/>
      <c r="L67" s="1471"/>
      <c r="M67" s="1471"/>
      <c r="N67" s="46"/>
      <c r="O67" s="46"/>
      <c r="P67" s="46"/>
      <c r="Q67" s="46"/>
      <c r="R67" s="46"/>
      <c r="S67" s="46"/>
    </row>
    <row r="68" spans="1:19" ht="18.75" customHeight="1">
      <c r="A68" s="46"/>
      <c r="B68" s="46"/>
      <c r="C68" s="46"/>
      <c r="D68" s="70"/>
      <c r="E68" s="1553" t="s">
        <v>189</v>
      </c>
      <c r="F68" s="1509"/>
      <c r="G68" s="1509"/>
      <c r="H68" s="1509"/>
      <c r="I68" s="1509"/>
      <c r="J68" s="1509"/>
      <c r="K68" s="1509"/>
      <c r="L68" s="1509"/>
      <c r="M68" s="1509"/>
      <c r="N68" s="46"/>
      <c r="O68" s="46"/>
      <c r="P68" s="46"/>
      <c r="Q68" s="46"/>
      <c r="R68" s="46"/>
      <c r="S68" s="46"/>
    </row>
    <row r="69" spans="1:19" ht="17.25">
      <c r="A69" s="46"/>
      <c r="B69" s="46"/>
      <c r="C69" s="46"/>
      <c r="D69" s="70"/>
      <c r="E69" s="1471" t="s">
        <v>190</v>
      </c>
      <c r="F69" s="1471"/>
      <c r="G69" s="1471"/>
      <c r="H69" s="1471"/>
      <c r="I69" s="1471"/>
      <c r="J69" s="1471"/>
      <c r="K69" s="1471"/>
      <c r="L69" s="1471"/>
      <c r="M69" s="1471"/>
      <c r="N69" s="46"/>
      <c r="O69" s="46"/>
      <c r="P69" s="46"/>
      <c r="Q69" s="46"/>
      <c r="R69" s="46"/>
      <c r="S69" s="46"/>
    </row>
    <row r="70" spans="1:19" ht="18.75" customHeight="1">
      <c r="A70" s="46"/>
      <c r="B70" s="46"/>
      <c r="C70" s="46"/>
      <c r="D70" s="70"/>
      <c r="E70" s="1553" t="s">
        <v>191</v>
      </c>
      <c r="F70" s="1509"/>
      <c r="G70" s="1509"/>
      <c r="H70" s="1509"/>
      <c r="I70" s="1509"/>
      <c r="J70" s="1509"/>
      <c r="K70" s="1509"/>
      <c r="L70" s="1509"/>
      <c r="M70" s="1509"/>
      <c r="N70" s="46"/>
      <c r="O70" s="46"/>
      <c r="P70" s="46"/>
      <c r="Q70" s="46"/>
      <c r="R70" s="46"/>
      <c r="S70" s="46"/>
    </row>
    <row r="71" spans="1:19" ht="16.5">
      <c r="A71" s="46"/>
      <c r="B71" s="46"/>
      <c r="C71" s="46"/>
      <c r="D71" s="70"/>
      <c r="E71" s="1456" t="s">
        <v>192</v>
      </c>
      <c r="F71" s="1456"/>
      <c r="G71" s="1456"/>
      <c r="H71" s="1456"/>
      <c r="I71" s="1456"/>
      <c r="J71" s="1456"/>
      <c r="K71" s="1456"/>
      <c r="L71" s="1456"/>
      <c r="M71" s="1456"/>
      <c r="N71" s="46"/>
      <c r="O71" s="46"/>
      <c r="P71" s="46"/>
      <c r="Q71" s="46"/>
      <c r="R71" s="46"/>
      <c r="S71" s="46"/>
    </row>
    <row r="72" spans="1:19" ht="18.75" customHeight="1">
      <c r="A72" s="46"/>
      <c r="B72" s="46"/>
      <c r="C72" s="46"/>
      <c r="D72" s="70"/>
      <c r="E72" s="1554" t="s">
        <v>1085</v>
      </c>
      <c r="F72" s="1453"/>
      <c r="G72" s="1453"/>
      <c r="H72" s="1453"/>
      <c r="I72" s="1453"/>
      <c r="J72" s="1453"/>
      <c r="K72" s="1453"/>
      <c r="L72" s="1453"/>
      <c r="M72" s="1453"/>
      <c r="N72" s="46"/>
      <c r="O72" s="46"/>
      <c r="P72" s="46"/>
      <c r="Q72" s="46"/>
      <c r="R72" s="46"/>
      <c r="S72" s="46"/>
    </row>
    <row r="73" spans="1:19" ht="18.75" customHeight="1">
      <c r="A73" s="46"/>
      <c r="B73" s="46"/>
      <c r="C73" s="46"/>
      <c r="D73" s="70"/>
      <c r="E73" s="1476"/>
      <c r="F73" s="1453"/>
      <c r="G73" s="1453"/>
      <c r="H73" s="1453"/>
      <c r="I73" s="1453"/>
      <c r="J73" s="1453"/>
      <c r="K73" s="1453"/>
      <c r="L73" s="1453"/>
      <c r="M73" s="1453"/>
      <c r="N73" s="46"/>
      <c r="O73" s="46"/>
      <c r="P73" s="46"/>
      <c r="Q73" s="46"/>
      <c r="R73" s="46"/>
      <c r="S73" s="46"/>
    </row>
    <row r="74" spans="1:19" ht="34.5" customHeight="1">
      <c r="A74" s="46"/>
      <c r="B74" s="46"/>
      <c r="C74" s="46"/>
      <c r="D74" s="70"/>
      <c r="E74" s="1477" t="s">
        <v>1086</v>
      </c>
      <c r="F74" s="1478"/>
      <c r="G74" s="1478"/>
      <c r="H74" s="1478"/>
      <c r="I74" s="1478"/>
      <c r="J74" s="1477" t="s">
        <v>1087</v>
      </c>
      <c r="K74" s="1477"/>
      <c r="L74" s="1477"/>
      <c r="M74" s="1477"/>
      <c r="N74" s="46"/>
      <c r="O74" s="46"/>
      <c r="P74" s="46"/>
      <c r="Q74" s="46"/>
      <c r="R74" s="46"/>
      <c r="S74" s="46"/>
    </row>
    <row r="75" spans="1:19" ht="16.5">
      <c r="A75" s="46"/>
      <c r="B75" s="46"/>
      <c r="C75" s="46"/>
      <c r="D75" s="70"/>
      <c r="E75" s="47"/>
      <c r="F75" s="47"/>
      <c r="G75" s="47"/>
      <c r="H75" s="47"/>
      <c r="I75" s="47"/>
      <c r="J75" s="47"/>
      <c r="K75" s="47"/>
      <c r="L75" s="47"/>
      <c r="M75" s="47"/>
      <c r="N75" s="46"/>
      <c r="O75" s="46"/>
      <c r="P75" s="46"/>
      <c r="Q75" s="46"/>
      <c r="R75" s="46"/>
      <c r="S75" s="46"/>
    </row>
    <row r="76" spans="1:19" ht="16.5">
      <c r="A76" s="46"/>
      <c r="B76" s="46"/>
      <c r="C76" s="46"/>
      <c r="D76" s="70"/>
      <c r="E76" s="47"/>
      <c r="F76" s="47"/>
      <c r="G76" s="47"/>
      <c r="H76" s="47"/>
      <c r="I76" s="47"/>
      <c r="J76" s="47"/>
      <c r="K76" s="47"/>
      <c r="L76" s="47"/>
      <c r="M76" s="47"/>
      <c r="N76" s="46"/>
      <c r="O76" s="46"/>
      <c r="P76" s="46"/>
      <c r="Q76" s="46"/>
      <c r="R76" s="46"/>
      <c r="S76" s="46"/>
    </row>
    <row r="77" spans="1:19" ht="16.5">
      <c r="A77" s="46"/>
      <c r="B77" s="46"/>
      <c r="C77" s="46"/>
      <c r="D77" s="70"/>
      <c r="E77" s="47"/>
      <c r="F77" s="47"/>
      <c r="G77" s="47"/>
      <c r="H77" s="47"/>
      <c r="I77" s="47"/>
      <c r="J77" s="47"/>
      <c r="K77" s="47"/>
      <c r="L77" s="47"/>
      <c r="M77" s="47"/>
      <c r="N77" s="46"/>
      <c r="O77" s="46"/>
      <c r="P77" s="46"/>
      <c r="Q77" s="46"/>
      <c r="R77" s="46"/>
      <c r="S77" s="46"/>
    </row>
    <row r="78" spans="1:19" ht="16.5">
      <c r="A78" s="46"/>
      <c r="B78" s="46"/>
      <c r="C78" s="46"/>
      <c r="D78" s="70"/>
      <c r="E78" s="47"/>
      <c r="F78" s="47"/>
      <c r="G78" s="47"/>
      <c r="H78" s="47"/>
      <c r="I78" s="47"/>
      <c r="J78" s="47"/>
      <c r="K78" s="47"/>
      <c r="L78" s="47"/>
      <c r="M78" s="47"/>
      <c r="N78" s="46"/>
      <c r="O78" s="46"/>
      <c r="P78" s="46"/>
      <c r="Q78" s="46"/>
      <c r="R78" s="46"/>
      <c r="S78" s="46"/>
    </row>
    <row r="79" spans="1:19" ht="16.5">
      <c r="A79" s="46"/>
      <c r="B79" s="46"/>
      <c r="C79" s="46"/>
      <c r="D79" s="70"/>
      <c r="E79" s="47"/>
      <c r="F79" s="47"/>
      <c r="G79" s="47"/>
      <c r="H79" s="47"/>
      <c r="I79" s="47"/>
      <c r="J79" s="47"/>
      <c r="K79" s="174"/>
      <c r="L79" s="47"/>
      <c r="M79" s="47"/>
      <c r="N79" s="46"/>
      <c r="O79" s="46"/>
      <c r="P79" s="46"/>
      <c r="Q79" s="46"/>
      <c r="R79" s="46"/>
      <c r="S79" s="46"/>
    </row>
    <row r="80" spans="1:19" ht="17.25" customHeight="1">
      <c r="A80" s="46"/>
      <c r="B80" s="46"/>
      <c r="C80" s="46"/>
      <c r="D80" s="70"/>
      <c r="E80" s="1477" t="str">
        <f>KCS1_</f>
        <v>Nguyễn Văn Hải</v>
      </c>
      <c r="F80" s="1478"/>
      <c r="G80" s="1478"/>
      <c r="H80" s="1478"/>
      <c r="I80" s="1478"/>
      <c r="J80" s="1484" t="str">
        <f>CBKT1</f>
        <v>Hoàng Đình Tảng</v>
      </c>
      <c r="K80" s="1484"/>
      <c r="L80" s="1484"/>
      <c r="M80" s="1484"/>
      <c r="N80" s="46"/>
      <c r="O80" s="46"/>
      <c r="P80" s="46"/>
      <c r="Q80" s="46"/>
      <c r="R80" s="46"/>
      <c r="S80" s="46"/>
    </row>
    <row r="81" spans="1:23" ht="6" customHeight="1">
      <c r="A81" s="46"/>
      <c r="B81" s="46"/>
      <c r="C81" s="46"/>
      <c r="D81" s="70"/>
      <c r="E81" s="1485"/>
      <c r="F81" s="1486"/>
      <c r="G81" s="1486"/>
      <c r="H81" s="1486"/>
      <c r="I81" s="1486"/>
      <c r="J81" s="1486"/>
      <c r="K81" s="1486"/>
      <c r="L81" s="1486"/>
      <c r="M81" s="1487"/>
      <c r="N81" s="46"/>
      <c r="O81" s="46"/>
      <c r="P81" s="46"/>
      <c r="Q81" s="46"/>
      <c r="R81" s="46"/>
      <c r="S81" s="46"/>
    </row>
    <row r="82" spans="1:23" ht="18.75" customHeight="1">
      <c r="A82" s="46"/>
      <c r="B82" s="46"/>
      <c r="C82" s="46"/>
      <c r="D82" s="70"/>
      <c r="E82" s="1488" t="s">
        <v>158</v>
      </c>
      <c r="F82" s="1488"/>
      <c r="G82" s="1488"/>
      <c r="H82" s="1488"/>
      <c r="I82" s="1488"/>
      <c r="J82" s="1488"/>
      <c r="K82" s="1488"/>
      <c r="L82" s="1488"/>
      <c r="M82" s="1488"/>
      <c r="N82" s="46"/>
      <c r="O82" s="46"/>
      <c r="P82" s="46"/>
      <c r="Q82" s="46"/>
      <c r="R82" s="46"/>
      <c r="S82" s="46"/>
    </row>
    <row r="83" spans="1:23" ht="16.5">
      <c r="A83" s="46"/>
      <c r="B83" s="46"/>
      <c r="C83" s="46"/>
      <c r="D83" s="70"/>
      <c r="E83" s="1489" t="s">
        <v>178</v>
      </c>
      <c r="F83" s="1489"/>
      <c r="G83" s="1489"/>
      <c r="H83" s="1489"/>
      <c r="I83" s="1489"/>
      <c r="J83" s="1489"/>
      <c r="K83" s="1489"/>
      <c r="L83" s="1489"/>
      <c r="M83" s="1489"/>
      <c r="N83" s="46"/>
      <c r="O83" s="46"/>
      <c r="P83" s="46"/>
      <c r="Q83" s="46"/>
      <c r="R83" s="46"/>
      <c r="S83" s="46"/>
    </row>
    <row r="84" spans="1:23" ht="16.5" customHeight="1">
      <c r="A84" s="46"/>
      <c r="B84" s="46"/>
      <c r="C84" s="46"/>
      <c r="D84" s="70"/>
      <c r="E84" s="1490" t="s">
        <v>179</v>
      </c>
      <c r="F84" s="1490"/>
      <c r="G84" s="1490"/>
      <c r="H84" s="1490"/>
      <c r="I84" s="1490"/>
      <c r="J84" s="1490"/>
      <c r="K84" s="1490"/>
      <c r="L84" s="1490"/>
      <c r="M84" s="1490"/>
      <c r="N84" s="46"/>
      <c r="O84" s="46"/>
      <c r="P84" s="46"/>
      <c r="Q84" s="46"/>
      <c r="R84" s="46"/>
      <c r="S84" s="46"/>
    </row>
    <row r="85" spans="1:23" ht="17.25" customHeight="1">
      <c r="A85" s="46"/>
      <c r="B85" s="46"/>
      <c r="C85" s="46"/>
      <c r="D85" s="70"/>
      <c r="E85" s="1492" t="str">
        <f>Diadanh&amp;", "&amp;IFERROR(Doingay(VLOOKUP(P2,ListBBHT!A5:L17,8,0))," ngày ….. tháng ….. năm …..")</f>
        <v>Ninh Hải,  ngày 6 tháng 6 năm 2020</v>
      </c>
      <c r="F85" s="1492"/>
      <c r="G85" s="1492"/>
      <c r="H85" s="1492"/>
      <c r="I85" s="1492"/>
      <c r="J85" s="1492"/>
      <c r="K85" s="1492"/>
      <c r="L85" s="1492"/>
      <c r="M85" s="1492"/>
      <c r="N85" s="46"/>
      <c r="O85" s="46"/>
      <c r="P85" s="46"/>
      <c r="Q85" s="46"/>
      <c r="R85" s="46"/>
      <c r="S85" s="46"/>
      <c r="W85" s="53"/>
    </row>
    <row r="86" spans="1:23" ht="7.5" customHeight="1">
      <c r="A86" s="46"/>
      <c r="B86" s="46"/>
      <c r="C86" s="46"/>
      <c r="D86" s="70"/>
      <c r="E86" s="47"/>
      <c r="F86" s="47"/>
      <c r="G86" s="47"/>
      <c r="H86" s="47"/>
      <c r="I86" s="47"/>
      <c r="J86" s="47"/>
      <c r="K86" s="47"/>
      <c r="L86" s="47"/>
      <c r="M86" s="47"/>
      <c r="N86" s="46"/>
      <c r="O86" s="46"/>
      <c r="P86" s="46"/>
      <c r="Q86" s="46"/>
      <c r="R86" s="46"/>
      <c r="S86" s="46"/>
    </row>
    <row r="87" spans="1:23" ht="39.75" customHeight="1">
      <c r="A87" s="46"/>
      <c r="B87" s="46"/>
      <c r="C87" s="46"/>
      <c r="D87" s="70"/>
      <c r="E87" s="1555" t="s">
        <v>411</v>
      </c>
      <c r="F87" s="1556"/>
      <c r="G87" s="1556"/>
      <c r="H87" s="1556"/>
      <c r="I87" s="1556"/>
      <c r="J87" s="1556"/>
      <c r="K87" s="1556"/>
      <c r="L87" s="1556"/>
      <c r="M87" s="1556"/>
      <c r="N87" s="46"/>
      <c r="O87" s="46"/>
      <c r="P87" s="46"/>
      <c r="Q87" s="46"/>
      <c r="R87" s="46"/>
      <c r="S87" s="46"/>
    </row>
    <row r="88" spans="1:23" ht="16.5">
      <c r="A88" s="46"/>
      <c r="B88" s="46"/>
      <c r="C88" s="46"/>
      <c r="D88" s="70"/>
      <c r="E88" s="1557" t="str">
        <f>"Phiếu số: "&amp;TEXT(VLOOKUP(P2,ListBBHT!A5:AB17,15,0),"00")&amp;"/YCHT"</f>
        <v>Phiếu số: 01/YCHT</v>
      </c>
      <c r="F88" s="1557"/>
      <c r="G88" s="1557"/>
      <c r="H88" s="1557"/>
      <c r="I88" s="1557"/>
      <c r="J88" s="1557"/>
      <c r="K88" s="1557"/>
      <c r="L88" s="1557"/>
      <c r="M88" s="1557"/>
      <c r="N88" s="46"/>
      <c r="O88" s="46"/>
      <c r="P88" s="46"/>
      <c r="Q88" s="46"/>
      <c r="R88" s="46"/>
      <c r="S88" s="46"/>
    </row>
    <row r="89" spans="1:23" ht="5.25" customHeight="1">
      <c r="A89" s="46"/>
      <c r="B89" s="46"/>
      <c r="C89" s="46"/>
      <c r="D89" s="70"/>
      <c r="E89" s="796"/>
      <c r="F89" s="797"/>
      <c r="G89" s="797"/>
      <c r="H89" s="797"/>
      <c r="I89" s="797"/>
      <c r="J89" s="797"/>
      <c r="K89" s="797"/>
      <c r="L89" s="797"/>
      <c r="M89" s="797"/>
      <c r="N89" s="46"/>
      <c r="O89" s="46"/>
      <c r="P89" s="46"/>
      <c r="Q89" s="46"/>
      <c r="R89" s="46"/>
      <c r="S89" s="46"/>
    </row>
    <row r="90" spans="1:23" ht="16.5">
      <c r="A90" s="46"/>
      <c r="B90" s="46"/>
      <c r="C90" s="46"/>
      <c r="D90" s="70"/>
      <c r="E90" s="1482" t="s">
        <v>194</v>
      </c>
      <c r="F90" s="1482"/>
      <c r="G90" s="1453" t="str">
        <f>"- "&amp;CĐT</f>
        <v>- Công ty TNHH MTV khai thác công trình thủy lợi Ninh Thuận</v>
      </c>
      <c r="H90" s="1453"/>
      <c r="I90" s="1453"/>
      <c r="J90" s="1453"/>
      <c r="K90" s="1453"/>
      <c r="L90" s="1453"/>
      <c r="M90" s="1453"/>
      <c r="N90" s="46"/>
      <c r="O90" s="46"/>
      <c r="P90" s="46"/>
      <c r="Q90" s="46"/>
      <c r="R90" s="46"/>
      <c r="S90" s="46"/>
    </row>
    <row r="91" spans="1:23" ht="16.5" hidden="1">
      <c r="A91" s="46"/>
      <c r="B91" s="46"/>
      <c r="C91" s="46"/>
      <c r="D91" s="70"/>
      <c r="E91" s="993"/>
      <c r="F91" s="993"/>
      <c r="G91" s="1453" t="str">
        <f>IF(G90=IF(DD_CDT&lt;&gt;"","- "&amp;DD_CDT,""),"",IF(DD_CDT&lt;&gt;"","- "&amp;DD_CDT,""))</f>
        <v/>
      </c>
      <c r="H91" s="1453"/>
      <c r="I91" s="1453"/>
      <c r="J91" s="1453"/>
      <c r="K91" s="1453"/>
      <c r="L91" s="1453"/>
      <c r="M91" s="1453"/>
      <c r="N91" s="46"/>
      <c r="O91" s="46"/>
      <c r="P91" s="46"/>
      <c r="Q91" s="46"/>
      <c r="R91" s="46"/>
      <c r="S91" s="46"/>
    </row>
    <row r="92" spans="1:23" ht="16.5">
      <c r="A92" s="46"/>
      <c r="B92" s="46"/>
      <c r="C92" s="46"/>
      <c r="D92" s="70"/>
      <c r="E92" s="47"/>
      <c r="F92" s="47"/>
      <c r="G92" s="1453" t="str">
        <f>"- "&amp;DVGS</f>
        <v>- Công ty TNHH Tư vấn Đầu tư Xây dựng Huy Đạt</v>
      </c>
      <c r="H92" s="1453"/>
      <c r="I92" s="1453"/>
      <c r="J92" s="1453"/>
      <c r="K92" s="1453"/>
      <c r="L92" s="1453"/>
      <c r="M92" s="1453"/>
      <c r="N92" s="46"/>
      <c r="O92" s="46"/>
      <c r="P92" s="46"/>
      <c r="Q92" s="46"/>
      <c r="R92" s="46"/>
      <c r="S92" s="46"/>
    </row>
    <row r="93" spans="1:23" ht="8.25" customHeight="1">
      <c r="A93" s="46"/>
      <c r="B93" s="46"/>
      <c r="C93" s="46"/>
      <c r="D93" s="70"/>
      <c r="E93" s="47"/>
      <c r="F93" s="47"/>
      <c r="G93" s="1152"/>
      <c r="H93" s="1152"/>
      <c r="I93" s="1152"/>
      <c r="J93" s="1152"/>
      <c r="K93" s="1152"/>
      <c r="L93" s="1152"/>
      <c r="M93" s="1152"/>
      <c r="N93" s="46"/>
      <c r="O93" s="46"/>
      <c r="P93" s="46"/>
      <c r="Q93" s="46"/>
      <c r="R93" s="46"/>
      <c r="S93" s="46"/>
    </row>
    <row r="94" spans="1:23" ht="40.5" customHeight="1">
      <c r="A94" s="46"/>
      <c r="B94" s="46"/>
      <c r="C94" s="46"/>
      <c r="D94" s="70"/>
      <c r="E94" s="1452" t="s">
        <v>5487</v>
      </c>
      <c r="F94" s="1452"/>
      <c r="G94" s="1452"/>
      <c r="H94" s="1452"/>
      <c r="I94" s="1452"/>
      <c r="J94" s="1452"/>
      <c r="K94" s="1452"/>
      <c r="L94" s="1452"/>
      <c r="M94" s="1452"/>
      <c r="N94" s="46"/>
      <c r="O94" s="46"/>
      <c r="P94" s="46"/>
      <c r="Q94" s="46"/>
      <c r="R94" s="46"/>
      <c r="S94" s="46"/>
    </row>
    <row r="95" spans="1:23" ht="42.75" customHeight="1">
      <c r="A95" s="46"/>
      <c r="B95" s="46"/>
      <c r="C95" s="46"/>
      <c r="D95" s="70"/>
      <c r="E95" s="1452" t="s">
        <v>5488</v>
      </c>
      <c r="F95" s="1452"/>
      <c r="G95" s="1452"/>
      <c r="H95" s="1452"/>
      <c r="I95" s="1452"/>
      <c r="J95" s="1452"/>
      <c r="K95" s="1452"/>
      <c r="L95" s="1452"/>
      <c r="M95" s="1452"/>
      <c r="N95" s="46"/>
      <c r="O95" s="46"/>
      <c r="P95" s="46"/>
      <c r="Q95" s="46"/>
      <c r="R95" s="46"/>
      <c r="S95" s="46"/>
    </row>
    <row r="96" spans="1:23" ht="36.6" customHeight="1">
      <c r="A96" s="46"/>
      <c r="B96" s="46"/>
      <c r="C96" s="46"/>
      <c r="D96" s="70"/>
      <c r="E96" s="1452" t="str">
        <f>"     - Căn cứ Hợp đồng số: "&amp;Hopdong&amp;" giữa "&amp;CĐT&amp;" và "&amp;IF(LEN(Liendanh),Liendanh,DVTC)</f>
        <v xml:space="preserve">     - Căn cứ Hợp đồng số: 01/2020/HĐXD-TD ngày 28 tháng 04 năm 2020 giữa Công ty TNHH MTV khai thác công trình thủy lợi Ninh Thuận và Công ty TNHH Xây dựng Thịnh Dũng</v>
      </c>
      <c r="F96" s="1452"/>
      <c r="G96" s="1452"/>
      <c r="H96" s="1452"/>
      <c r="I96" s="1452"/>
      <c r="J96" s="1452"/>
      <c r="K96" s="1452"/>
      <c r="L96" s="1452"/>
      <c r="M96" s="1452"/>
      <c r="N96" s="46"/>
      <c r="O96" s="46"/>
      <c r="P96" s="46"/>
      <c r="Q96" s="46"/>
      <c r="R96" s="46"/>
      <c r="S96" s="46"/>
      <c r="U96" s="44">
        <f>ROW()</f>
        <v>96</v>
      </c>
    </row>
    <row r="97" spans="1:21" ht="69.599999999999994" customHeight="1">
      <c r="A97" s="46"/>
      <c r="B97" s="46"/>
      <c r="C97" s="46"/>
      <c r="D97" s="70"/>
      <c r="E97" s="1452" t="s">
        <v>4340</v>
      </c>
      <c r="F97" s="1452"/>
      <c r="G97" s="1452"/>
      <c r="H97" s="1452"/>
      <c r="I97" s="1452"/>
      <c r="J97" s="1452"/>
      <c r="K97" s="1452"/>
      <c r="L97" s="1452"/>
      <c r="M97" s="1452"/>
      <c r="N97" s="46"/>
      <c r="O97" s="46"/>
      <c r="P97" s="46"/>
      <c r="Q97" s="46"/>
      <c r="R97" s="46"/>
      <c r="S97" s="46"/>
      <c r="U97" s="44">
        <f>ROW()</f>
        <v>97</v>
      </c>
    </row>
    <row r="98" spans="1:21" ht="20.100000000000001" customHeight="1">
      <c r="A98" s="46"/>
      <c r="B98" s="46"/>
      <c r="C98" s="46"/>
      <c r="D98" s="70"/>
      <c r="E98" s="1452" t="s">
        <v>4343</v>
      </c>
      <c r="F98" s="1452"/>
      <c r="G98" s="1452"/>
      <c r="H98" s="1452"/>
      <c r="I98" s="1452"/>
      <c r="J98" s="1452"/>
      <c r="K98" s="1452"/>
      <c r="L98" s="1452"/>
      <c r="M98" s="1452"/>
      <c r="N98" s="46"/>
      <c r="O98" s="46"/>
      <c r="P98" s="46"/>
      <c r="Q98" s="46"/>
      <c r="R98" s="46"/>
      <c r="S98" s="46"/>
      <c r="U98" s="44">
        <f>ROW()</f>
        <v>98</v>
      </c>
    </row>
    <row r="99" spans="1:21" ht="9.75" customHeight="1">
      <c r="A99" s="46"/>
      <c r="B99" s="46"/>
      <c r="C99" s="46"/>
      <c r="D99" s="70"/>
      <c r="E99" s="47"/>
      <c r="F99" s="47"/>
      <c r="G99" s="1152"/>
      <c r="H99" s="1152"/>
      <c r="I99" s="1152"/>
      <c r="J99" s="1152"/>
      <c r="K99" s="1152"/>
      <c r="L99" s="1152"/>
      <c r="M99" s="1152"/>
      <c r="N99" s="46"/>
      <c r="O99" s="46"/>
      <c r="P99" s="46"/>
      <c r="Q99" s="46"/>
      <c r="R99" s="46"/>
      <c r="S99" s="46"/>
    </row>
    <row r="100" spans="1:21" ht="18.75" customHeight="1">
      <c r="A100" s="46"/>
      <c r="B100" s="46"/>
      <c r="C100" s="46"/>
      <c r="D100" s="70"/>
      <c r="E100" s="1497" t="s">
        <v>195</v>
      </c>
      <c r="F100" s="1466"/>
      <c r="G100" s="1466"/>
      <c r="H100" s="1466"/>
      <c r="I100" s="1466"/>
      <c r="J100" s="1466"/>
      <c r="K100" s="1466"/>
      <c r="L100" s="1466"/>
      <c r="M100" s="1466"/>
      <c r="N100" s="46"/>
      <c r="O100" s="46"/>
      <c r="P100" s="46"/>
      <c r="Q100" s="46"/>
      <c r="R100" s="46"/>
      <c r="S100" s="46"/>
    </row>
    <row r="101" spans="1:21" ht="20.100000000000001" customHeight="1">
      <c r="A101" s="46"/>
      <c r="B101" s="46"/>
      <c r="C101" s="46"/>
      <c r="D101" s="70"/>
      <c r="E101" s="1454" t="str">
        <f>E21</f>
        <v>- Tên công việc nghiệm thu: Hoàn thành công tác thi công</v>
      </c>
      <c r="F101" s="1464"/>
      <c r="G101" s="1464"/>
      <c r="H101" s="1464"/>
      <c r="I101" s="1464"/>
      <c r="J101" s="1464"/>
      <c r="K101" s="1464"/>
      <c r="L101" s="1464"/>
      <c r="M101" s="1464"/>
      <c r="N101" s="46"/>
      <c r="O101" s="46"/>
      <c r="P101" s="46"/>
      <c r="Q101" s="46"/>
      <c r="R101" s="46"/>
      <c r="S101" s="46"/>
      <c r="T101" s="44">
        <f>IF(E101&lt;&gt;"",ROW(),"")</f>
        <v>101</v>
      </c>
      <c r="U101" s="48"/>
    </row>
    <row r="102" spans="1:21" ht="20.100000000000001" customHeight="1">
      <c r="A102" s="46"/>
      <c r="B102" s="46"/>
      <c r="C102" s="46"/>
      <c r="D102" s="70"/>
      <c r="E102" s="1454" t="str">
        <f>E22</f>
        <v>- Vị trí xây dựng trên công trình: Đoạn Km0+300 đến Km0+600</v>
      </c>
      <c r="F102" s="1464"/>
      <c r="G102" s="1464"/>
      <c r="H102" s="1464"/>
      <c r="I102" s="1464"/>
      <c r="J102" s="1464"/>
      <c r="K102" s="1464"/>
      <c r="L102" s="1464"/>
      <c r="M102" s="1464"/>
      <c r="N102" s="46"/>
      <c r="O102" s="46"/>
      <c r="P102" s="46"/>
      <c r="Q102" s="46"/>
      <c r="R102" s="46"/>
      <c r="S102" s="46"/>
      <c r="T102" s="44">
        <f>IF(E102&lt;&gt;"",ROW(),"")</f>
        <v>102</v>
      </c>
      <c r="U102" s="48"/>
    </row>
    <row r="103" spans="1:21" ht="18.75" customHeight="1">
      <c r="A103" s="46"/>
      <c r="B103" s="46"/>
      <c r="C103" s="46"/>
      <c r="D103" s="70"/>
      <c r="E103" s="1497" t="s">
        <v>196</v>
      </c>
      <c r="F103" s="1466"/>
      <c r="G103" s="1466"/>
      <c r="H103" s="1466"/>
      <c r="I103" s="1466"/>
      <c r="J103" s="1466"/>
      <c r="K103" s="1466"/>
      <c r="L103" s="1466"/>
      <c r="M103" s="1466"/>
      <c r="N103" s="46"/>
      <c r="O103" s="46"/>
      <c r="P103" s="46"/>
      <c r="Q103" s="46"/>
      <c r="R103" s="46"/>
      <c r="S103" s="46"/>
    </row>
    <row r="104" spans="1:21" ht="16.5">
      <c r="A104" s="46"/>
      <c r="B104" s="46"/>
      <c r="C104" s="46"/>
      <c r="D104" s="70"/>
      <c r="E104" s="47"/>
      <c r="F104" s="55" t="str">
        <f>F145</f>
        <v xml:space="preserve"> Bắt đầu: 07 giờ 35 phút ,  ngày 7 tháng 6 năm 2020</v>
      </c>
      <c r="G104" s="47"/>
      <c r="H104" s="47"/>
      <c r="I104" s="47"/>
      <c r="J104" s="47"/>
      <c r="K104" s="47"/>
      <c r="L104" s="47"/>
      <c r="M104" s="47"/>
      <c r="N104" s="46"/>
      <c r="O104" s="46"/>
      <c r="P104" s="46"/>
      <c r="Q104" s="46"/>
      <c r="R104" s="46"/>
      <c r="S104" s="46"/>
    </row>
    <row r="105" spans="1:21" ht="36.6" customHeight="1">
      <c r="A105" s="46"/>
      <c r="B105" s="46"/>
      <c r="C105" s="46"/>
      <c r="D105" s="70"/>
      <c r="E105" s="1493" t="str">
        <f>E35</f>
        <v xml:space="preserve"> - Vị trí tại Công trình : Gia cố nâng cấp kênh Bà Xoài từ K0+300÷K0+600 - Hệ thống thủy lợi Nha Trinh, huyện Ninh Hải, tỉnh Ninh Thuận</v>
      </c>
      <c r="F105" s="1494"/>
      <c r="G105" s="1494"/>
      <c r="H105" s="1494"/>
      <c r="I105" s="1494"/>
      <c r="J105" s="1494"/>
      <c r="K105" s="1494"/>
      <c r="L105" s="1494"/>
      <c r="M105" s="1494"/>
      <c r="N105" s="46"/>
      <c r="O105" s="46"/>
      <c r="P105" s="46"/>
      <c r="Q105" s="46"/>
      <c r="R105" s="46"/>
      <c r="S105" s="46"/>
      <c r="U105" s="44">
        <f>IF(E105&lt;&gt;"",ROW(),"")</f>
        <v>105</v>
      </c>
    </row>
    <row r="106" spans="1:21" ht="44.25" customHeight="1">
      <c r="A106" s="46"/>
      <c r="B106" s="46"/>
      <c r="C106" s="46"/>
      <c r="D106" s="70"/>
      <c r="E106" s="1558" t="str">
        <f>BienbanCVXD!E107</f>
        <v xml:space="preserve">   Vậy kính mong CĐT và Đơn vị tư vấn giám sát có mặt đúng thời gian để triển khai công việc đảm bảo đúng tiến độ thi công.</v>
      </c>
      <c r="F106" s="1558"/>
      <c r="G106" s="1558"/>
      <c r="H106" s="1558"/>
      <c r="I106" s="1558"/>
      <c r="J106" s="1558"/>
      <c r="K106" s="1558"/>
      <c r="L106" s="1558"/>
      <c r="M106" s="1558"/>
      <c r="N106" s="46"/>
      <c r="O106" s="46"/>
      <c r="P106" s="46"/>
      <c r="Q106" s="46"/>
      <c r="R106" s="46"/>
      <c r="S106" s="46"/>
    </row>
    <row r="107" spans="1:21" ht="18.75" customHeight="1">
      <c r="A107" s="46"/>
      <c r="B107" s="46"/>
      <c r="C107" s="46"/>
      <c r="D107" s="70"/>
      <c r="E107" s="1493" t="str">
        <f>BienbanCVXD!E108</f>
        <v xml:space="preserve">   Xin trân trọng cảm ơn!</v>
      </c>
      <c r="F107" s="1493"/>
      <c r="G107" s="1493"/>
      <c r="H107" s="1493"/>
      <c r="I107" s="1493"/>
      <c r="J107" s="1493"/>
      <c r="K107" s="1493"/>
      <c r="L107" s="1493"/>
      <c r="M107" s="1493"/>
      <c r="N107" s="46"/>
      <c r="O107" s="46"/>
      <c r="P107" s="46"/>
      <c r="Q107" s="46"/>
      <c r="R107" s="46"/>
      <c r="S107" s="46"/>
    </row>
    <row r="108" spans="1:21" ht="5.25" customHeight="1">
      <c r="A108" s="46"/>
      <c r="B108" s="46"/>
      <c r="C108" s="46"/>
      <c r="D108" s="70"/>
      <c r="E108" s="1153"/>
      <c r="F108" s="1153"/>
      <c r="G108" s="1153"/>
      <c r="H108" s="1153"/>
      <c r="I108" s="1153"/>
      <c r="J108" s="1153"/>
      <c r="K108" s="1153"/>
      <c r="L108" s="1153"/>
      <c r="M108" s="1153"/>
      <c r="N108" s="46"/>
      <c r="O108" s="46"/>
      <c r="P108" s="46"/>
      <c r="Q108" s="46"/>
      <c r="R108" s="46"/>
      <c r="S108" s="46"/>
    </row>
    <row r="109" spans="1:21" ht="16.5">
      <c r="A109" s="46"/>
      <c r="B109" s="46"/>
      <c r="C109" s="46"/>
      <c r="D109" s="70"/>
      <c r="E109" s="1505" t="s">
        <v>1088</v>
      </c>
      <c r="F109" s="1506"/>
      <c r="G109" s="1506"/>
      <c r="H109" s="1506"/>
      <c r="I109" s="1500" t="str">
        <f>UPPER(DVTC)</f>
        <v>CÔNG TY TNHH XÂY DỰNG THỊNH DŨNG</v>
      </c>
      <c r="J109" s="1500"/>
      <c r="K109" s="1500"/>
      <c r="L109" s="1500"/>
      <c r="M109" s="1500"/>
      <c r="N109" s="46"/>
      <c r="O109" s="46"/>
      <c r="P109" s="46"/>
      <c r="Q109" s="46"/>
      <c r="R109" s="46"/>
      <c r="S109" s="46"/>
    </row>
    <row r="110" spans="1:21" ht="18.75" customHeight="1">
      <c r="A110" s="46"/>
      <c r="B110" s="46"/>
      <c r="C110" s="46"/>
      <c r="D110" s="70"/>
      <c r="E110" s="1508" t="s">
        <v>1089</v>
      </c>
      <c r="F110" s="1509"/>
      <c r="G110" s="1509"/>
      <c r="H110" s="1509"/>
      <c r="I110" s="1559" t="str">
        <f>CV_NguoiphatphieuYCNT</f>
        <v>Chỉ huy công trường</v>
      </c>
      <c r="J110" s="1559"/>
      <c r="K110" s="1559"/>
      <c r="L110" s="1559"/>
      <c r="M110" s="1559"/>
      <c r="N110" s="46"/>
      <c r="O110" s="46"/>
      <c r="P110" s="46"/>
      <c r="Q110" s="46"/>
      <c r="R110" s="46"/>
      <c r="S110" s="46"/>
    </row>
    <row r="111" spans="1:21" ht="18.75" customHeight="1">
      <c r="A111" s="46"/>
      <c r="B111" s="46"/>
      <c r="C111" s="46"/>
      <c r="D111" s="70"/>
      <c r="E111" s="1508" t="s">
        <v>1090</v>
      </c>
      <c r="F111" s="1509"/>
      <c r="G111" s="1509"/>
      <c r="H111" s="1509"/>
      <c r="I111" s="47"/>
      <c r="J111" s="47"/>
      <c r="K111" s="47"/>
      <c r="L111" s="47"/>
      <c r="M111" s="47"/>
      <c r="N111" s="46"/>
      <c r="O111" s="46"/>
      <c r="P111" s="46"/>
      <c r="Q111" s="46"/>
      <c r="R111" s="46"/>
      <c r="S111" s="46"/>
    </row>
    <row r="112" spans="1:21" ht="17.25" customHeight="1">
      <c r="A112" s="46"/>
      <c r="B112" s="46"/>
      <c r="C112" s="46"/>
      <c r="D112" s="70"/>
      <c r="E112" s="1499"/>
      <c r="F112" s="1478"/>
      <c r="G112" s="1478"/>
      <c r="H112" s="1478"/>
      <c r="I112" s="47"/>
      <c r="J112" s="47"/>
      <c r="K112" s="47"/>
      <c r="L112" s="47"/>
      <c r="M112" s="47"/>
      <c r="N112" s="46"/>
      <c r="O112" s="46"/>
      <c r="P112" s="46"/>
      <c r="Q112" s="46"/>
      <c r="R112" s="46"/>
      <c r="S112" s="46"/>
    </row>
    <row r="113" spans="1:21" ht="17.25" customHeight="1">
      <c r="A113" s="46"/>
      <c r="B113" s="46"/>
      <c r="C113" s="46"/>
      <c r="D113" s="70"/>
      <c r="E113" s="1499"/>
      <c r="F113" s="1478"/>
      <c r="G113" s="1478"/>
      <c r="H113" s="1478"/>
      <c r="I113" s="47"/>
      <c r="J113" s="47"/>
      <c r="K113" s="47"/>
      <c r="L113" s="47"/>
      <c r="M113" s="47"/>
      <c r="N113" s="46"/>
      <c r="O113" s="46"/>
      <c r="P113" s="46"/>
      <c r="Q113" s="46"/>
      <c r="R113" s="46"/>
      <c r="S113" s="46"/>
    </row>
    <row r="114" spans="1:21" ht="16.5">
      <c r="A114" s="46"/>
      <c r="B114" s="46"/>
      <c r="C114" s="46"/>
      <c r="D114" s="70"/>
      <c r="E114" s="47"/>
      <c r="F114" s="47"/>
      <c r="G114" s="47"/>
      <c r="H114" s="47"/>
      <c r="I114" s="47"/>
      <c r="J114" s="47"/>
      <c r="K114" s="47"/>
      <c r="L114" s="47"/>
      <c r="M114" s="47"/>
      <c r="N114" s="46"/>
      <c r="O114" s="46"/>
      <c r="P114" s="46"/>
      <c r="Q114" s="46"/>
      <c r="R114" s="46"/>
      <c r="S114" s="46"/>
    </row>
    <row r="115" spans="1:21" ht="16.5">
      <c r="A115" s="46"/>
      <c r="B115" s="46"/>
      <c r="C115" s="46"/>
      <c r="D115" s="70"/>
      <c r="E115" s="47"/>
      <c r="F115" s="47"/>
      <c r="G115" s="47"/>
      <c r="H115" s="47"/>
      <c r="I115" s="47"/>
      <c r="J115" s="47"/>
      <c r="K115" s="47"/>
      <c r="L115" s="47"/>
      <c r="M115" s="47"/>
      <c r="N115" s="46"/>
      <c r="O115" s="46"/>
      <c r="P115" s="46"/>
      <c r="Q115" s="46"/>
      <c r="R115" s="46"/>
      <c r="S115" s="46"/>
    </row>
    <row r="116" spans="1:21" ht="18.75" customHeight="1">
      <c r="A116" s="46"/>
      <c r="B116" s="46"/>
      <c r="C116" s="46"/>
      <c r="D116" s="70"/>
      <c r="E116" s="1500" t="str">
        <f>CBGS1</f>
        <v>Trần Trọng Liêm</v>
      </c>
      <c r="F116" s="1501"/>
      <c r="G116" s="1501"/>
      <c r="H116" s="1501"/>
      <c r="I116" s="1484" t="str">
        <f>NguoiphatphieuYCNT</f>
        <v>Hoàng Đình Tảng</v>
      </c>
      <c r="J116" s="1484"/>
      <c r="K116" s="1484"/>
      <c r="L116" s="1484"/>
      <c r="M116" s="1484"/>
      <c r="N116" s="46"/>
      <c r="O116" s="46"/>
      <c r="P116" s="46"/>
      <c r="Q116" s="46"/>
      <c r="R116" s="46"/>
      <c r="S116" s="46"/>
    </row>
    <row r="117" spans="1:21" ht="16.5">
      <c r="A117" s="46"/>
      <c r="B117" s="46"/>
      <c r="C117" s="46"/>
      <c r="D117" s="70"/>
      <c r="E117" s="155"/>
      <c r="F117" s="158"/>
      <c r="G117" s="158"/>
      <c r="H117" s="158"/>
      <c r="I117" s="156"/>
      <c r="J117" s="156"/>
      <c r="K117" s="156"/>
      <c r="L117" s="156"/>
      <c r="M117" s="156"/>
      <c r="N117" s="46"/>
      <c r="O117" s="46"/>
      <c r="P117" s="46"/>
      <c r="Q117" s="46"/>
      <c r="R117" s="46"/>
      <c r="S117" s="46"/>
    </row>
    <row r="118" spans="1:21" ht="16.5">
      <c r="A118" s="46"/>
      <c r="B118" s="46"/>
      <c r="C118" s="46"/>
      <c r="D118" s="70"/>
      <c r="E118" s="155"/>
      <c r="F118" s="158"/>
      <c r="G118" s="158"/>
      <c r="H118" s="158"/>
      <c r="I118" s="156"/>
      <c r="J118" s="156"/>
      <c r="K118" s="156"/>
      <c r="L118" s="156"/>
      <c r="M118" s="156"/>
      <c r="N118" s="46"/>
      <c r="O118" s="46"/>
      <c r="P118" s="46"/>
      <c r="Q118" s="46"/>
      <c r="R118" s="46"/>
      <c r="S118" s="46"/>
    </row>
    <row r="119" spans="1:21" ht="8.25" customHeight="1">
      <c r="A119" s="46"/>
      <c r="B119" s="46"/>
      <c r="C119" s="46"/>
      <c r="D119" s="71"/>
      <c r="E119" s="1502"/>
      <c r="F119" s="1503"/>
      <c r="G119" s="1503"/>
      <c r="H119" s="1503"/>
      <c r="I119" s="1503"/>
      <c r="J119" s="1503"/>
      <c r="K119" s="1503"/>
      <c r="L119" s="1503"/>
      <c r="M119" s="1504"/>
      <c r="N119" s="56"/>
      <c r="O119" s="46"/>
      <c r="P119" s="46"/>
      <c r="Q119" s="46"/>
      <c r="R119" s="46"/>
      <c r="S119" s="46"/>
    </row>
    <row r="120" spans="1:21" ht="17.25" customHeight="1">
      <c r="A120" s="46"/>
      <c r="B120" s="46"/>
      <c r="C120" s="46"/>
      <c r="D120" s="70"/>
      <c r="E120" s="1514" t="s">
        <v>158</v>
      </c>
      <c r="F120" s="1478"/>
      <c r="G120" s="1478"/>
      <c r="H120" s="1478"/>
      <c r="I120" s="1478"/>
      <c r="J120" s="1478"/>
      <c r="K120" s="1478"/>
      <c r="L120" s="1478"/>
      <c r="M120" s="1478"/>
      <c r="N120" s="46"/>
      <c r="O120" s="46"/>
      <c r="P120" s="46"/>
      <c r="Q120" s="46"/>
      <c r="R120" s="46"/>
      <c r="S120" s="46"/>
    </row>
    <row r="121" spans="1:21" ht="18.75" customHeight="1">
      <c r="A121" s="46"/>
      <c r="B121" s="46"/>
      <c r="C121" s="46"/>
      <c r="D121" s="70"/>
      <c r="E121" s="1515" t="s">
        <v>178</v>
      </c>
      <c r="F121" s="1506"/>
      <c r="G121" s="1506"/>
      <c r="H121" s="1506"/>
      <c r="I121" s="1506"/>
      <c r="J121" s="1506"/>
      <c r="K121" s="1506"/>
      <c r="L121" s="1506"/>
      <c r="M121" s="1506"/>
      <c r="N121" s="46"/>
      <c r="O121" s="46"/>
      <c r="P121" s="46"/>
      <c r="Q121" s="46"/>
      <c r="R121" s="46"/>
      <c r="S121" s="46"/>
    </row>
    <row r="122" spans="1:21" ht="17.25" customHeight="1">
      <c r="A122" s="46"/>
      <c r="B122" s="46"/>
      <c r="C122" s="46"/>
      <c r="D122" s="70"/>
      <c r="E122" s="1490" t="s">
        <v>179</v>
      </c>
      <c r="F122" s="1490"/>
      <c r="G122" s="1490"/>
      <c r="H122" s="1490"/>
      <c r="I122" s="1490"/>
      <c r="J122" s="1490"/>
      <c r="K122" s="1490"/>
      <c r="L122" s="1490"/>
      <c r="M122" s="1490"/>
      <c r="N122" s="46"/>
      <c r="O122" s="46"/>
      <c r="P122" s="46"/>
      <c r="Q122" s="46"/>
      <c r="R122" s="46"/>
      <c r="S122" s="46"/>
    </row>
    <row r="123" spans="1:21" ht="18.75" customHeight="1">
      <c r="A123" s="46"/>
      <c r="B123" s="46"/>
      <c r="C123" s="46"/>
      <c r="D123" s="70"/>
      <c r="E123" s="1516" t="str">
        <f>Diadanh&amp;", "&amp;IFERROR(Doingay(VLOOKUP(P2,ListBBHT!A5:L17,10,0))," ngày ….. tháng ….. năm …..")</f>
        <v>Ninh Hải,  ngày 7 tháng 6 năm 2020</v>
      </c>
      <c r="F123" s="1517"/>
      <c r="G123" s="1517"/>
      <c r="H123" s="1517"/>
      <c r="I123" s="1517"/>
      <c r="J123" s="1517"/>
      <c r="K123" s="1517"/>
      <c r="L123" s="1517"/>
      <c r="M123" s="1517"/>
      <c r="N123" s="46"/>
      <c r="O123" s="46"/>
      <c r="P123" s="46"/>
      <c r="Q123" s="46"/>
      <c r="R123" s="46"/>
      <c r="S123" s="46"/>
    </row>
    <row r="124" spans="1:21" ht="6" customHeight="1">
      <c r="A124" s="46"/>
      <c r="B124" s="46"/>
      <c r="C124" s="46"/>
      <c r="D124" s="70"/>
      <c r="E124" s="57"/>
      <c r="F124" s="57"/>
      <c r="G124" s="57"/>
      <c r="H124" s="57"/>
      <c r="I124" s="57"/>
      <c r="J124" s="57"/>
      <c r="K124" s="57"/>
      <c r="L124" s="57"/>
      <c r="M124" s="57"/>
      <c r="N124" s="46"/>
      <c r="O124" s="46"/>
      <c r="P124" s="46"/>
      <c r="Q124" s="46"/>
      <c r="R124" s="46"/>
      <c r="S124" s="46"/>
    </row>
    <row r="125" spans="1:21" ht="18.75" customHeight="1">
      <c r="A125" s="46"/>
      <c r="B125" s="46"/>
      <c r="C125" s="46"/>
      <c r="D125" s="70"/>
      <c r="E125" s="1518" t="str">
        <f>"BIÊN BẢN SỐ: "&amp;TEXT(VLOOKUP(P2,ListBBHT!A5:AB17,15,0),"00")&amp;"/NTHT"</f>
        <v>BIÊN BẢN SỐ: 01/NTHT</v>
      </c>
      <c r="F125" s="1506"/>
      <c r="G125" s="1506"/>
      <c r="H125" s="1506"/>
      <c r="I125" s="1506"/>
      <c r="J125" s="1506"/>
      <c r="K125" s="1506"/>
      <c r="L125" s="1506"/>
      <c r="M125" s="1506"/>
      <c r="N125" s="46"/>
      <c r="O125" s="46"/>
      <c r="P125" s="46"/>
      <c r="Q125" s="46"/>
      <c r="R125" s="46"/>
      <c r="S125" s="46"/>
    </row>
    <row r="126" spans="1:21" ht="43.5" customHeight="1">
      <c r="A126" s="46"/>
      <c r="B126" s="46"/>
      <c r="C126" s="46"/>
      <c r="D126" s="70"/>
      <c r="E126" s="1560" t="s">
        <v>413</v>
      </c>
      <c r="F126" s="1561"/>
      <c r="G126" s="1561"/>
      <c r="H126" s="1561"/>
      <c r="I126" s="1561"/>
      <c r="J126" s="1561"/>
      <c r="K126" s="1561"/>
      <c r="L126" s="1561"/>
      <c r="M126" s="1561"/>
      <c r="N126" s="46"/>
      <c r="O126" s="46"/>
      <c r="P126" s="46"/>
      <c r="Q126" s="46"/>
      <c r="R126" s="46"/>
      <c r="S126" s="46"/>
    </row>
    <row r="127" spans="1:21" ht="36.6" customHeight="1">
      <c r="A127" s="46"/>
      <c r="B127" s="46"/>
      <c r="C127" s="46"/>
      <c r="D127" s="70"/>
      <c r="E127" s="1562" t="str">
        <f>E15</f>
        <v>Công trình: Gia cố nâng cấp kênh Bà Xoài từ K0+300÷K0+600 - Hệ thống thủy lợi Nha Trinh, huyện Ninh Hải, tỉnh Ninh Thuận</v>
      </c>
      <c r="F127" s="1466"/>
      <c r="G127" s="1466"/>
      <c r="H127" s="1466"/>
      <c r="I127" s="1466"/>
      <c r="J127" s="1466"/>
      <c r="K127" s="1466"/>
      <c r="L127" s="1466"/>
      <c r="M127" s="1466"/>
      <c r="N127" s="46"/>
      <c r="O127" s="46"/>
      <c r="P127" s="46"/>
      <c r="Q127" s="46"/>
      <c r="R127" s="46"/>
      <c r="S127" s="46"/>
      <c r="U127" s="44">
        <f>ROW()</f>
        <v>127</v>
      </c>
    </row>
    <row r="128" spans="1:21" ht="20.100000000000001" hidden="1" customHeight="1">
      <c r="A128" s="46"/>
      <c r="B128" s="46"/>
      <c r="C128" s="46"/>
      <c r="D128" s="70"/>
      <c r="E128" s="1513" t="str">
        <f>E16</f>
        <v/>
      </c>
      <c r="F128" s="1465"/>
      <c r="G128" s="1465"/>
      <c r="H128" s="1465"/>
      <c r="I128" s="1465"/>
      <c r="J128" s="1465"/>
      <c r="K128" s="1465"/>
      <c r="L128" s="1465"/>
      <c r="M128" s="1465"/>
      <c r="N128" s="46"/>
      <c r="O128" s="46"/>
      <c r="P128" s="46"/>
      <c r="Q128" s="46"/>
      <c r="R128" s="46"/>
      <c r="S128" s="46"/>
      <c r="U128" s="44">
        <f>ROW()</f>
        <v>128</v>
      </c>
    </row>
    <row r="129" spans="1:21" ht="20.100000000000001" customHeight="1">
      <c r="A129" s="46"/>
      <c r="B129" s="46"/>
      <c r="C129" s="46"/>
      <c r="D129" s="70"/>
      <c r="E129" s="1527" t="str">
        <f>E17</f>
        <v>Hạng mục: Kênh và Công trình trên kênh</v>
      </c>
      <c r="F129" s="1542"/>
      <c r="G129" s="1542"/>
      <c r="H129" s="1542"/>
      <c r="I129" s="1542"/>
      <c r="J129" s="1542"/>
      <c r="K129" s="1542"/>
      <c r="L129" s="1542"/>
      <c r="M129" s="1542"/>
      <c r="N129" s="46"/>
      <c r="O129" s="46"/>
      <c r="P129" s="46"/>
      <c r="Q129" s="46"/>
      <c r="R129" s="46"/>
      <c r="S129" s="46"/>
      <c r="U129" s="44">
        <f>ROW()</f>
        <v>129</v>
      </c>
    </row>
    <row r="130" spans="1:21" ht="20.100000000000001" customHeight="1">
      <c r="A130" s="46"/>
      <c r="B130" s="46"/>
      <c r="C130" s="46"/>
      <c r="D130" s="70"/>
      <c r="E130" s="1527" t="str">
        <f>E18</f>
        <v>Địa điểm xây dựng : Huyện Ninh Hải - Tỉnh Ninh Thuận</v>
      </c>
      <c r="F130" s="1542"/>
      <c r="G130" s="1542"/>
      <c r="H130" s="1542"/>
      <c r="I130" s="1542"/>
      <c r="J130" s="1542"/>
      <c r="K130" s="1542"/>
      <c r="L130" s="1542"/>
      <c r="M130" s="1542"/>
      <c r="N130" s="46"/>
      <c r="O130" s="46"/>
      <c r="P130" s="46"/>
      <c r="Q130" s="46"/>
      <c r="R130" s="46"/>
      <c r="S130" s="46"/>
      <c r="U130" s="44">
        <f>IF(E130&lt;&gt;"",ROW(),"")</f>
        <v>130</v>
      </c>
    </row>
    <row r="131" spans="1:21" ht="18.75" hidden="1" customHeight="1">
      <c r="A131" s="46"/>
      <c r="B131" s="46"/>
      <c r="C131" s="46"/>
      <c r="D131" s="70"/>
      <c r="E131" s="153"/>
      <c r="F131" s="153"/>
      <c r="G131" s="153"/>
      <c r="H131" s="153"/>
      <c r="I131" s="153"/>
      <c r="J131" s="153"/>
      <c r="K131" s="153"/>
      <c r="L131" s="153"/>
      <c r="M131" s="153"/>
      <c r="N131" s="46"/>
      <c r="O131" s="46"/>
      <c r="P131" s="46"/>
      <c r="Q131" s="46"/>
      <c r="R131" s="46"/>
      <c r="S131" s="46"/>
    </row>
    <row r="132" spans="1:21" ht="18.75" customHeight="1">
      <c r="A132" s="46"/>
      <c r="B132" s="46"/>
      <c r="C132" s="46"/>
      <c r="D132" s="70"/>
      <c r="E132" s="1456" t="s">
        <v>180</v>
      </c>
      <c r="F132" s="1456"/>
      <c r="G132" s="1456"/>
      <c r="H132" s="1456"/>
      <c r="I132" s="1456"/>
      <c r="J132" s="1456"/>
      <c r="K132" s="1456"/>
      <c r="L132" s="1456"/>
      <c r="M132" s="1456"/>
      <c r="N132" s="46"/>
      <c r="O132" s="46"/>
      <c r="P132" s="46"/>
      <c r="Q132" s="46"/>
      <c r="R132" s="46"/>
      <c r="S132" s="46"/>
    </row>
    <row r="133" spans="1:21" ht="20.100000000000001" customHeight="1">
      <c r="A133" s="46"/>
      <c r="B133" s="46"/>
      <c r="C133" s="46"/>
      <c r="D133" s="70"/>
      <c r="E133" s="1548" t="str">
        <f>E21</f>
        <v>- Tên công việc nghiệm thu: Hoàn thành công tác thi công</v>
      </c>
      <c r="F133" s="1513"/>
      <c r="G133" s="1513"/>
      <c r="H133" s="1513"/>
      <c r="I133" s="1513"/>
      <c r="J133" s="1513"/>
      <c r="K133" s="1513"/>
      <c r="L133" s="1513"/>
      <c r="M133" s="1513"/>
      <c r="N133" s="46"/>
      <c r="O133" s="46"/>
      <c r="P133" s="46"/>
      <c r="Q133" s="46"/>
      <c r="R133" s="46"/>
      <c r="S133" s="46"/>
      <c r="T133" s="44">
        <f>IF(E133&lt;&gt;"",ROW(),"")</f>
        <v>133</v>
      </c>
      <c r="U133" s="48"/>
    </row>
    <row r="134" spans="1:21" ht="20.100000000000001" customHeight="1">
      <c r="A134" s="46"/>
      <c r="B134" s="46"/>
      <c r="C134" s="46"/>
      <c r="D134" s="70"/>
      <c r="E134" s="1548" t="str">
        <f>E22</f>
        <v>- Vị trí xây dựng trên công trình: Đoạn Km0+300 đến Km0+600</v>
      </c>
      <c r="F134" s="1513"/>
      <c r="G134" s="1513"/>
      <c r="H134" s="1513"/>
      <c r="I134" s="1513"/>
      <c r="J134" s="1513"/>
      <c r="K134" s="1513"/>
      <c r="L134" s="1513"/>
      <c r="M134" s="1513"/>
      <c r="N134" s="46"/>
      <c r="O134" s="46"/>
      <c r="P134" s="46"/>
      <c r="Q134" s="46"/>
      <c r="R134" s="46"/>
      <c r="S134" s="46"/>
      <c r="T134" s="44">
        <f>IF(E134&lt;&gt;"",ROW(),"")</f>
        <v>134</v>
      </c>
      <c r="U134" s="48"/>
    </row>
    <row r="135" spans="1:21" ht="16.5">
      <c r="A135" s="46"/>
      <c r="B135" s="46"/>
      <c r="C135" s="46"/>
      <c r="D135" s="70"/>
      <c r="E135" s="1521" t="s">
        <v>198</v>
      </c>
      <c r="F135" s="1521"/>
      <c r="G135" s="1521"/>
      <c r="H135" s="1521"/>
      <c r="I135" s="1521"/>
      <c r="J135" s="1521"/>
      <c r="K135" s="1521"/>
      <c r="L135" s="1521"/>
      <c r="M135" s="1521"/>
      <c r="N135" s="46"/>
      <c r="O135" s="46"/>
      <c r="P135" s="46"/>
      <c r="Q135" s="46"/>
      <c r="R135" s="46"/>
      <c r="S135" s="46"/>
    </row>
    <row r="136" spans="1:21" ht="17.25" customHeight="1">
      <c r="A136" s="46"/>
      <c r="B136" s="46"/>
      <c r="C136" s="46"/>
      <c r="D136" s="70"/>
      <c r="E136" s="1479" t="str">
        <f>"a. Đại diện "&amp;LOWER(MID(Td_DVGS,1,1))&amp;MID(Td_DVGS,2,LEN(Td_DVGS))&amp;": "&amp;DVGS</f>
        <v>a. Đại diện đơn vị tư vấn giám sát: Công ty TNHH Tư vấn Đầu tư Xây dựng Huy Đạt</v>
      </c>
      <c r="F136" s="1524"/>
      <c r="G136" s="1524"/>
      <c r="H136" s="1524"/>
      <c r="I136" s="1524"/>
      <c r="J136" s="1524"/>
      <c r="K136" s="1524"/>
      <c r="L136" s="1524"/>
      <c r="M136" s="1524"/>
      <c r="N136" s="46"/>
      <c r="O136" s="46"/>
      <c r="P136" s="46"/>
      <c r="Q136" s="46"/>
      <c r="R136" s="46"/>
      <c r="S136" s="46"/>
      <c r="U136" s="44">
        <f>ROW()</f>
        <v>136</v>
      </c>
    </row>
    <row r="137" spans="1:21" ht="16.5">
      <c r="A137" s="46"/>
      <c r="B137" s="46"/>
      <c r="C137" s="46"/>
      <c r="D137" s="70"/>
      <c r="E137" s="47"/>
      <c r="F137" s="246" t="str">
        <f>GT_GS1&amp;CBGS1</f>
        <v>Ông: Trần Trọng Liêm</v>
      </c>
      <c r="G137" s="39"/>
      <c r="H137" s="59"/>
      <c r="I137" s="38"/>
      <c r="J137" s="735" t="str">
        <f>"Chức vụ: "&amp;CV_CBGS1</f>
        <v>Chức vụ: Giám sát trưởng</v>
      </c>
      <c r="K137" s="41"/>
      <c r="L137" s="60"/>
      <c r="M137" s="60"/>
      <c r="N137" s="46"/>
      <c r="O137" s="46"/>
      <c r="P137" s="46"/>
      <c r="Q137" s="46"/>
      <c r="R137" s="46"/>
      <c r="S137" s="46"/>
    </row>
    <row r="138" spans="1:21" ht="16.5">
      <c r="A138" s="46"/>
      <c r="B138" s="46"/>
      <c r="C138" s="46"/>
      <c r="D138" s="70"/>
      <c r="E138" s="47"/>
      <c r="F138" s="246" t="str">
        <f>GT_GS2&amp;CBGS2</f>
        <v>Bà  : Nguyễn Thị Minh</v>
      </c>
      <c r="G138" s="39"/>
      <c r="H138" s="59"/>
      <c r="I138" s="38"/>
      <c r="J138" s="735" t="str">
        <f>"Chức vụ: "&amp;CV_CBGS2</f>
        <v>Chức vụ: Giám sát viên</v>
      </c>
      <c r="K138" s="41"/>
      <c r="L138" s="60"/>
      <c r="M138" s="60"/>
      <c r="N138" s="46"/>
      <c r="O138" s="46"/>
      <c r="P138" s="46"/>
      <c r="Q138" s="46"/>
      <c r="R138" s="46"/>
      <c r="S138" s="46"/>
    </row>
    <row r="139" spans="1:21" ht="16.5">
      <c r="A139" s="46"/>
      <c r="B139" s="46"/>
      <c r="C139" s="46"/>
      <c r="D139" s="70"/>
      <c r="E139" s="47"/>
      <c r="F139" s="246" t="str">
        <f>GT_GS3&amp;CBGS3</f>
        <v>Ông: ………………………..</v>
      </c>
      <c r="G139" s="39"/>
      <c r="H139" s="59"/>
      <c r="I139" s="38"/>
      <c r="J139" s="40"/>
      <c r="K139" s="735"/>
      <c r="L139" s="60"/>
      <c r="M139" s="60"/>
      <c r="N139" s="46"/>
      <c r="O139" s="46"/>
      <c r="P139" s="46"/>
      <c r="Q139" s="46"/>
      <c r="R139" s="46"/>
      <c r="S139" s="46"/>
    </row>
    <row r="140" spans="1:21" ht="16.5" hidden="1">
      <c r="A140" s="46"/>
      <c r="B140" s="46"/>
      <c r="C140" s="46"/>
      <c r="D140" s="70"/>
      <c r="E140" s="1453" t="str">
        <f>IF(Liendanh&lt;&gt;"","b. Đại diện đơn vị thi công:  "&amp;Liendanh,"")</f>
        <v/>
      </c>
      <c r="F140" s="1453"/>
      <c r="G140" s="1453"/>
      <c r="H140" s="1453"/>
      <c r="I140" s="1453"/>
      <c r="J140" s="1453"/>
      <c r="K140" s="1453"/>
      <c r="L140" s="1453"/>
      <c r="M140" s="1453"/>
      <c r="N140" s="46"/>
      <c r="O140" s="46"/>
      <c r="P140" s="46"/>
      <c r="Q140" s="46"/>
      <c r="R140" s="46"/>
      <c r="S140" s="46"/>
      <c r="U140" s="44">
        <f>ROW()</f>
        <v>140</v>
      </c>
    </row>
    <row r="141" spans="1:21" ht="17.25" customHeight="1">
      <c r="A141" s="46"/>
      <c r="B141" s="46"/>
      <c r="C141" s="46"/>
      <c r="D141" s="70"/>
      <c r="E141" s="1563" t="str">
        <f>IF(Liendanh="","b. Đại diện "&amp;LOWER(MID(Td_DVTC,1,1))&amp;MID(Td_DVTC,2,LEN(Td_DVTC))&amp;":  "&amp;DVTC,"   * Đại diện đơn vị thi công trực tiếp:  "&amp;DVTC)</f>
        <v>b. Đại diện đơn vị thi công:  Công ty TNHH Xây dựng Thịnh Dũng</v>
      </c>
      <c r="F141" s="1564"/>
      <c r="G141" s="1564"/>
      <c r="H141" s="1564"/>
      <c r="I141" s="1564"/>
      <c r="J141" s="1564"/>
      <c r="K141" s="1564"/>
      <c r="L141" s="1564"/>
      <c r="M141" s="1564"/>
      <c r="N141" s="46"/>
      <c r="O141" s="46"/>
      <c r="P141" s="46"/>
      <c r="Q141" s="46"/>
      <c r="R141" s="46"/>
      <c r="S141" s="46"/>
      <c r="U141" s="44">
        <f>ROW()</f>
        <v>141</v>
      </c>
    </row>
    <row r="142" spans="1:21" ht="16.5">
      <c r="A142" s="46"/>
      <c r="B142" s="46"/>
      <c r="C142" s="46"/>
      <c r="D142" s="70"/>
      <c r="E142" s="47"/>
      <c r="F142" s="61" t="s">
        <v>14</v>
      </c>
      <c r="G142" s="62" t="str">
        <f>CBKT1</f>
        <v>Hoàng Đình Tảng</v>
      </c>
      <c r="I142" s="63"/>
      <c r="J142" s="50" t="s">
        <v>15</v>
      </c>
      <c r="K142" s="51" t="str">
        <f>CV_CBKT1</f>
        <v>Chỉ huy công trường</v>
      </c>
      <c r="L142" s="54"/>
      <c r="M142" s="54"/>
      <c r="N142" s="46"/>
      <c r="O142" s="46"/>
      <c r="P142" s="46"/>
      <c r="Q142" s="46"/>
      <c r="R142" s="46"/>
      <c r="S142" s="46"/>
    </row>
    <row r="143" spans="1:21" ht="16.5">
      <c r="A143" s="46"/>
      <c r="B143" s="46"/>
      <c r="C143" s="46"/>
      <c r="D143" s="70"/>
      <c r="E143" s="47"/>
      <c r="F143" s="61" t="s">
        <v>14</v>
      </c>
      <c r="G143" s="62" t="str">
        <f>CBKT2</f>
        <v>Lê Thiên Phương</v>
      </c>
      <c r="I143" s="63"/>
      <c r="J143" s="50" t="s">
        <v>15</v>
      </c>
      <c r="K143" s="51" t="str">
        <f>CV_CBKT2</f>
        <v>Kỹ thuật thi công</v>
      </c>
      <c r="L143" s="54"/>
      <c r="M143" s="54"/>
      <c r="N143" s="46"/>
      <c r="O143" s="46"/>
      <c r="P143" s="46"/>
      <c r="Q143" s="46"/>
      <c r="R143" s="46"/>
      <c r="S143" s="46"/>
    </row>
    <row r="144" spans="1:21" s="52" customFormat="1" ht="16.5">
      <c r="A144" s="64"/>
      <c r="B144" s="64"/>
      <c r="C144" s="64"/>
      <c r="D144" s="72"/>
      <c r="E144" s="1521" t="s">
        <v>181</v>
      </c>
      <c r="F144" s="1521"/>
      <c r="G144" s="1521"/>
      <c r="H144" s="1521"/>
      <c r="I144" s="1521"/>
      <c r="J144" s="1521"/>
      <c r="K144" s="1521"/>
      <c r="L144" s="1521"/>
      <c r="M144" s="1521"/>
      <c r="N144" s="64"/>
      <c r="O144" s="64"/>
      <c r="P144" s="64"/>
      <c r="Q144" s="64"/>
      <c r="R144" s="64"/>
      <c r="S144" s="64"/>
      <c r="T144" s="65"/>
      <c r="U144" s="65"/>
    </row>
    <row r="145" spans="1:23" ht="16.5">
      <c r="A145" s="46"/>
      <c r="B145" s="46"/>
      <c r="C145" s="46"/>
      <c r="D145" s="70"/>
      <c r="E145" s="49"/>
      <c r="F145" s="66" t="str">
        <f>" Bắt đầu: "&amp;IFERROR(TachgioBB(VLOOKUP(P2,ListBBHT!A5:L17,9,0),1)&amp;", "&amp;Doingay(VLOOKUP(P2,ListBBHT!A5:L17,10,0)),"….. giờ ….. phút , ngày ….. tháng ….. năm …..")</f>
        <v xml:space="preserve"> Bắt đầu: 07 giờ 35 phút ,  ngày 7 tháng 6 năm 2020</v>
      </c>
      <c r="G145" s="49"/>
      <c r="H145" s="49"/>
      <c r="I145" s="49"/>
      <c r="J145" s="49"/>
      <c r="K145" s="49"/>
      <c r="L145" s="49"/>
      <c r="M145" s="49"/>
      <c r="N145" s="46"/>
      <c r="O145" s="46"/>
      <c r="P145" s="46"/>
      <c r="Q145" s="46"/>
      <c r="R145" s="46"/>
      <c r="S145" s="46"/>
      <c r="V145" s="44"/>
      <c r="W145" s="53"/>
    </row>
    <row r="146" spans="1:23" ht="16.5">
      <c r="A146" s="46"/>
      <c r="B146" s="46"/>
      <c r="C146" s="46"/>
      <c r="D146" s="70"/>
      <c r="E146" s="49"/>
      <c r="F146" s="66" t="str">
        <f>" Kết thúc: "&amp;IFERROR(TachgioBB(VLOOKUP(P2,ListBBHT!A5:L17,9,0),2)&amp;", "&amp;Doingay(VLOOKUP(P2,ListBBHT!A5:L17,10,0)),"….. giờ ….. phút , ngày ….. tháng ….. năm …..")</f>
        <v xml:space="preserve"> Kết thúc: 08 giờ 15 phút ,  ngày 7 tháng 6 năm 2020</v>
      </c>
      <c r="G146" s="67"/>
      <c r="H146" s="67"/>
      <c r="I146" s="67"/>
      <c r="J146" s="67"/>
      <c r="K146" s="67"/>
      <c r="L146" s="67"/>
      <c r="M146" s="67"/>
      <c r="N146" s="46"/>
      <c r="O146" s="46"/>
      <c r="P146" s="46"/>
      <c r="Q146" s="46"/>
      <c r="R146" s="46"/>
      <c r="S146" s="46"/>
      <c r="V146" s="44"/>
    </row>
    <row r="147" spans="1:23" ht="36.6" customHeight="1">
      <c r="A147" s="46"/>
      <c r="B147" s="46"/>
      <c r="C147" s="46"/>
      <c r="D147" s="70"/>
      <c r="E147" s="1513" t="str">
        <f>E35</f>
        <v xml:space="preserve"> - Vị trí tại Công trình : Gia cố nâng cấp kênh Bà Xoài từ K0+300÷K0+600 - Hệ thống thủy lợi Nha Trinh, huyện Ninh Hải, tỉnh Ninh Thuận</v>
      </c>
      <c r="F147" s="1522"/>
      <c r="G147" s="1522"/>
      <c r="H147" s="1522"/>
      <c r="I147" s="1522"/>
      <c r="J147" s="1522"/>
      <c r="K147" s="1522"/>
      <c r="L147" s="1522"/>
      <c r="M147" s="1522"/>
      <c r="N147" s="46"/>
      <c r="O147" s="46"/>
      <c r="P147" s="46"/>
      <c r="Q147" s="46"/>
      <c r="R147" s="46"/>
      <c r="S147" s="46"/>
      <c r="U147" s="44">
        <f>IF(E147&lt;&gt;"",ROW(),"")</f>
        <v>147</v>
      </c>
      <c r="V147" s="44"/>
    </row>
    <row r="148" spans="1:23" ht="16.5">
      <c r="A148" s="46"/>
      <c r="B148" s="46"/>
      <c r="C148" s="46"/>
      <c r="D148" s="70"/>
      <c r="E148" s="1521" t="s">
        <v>182</v>
      </c>
      <c r="F148" s="1521"/>
      <c r="G148" s="1521"/>
      <c r="H148" s="1521"/>
      <c r="I148" s="1521"/>
      <c r="J148" s="1521"/>
      <c r="K148" s="1521"/>
      <c r="L148" s="1521"/>
      <c r="M148" s="1521"/>
      <c r="N148" s="46"/>
      <c r="O148" s="46"/>
      <c r="P148" s="46"/>
      <c r="Q148" s="46"/>
      <c r="R148" s="46"/>
      <c r="S148" s="46"/>
    </row>
    <row r="149" spans="1:23" ht="20.100000000000001" customHeight="1">
      <c r="A149" s="46"/>
      <c r="B149" s="46"/>
      <c r="C149" s="46"/>
      <c r="D149" s="70"/>
      <c r="E149" s="1495" t="s">
        <v>4356</v>
      </c>
      <c r="F149" s="1496"/>
      <c r="G149" s="1496"/>
      <c r="H149" s="1496"/>
      <c r="I149" s="1496"/>
      <c r="J149" s="1496"/>
      <c r="K149" s="1496"/>
      <c r="L149" s="1496"/>
      <c r="M149" s="1496"/>
      <c r="N149" s="46"/>
      <c r="O149" s="46"/>
      <c r="P149" s="46"/>
      <c r="Q149" s="46"/>
      <c r="R149" s="46"/>
      <c r="S149" s="46"/>
      <c r="T149" s="44">
        <f t="shared" ref="T149:T172" si="1">IF(E149&lt;&gt;"",ROW(),"")</f>
        <v>149</v>
      </c>
    </row>
    <row r="150" spans="1:23" ht="36.6" customHeight="1">
      <c r="A150" s="46"/>
      <c r="B150" s="46"/>
      <c r="C150" s="46"/>
      <c r="D150" s="70"/>
      <c r="E150" s="1513" t="str">
        <f>IFERROR("b) - Hồ sơ lập dự toán thi công: Hồ sơ lập dự toán thi công do "&amp;DVTK&amp;" lập và được cấp có thẩm quyền phê duyệt.","b) - Hồ sơ thiết kế bản vẽ thi công: Hồ sơ thiết kế bản vẽ thi công đã được phê duyệt.")</f>
        <v>b) - Hồ sơ lập dự toán thi công: Hồ sơ lập dự toán thi công do Công ty TNHH Tư vấn Xây dựng Hưng Thịnh lập và được cấp có thẩm quyền phê duyệt.</v>
      </c>
      <c r="F150" s="1465"/>
      <c r="G150" s="1465"/>
      <c r="H150" s="1465"/>
      <c r="I150" s="1465"/>
      <c r="J150" s="1465"/>
      <c r="K150" s="1465"/>
      <c r="L150" s="1465"/>
      <c r="M150" s="1465"/>
      <c r="N150" s="46"/>
      <c r="O150" s="46"/>
      <c r="P150" s="46"/>
      <c r="Q150" s="46"/>
      <c r="R150" s="46"/>
      <c r="S150" s="46"/>
      <c r="U150" s="44">
        <f>IF(E150&lt;&gt;"",ROW(),"")</f>
        <v>150</v>
      </c>
    </row>
    <row r="151" spans="1:23" ht="18.75" customHeight="1">
      <c r="A151" s="46"/>
      <c r="B151" s="46"/>
      <c r="C151" s="46"/>
      <c r="D151" s="70"/>
      <c r="E151" s="1527" t="s">
        <v>199</v>
      </c>
      <c r="F151" s="1466"/>
      <c r="G151" s="1466"/>
      <c r="H151" s="1466"/>
      <c r="I151" s="1466"/>
      <c r="J151" s="1466"/>
      <c r="K151" s="1466"/>
      <c r="L151" s="1466"/>
      <c r="M151" s="1466"/>
      <c r="N151" s="46"/>
      <c r="O151" s="46"/>
      <c r="P151" s="46"/>
      <c r="Q151" s="46"/>
      <c r="R151" s="46"/>
      <c r="S151" s="46"/>
    </row>
    <row r="152" spans="1:23" ht="20.100000000000001" customHeight="1">
      <c r="A152" s="46"/>
      <c r="B152" s="46"/>
      <c r="C152" s="46"/>
      <c r="D152" s="70"/>
      <c r="E152" s="1565" t="s">
        <v>203</v>
      </c>
      <c r="F152" s="1565"/>
      <c r="G152" s="1565"/>
      <c r="H152" s="1565"/>
      <c r="I152" s="1565"/>
      <c r="J152" s="1565"/>
      <c r="K152" s="1565"/>
      <c r="L152" s="1565"/>
      <c r="M152" s="1565"/>
      <c r="N152" s="46"/>
      <c r="O152" s="46"/>
      <c r="P152" s="46"/>
      <c r="Q152" s="46"/>
      <c r="R152" s="46"/>
      <c r="S152" s="46"/>
      <c r="T152" s="44">
        <f t="shared" si="1"/>
        <v>152</v>
      </c>
      <c r="U152" s="45"/>
    </row>
    <row r="153" spans="1:23" ht="20.100000000000001" customHeight="1">
      <c r="A153" s="46"/>
      <c r="B153" s="46"/>
      <c r="C153" s="46"/>
      <c r="D153" s="70"/>
      <c r="E153" s="1565" t="s">
        <v>3847</v>
      </c>
      <c r="F153" s="1565"/>
      <c r="G153" s="1565"/>
      <c r="H153" s="1565"/>
      <c r="I153" s="1565"/>
      <c r="J153" s="1565"/>
      <c r="K153" s="1565"/>
      <c r="L153" s="1565"/>
      <c r="M153" s="1565"/>
      <c r="N153" s="46"/>
      <c r="O153" s="46"/>
      <c r="P153" s="46"/>
      <c r="Q153" s="46"/>
      <c r="R153" s="46"/>
      <c r="S153" s="46"/>
      <c r="T153" s="44">
        <f t="shared" si="1"/>
        <v>153</v>
      </c>
      <c r="U153" s="45"/>
    </row>
    <row r="154" spans="1:23" ht="20.100000000000001" customHeight="1">
      <c r="A154" s="46"/>
      <c r="B154" s="46"/>
      <c r="C154" s="46"/>
      <c r="D154" s="70"/>
      <c r="E154" s="1565" t="s">
        <v>5822</v>
      </c>
      <c r="F154" s="1565"/>
      <c r="G154" s="1565"/>
      <c r="H154" s="1565"/>
      <c r="I154" s="1565"/>
      <c r="J154" s="1565"/>
      <c r="K154" s="1565"/>
      <c r="L154" s="1565"/>
      <c r="M154" s="1565"/>
      <c r="N154" s="46"/>
      <c r="O154" s="46"/>
      <c r="P154" s="46"/>
      <c r="Q154" s="46"/>
      <c r="R154" s="46"/>
      <c r="S154" s="46"/>
      <c r="T154" s="44">
        <f t="shared" si="1"/>
        <v>154</v>
      </c>
      <c r="U154" s="45"/>
    </row>
    <row r="155" spans="1:23" ht="20.100000000000001" customHeight="1">
      <c r="A155" s="46"/>
      <c r="B155" s="46"/>
      <c r="C155" s="46"/>
      <c r="D155" s="70"/>
      <c r="E155" s="1565" t="s">
        <v>5821</v>
      </c>
      <c r="F155" s="1565"/>
      <c r="G155" s="1565"/>
      <c r="H155" s="1565"/>
      <c r="I155" s="1565"/>
      <c r="J155" s="1565"/>
      <c r="K155" s="1565"/>
      <c r="L155" s="1565"/>
      <c r="M155" s="1565"/>
      <c r="N155" s="46"/>
      <c r="O155" s="46"/>
      <c r="P155" s="46"/>
      <c r="Q155" s="46"/>
      <c r="R155" s="46"/>
      <c r="S155" s="46"/>
      <c r="T155" s="44">
        <f t="shared" si="1"/>
        <v>155</v>
      </c>
      <c r="U155" s="45"/>
    </row>
    <row r="156" spans="1:23" ht="36.6" customHeight="1">
      <c r="A156" s="46"/>
      <c r="B156" s="46"/>
      <c r="C156" s="46"/>
      <c r="D156" s="70"/>
      <c r="E156" s="1565" t="s">
        <v>5823</v>
      </c>
      <c r="F156" s="1565"/>
      <c r="G156" s="1565"/>
      <c r="H156" s="1565"/>
      <c r="I156" s="1565"/>
      <c r="J156" s="1565"/>
      <c r="K156" s="1565"/>
      <c r="L156" s="1565"/>
      <c r="M156" s="1565"/>
      <c r="N156" s="46"/>
      <c r="O156" s="46"/>
      <c r="P156" s="46"/>
      <c r="Q156" s="46"/>
      <c r="R156" s="46"/>
      <c r="S156" s="46"/>
      <c r="T156" s="44">
        <f t="shared" si="1"/>
        <v>156</v>
      </c>
      <c r="U156" s="45"/>
    </row>
    <row r="157" spans="1:23" ht="16.5" hidden="1">
      <c r="A157" s="46"/>
      <c r="B157" s="46"/>
      <c r="C157" s="46"/>
      <c r="D157" s="70"/>
      <c r="E157" s="1565"/>
      <c r="F157" s="1565"/>
      <c r="G157" s="1565"/>
      <c r="H157" s="1565"/>
      <c r="I157" s="1565"/>
      <c r="J157" s="1565"/>
      <c r="K157" s="1565"/>
      <c r="L157" s="1565"/>
      <c r="M157" s="1565"/>
      <c r="N157" s="46"/>
      <c r="O157" s="46"/>
      <c r="P157" s="46"/>
      <c r="Q157" s="46"/>
      <c r="R157" s="46"/>
      <c r="S157" s="46"/>
      <c r="T157" s="44" t="str">
        <f t="shared" si="1"/>
        <v/>
      </c>
      <c r="U157" s="45"/>
    </row>
    <row r="158" spans="1:23" ht="16.5" hidden="1">
      <c r="A158" s="46"/>
      <c r="B158" s="46"/>
      <c r="C158" s="46"/>
      <c r="D158" s="70"/>
      <c r="E158" s="1565"/>
      <c r="F158" s="1565"/>
      <c r="G158" s="1565"/>
      <c r="H158" s="1565"/>
      <c r="I158" s="1565"/>
      <c r="J158" s="1565"/>
      <c r="K158" s="1565"/>
      <c r="L158" s="1565"/>
      <c r="M158" s="1565"/>
      <c r="N158" s="46"/>
      <c r="O158" s="46"/>
      <c r="P158" s="46"/>
      <c r="Q158" s="46"/>
      <c r="R158" s="46"/>
      <c r="S158" s="46"/>
      <c r="T158" s="44" t="str">
        <f t="shared" si="1"/>
        <v/>
      </c>
      <c r="U158" s="45"/>
    </row>
    <row r="159" spans="1:23" ht="16.5" hidden="1">
      <c r="A159" s="46"/>
      <c r="B159" s="46"/>
      <c r="C159" s="46"/>
      <c r="D159" s="70"/>
      <c r="E159" s="1565"/>
      <c r="F159" s="1565"/>
      <c r="G159" s="1565"/>
      <c r="H159" s="1565"/>
      <c r="I159" s="1565"/>
      <c r="J159" s="1565"/>
      <c r="K159" s="1565"/>
      <c r="L159" s="1565"/>
      <c r="M159" s="1565"/>
      <c r="N159" s="46"/>
      <c r="O159" s="46"/>
      <c r="P159" s="46"/>
      <c r="Q159" s="46"/>
      <c r="R159" s="46"/>
      <c r="S159" s="46"/>
      <c r="T159" s="44" t="str">
        <f t="shared" si="1"/>
        <v/>
      </c>
      <c r="U159" s="45"/>
    </row>
    <row r="160" spans="1:23" ht="16.5" hidden="1">
      <c r="A160" s="46"/>
      <c r="B160" s="46"/>
      <c r="C160" s="46"/>
      <c r="D160" s="70"/>
      <c r="E160" s="1464"/>
      <c r="F160" s="1455"/>
      <c r="G160" s="1455"/>
      <c r="H160" s="1455"/>
      <c r="I160" s="1455"/>
      <c r="J160" s="1455"/>
      <c r="K160" s="1455"/>
      <c r="L160" s="1455"/>
      <c r="M160" s="1455"/>
      <c r="N160" s="46"/>
      <c r="O160" s="46"/>
      <c r="P160" s="46"/>
      <c r="Q160" s="46"/>
      <c r="R160" s="46"/>
      <c r="S160" s="46"/>
      <c r="U160" s="44" t="str">
        <f>IF(E160&lt;&gt;"",ROW(),"")</f>
        <v/>
      </c>
    </row>
    <row r="161" spans="1:21" ht="16.5" hidden="1">
      <c r="A161" s="46"/>
      <c r="B161" s="46"/>
      <c r="C161" s="46"/>
      <c r="D161" s="70"/>
      <c r="E161" s="1464"/>
      <c r="F161" s="1464"/>
      <c r="G161" s="1464"/>
      <c r="H161" s="1464"/>
      <c r="I161" s="1464"/>
      <c r="J161" s="1464"/>
      <c r="K161" s="1464"/>
      <c r="L161" s="1464"/>
      <c r="M161" s="1464"/>
      <c r="N161" s="46"/>
      <c r="O161" s="46"/>
      <c r="P161" s="46"/>
      <c r="Q161" s="46"/>
      <c r="R161" s="46"/>
      <c r="S161" s="46"/>
    </row>
    <row r="162" spans="1:21" ht="53.1" customHeight="1">
      <c r="A162" s="46"/>
      <c r="B162" s="46"/>
      <c r="C162" s="46"/>
      <c r="D162" s="70"/>
      <c r="E162" s="1464" t="str">
        <f>"d) Tài liệu chỉ dẫn kỹ thuật có liên quan: Hợp đồng số: "&amp;Hopdong&amp;" giữa "&amp;CĐT&amp;" và "&amp;DVTC</f>
        <v>d) Tài liệu chỉ dẫn kỹ thuật có liên quan: Hợp đồng số: 01/2020/HĐXD-TD ngày 28 tháng 04 năm 2020 giữa Công ty TNHH MTV khai thác công trình thủy lợi Ninh Thuận và Công ty TNHH Xây dựng Thịnh Dũng</v>
      </c>
      <c r="F162" s="1464"/>
      <c r="G162" s="1464"/>
      <c r="H162" s="1464"/>
      <c r="I162" s="1464"/>
      <c r="J162" s="1464"/>
      <c r="K162" s="1464"/>
      <c r="L162" s="1464"/>
      <c r="M162" s="1464"/>
      <c r="N162" s="46"/>
      <c r="O162" s="46"/>
      <c r="P162" s="46"/>
      <c r="Q162" s="46"/>
      <c r="R162" s="46"/>
      <c r="S162" s="46"/>
      <c r="U162" s="44">
        <f>IF(E162&lt;&gt;"",ROW(),"")</f>
        <v>162</v>
      </c>
    </row>
    <row r="163" spans="1:21" ht="16.5">
      <c r="A163" s="46"/>
      <c r="B163" s="46"/>
      <c r="C163" s="46"/>
      <c r="D163" s="70"/>
      <c r="E163" s="1544" t="s">
        <v>422</v>
      </c>
      <c r="F163" s="1544"/>
      <c r="G163" s="1544"/>
      <c r="H163" s="1544"/>
      <c r="I163" s="1544"/>
      <c r="J163" s="1544"/>
      <c r="K163" s="1544"/>
      <c r="L163" s="1544"/>
      <c r="M163" s="1544"/>
      <c r="N163" s="46"/>
      <c r="O163" s="46"/>
      <c r="P163" s="46"/>
      <c r="Q163" s="46"/>
      <c r="R163" s="46"/>
      <c r="S163" s="46"/>
    </row>
    <row r="164" spans="1:21" ht="20.100000000000001" customHeight="1">
      <c r="A164" s="46"/>
      <c r="B164" s="46"/>
      <c r="C164" s="46"/>
      <c r="D164" s="70"/>
      <c r="E164" s="1565" t="s">
        <v>4379</v>
      </c>
      <c r="F164" s="1565"/>
      <c r="G164" s="1565"/>
      <c r="H164" s="1565"/>
      <c r="I164" s="1565"/>
      <c r="J164" s="1565"/>
      <c r="K164" s="1565"/>
      <c r="L164" s="1565"/>
      <c r="M164" s="1565"/>
      <c r="N164" s="46"/>
      <c r="O164" s="46"/>
      <c r="P164" s="46"/>
      <c r="Q164" s="46"/>
      <c r="R164" s="46"/>
      <c r="S164" s="46"/>
      <c r="T164" s="44">
        <f t="shared" si="1"/>
        <v>164</v>
      </c>
    </row>
    <row r="165" spans="1:21" ht="20.100000000000001" customHeight="1">
      <c r="A165" s="46"/>
      <c r="B165" s="46"/>
      <c r="C165" s="46"/>
      <c r="D165" s="70"/>
      <c r="E165" s="1565" t="s">
        <v>5824</v>
      </c>
      <c r="F165" s="1565"/>
      <c r="G165" s="1565"/>
      <c r="H165" s="1565"/>
      <c r="I165" s="1565"/>
      <c r="J165" s="1565"/>
      <c r="K165" s="1565"/>
      <c r="L165" s="1565"/>
      <c r="M165" s="1565"/>
      <c r="N165" s="46"/>
      <c r="O165" s="46"/>
      <c r="P165" s="46"/>
      <c r="Q165" s="46"/>
      <c r="R165" s="46"/>
      <c r="S165" s="46"/>
      <c r="T165" s="44">
        <f t="shared" si="1"/>
        <v>165</v>
      </c>
    </row>
    <row r="166" spans="1:21" ht="20.100000000000001" customHeight="1">
      <c r="A166" s="46"/>
      <c r="B166" s="46"/>
      <c r="C166" s="46"/>
      <c r="D166" s="70"/>
      <c r="E166" s="1565" t="s">
        <v>5927</v>
      </c>
      <c r="F166" s="1565"/>
      <c r="G166" s="1565"/>
      <c r="H166" s="1565"/>
      <c r="I166" s="1565"/>
      <c r="J166" s="1565"/>
      <c r="K166" s="1565"/>
      <c r="L166" s="1565"/>
      <c r="M166" s="1565"/>
      <c r="N166" s="46"/>
      <c r="O166" s="46"/>
      <c r="P166" s="46"/>
      <c r="Q166" s="46"/>
      <c r="R166" s="46"/>
      <c r="S166" s="46"/>
      <c r="T166" s="44">
        <f t="shared" si="1"/>
        <v>166</v>
      </c>
    </row>
    <row r="167" spans="1:21" ht="16.5" hidden="1">
      <c r="A167" s="46"/>
      <c r="B167" s="46"/>
      <c r="C167" s="46"/>
      <c r="D167" s="70"/>
      <c r="E167" s="1565"/>
      <c r="F167" s="1565"/>
      <c r="G167" s="1565"/>
      <c r="H167" s="1565"/>
      <c r="I167" s="1565"/>
      <c r="J167" s="1565"/>
      <c r="K167" s="1565"/>
      <c r="L167" s="1565"/>
      <c r="M167" s="1565"/>
      <c r="N167" s="46"/>
      <c r="O167" s="46"/>
      <c r="P167" s="46"/>
      <c r="Q167" s="46"/>
      <c r="R167" s="46"/>
      <c r="S167" s="46"/>
      <c r="T167" s="44" t="str">
        <f t="shared" si="1"/>
        <v/>
      </c>
    </row>
    <row r="168" spans="1:21" ht="16.5" hidden="1">
      <c r="A168" s="46"/>
      <c r="B168" s="46"/>
      <c r="C168" s="46"/>
      <c r="D168" s="70"/>
      <c r="E168" s="1565"/>
      <c r="F168" s="1565"/>
      <c r="G168" s="1565"/>
      <c r="H168" s="1565"/>
      <c r="I168" s="1565"/>
      <c r="J168" s="1565"/>
      <c r="K168" s="1565"/>
      <c r="L168" s="1565"/>
      <c r="M168" s="1565"/>
      <c r="N168" s="46"/>
      <c r="O168" s="46"/>
      <c r="P168" s="46"/>
      <c r="Q168" s="46"/>
      <c r="R168" s="46"/>
      <c r="S168" s="46"/>
      <c r="T168" s="44" t="str">
        <f t="shared" si="1"/>
        <v/>
      </c>
    </row>
    <row r="169" spans="1:21" ht="16.5" hidden="1">
      <c r="A169" s="46"/>
      <c r="B169" s="46"/>
      <c r="C169" s="46"/>
      <c r="D169" s="70"/>
      <c r="E169" s="1565"/>
      <c r="F169" s="1565"/>
      <c r="G169" s="1565"/>
      <c r="H169" s="1565"/>
      <c r="I169" s="1565"/>
      <c r="J169" s="1565"/>
      <c r="K169" s="1565"/>
      <c r="L169" s="1565"/>
      <c r="M169" s="1565"/>
      <c r="N169" s="46"/>
      <c r="O169" s="46"/>
      <c r="P169" s="46"/>
      <c r="Q169" s="46"/>
      <c r="R169" s="46"/>
      <c r="S169" s="46"/>
      <c r="T169" s="44" t="str">
        <f t="shared" si="1"/>
        <v/>
      </c>
    </row>
    <row r="170" spans="1:21" ht="16.5" hidden="1">
      <c r="A170" s="46"/>
      <c r="B170" s="46"/>
      <c r="C170" s="46"/>
      <c r="D170" s="70"/>
      <c r="E170" s="1565"/>
      <c r="F170" s="1565"/>
      <c r="G170" s="1565"/>
      <c r="H170" s="1565"/>
      <c r="I170" s="1565"/>
      <c r="J170" s="1565"/>
      <c r="K170" s="1565"/>
      <c r="L170" s="1565"/>
      <c r="M170" s="1565"/>
      <c r="N170" s="46"/>
      <c r="O170" s="46"/>
      <c r="P170" s="46"/>
      <c r="Q170" s="46"/>
      <c r="R170" s="46"/>
      <c r="S170" s="46"/>
      <c r="T170" s="44" t="str">
        <f t="shared" si="1"/>
        <v/>
      </c>
    </row>
    <row r="171" spans="1:21" ht="16.5" hidden="1">
      <c r="A171" s="46"/>
      <c r="B171" s="46"/>
      <c r="C171" s="46"/>
      <c r="D171" s="70"/>
      <c r="E171" s="1565"/>
      <c r="F171" s="1565"/>
      <c r="G171" s="1565"/>
      <c r="H171" s="1565"/>
      <c r="I171" s="1565"/>
      <c r="J171" s="1565"/>
      <c r="K171" s="1565"/>
      <c r="L171" s="1565"/>
      <c r="M171" s="1565"/>
      <c r="N171" s="46"/>
      <c r="O171" s="46"/>
      <c r="P171" s="46"/>
      <c r="Q171" s="46"/>
      <c r="R171" s="46"/>
      <c r="S171" s="46"/>
      <c r="T171" s="44" t="str">
        <f t="shared" si="1"/>
        <v/>
      </c>
    </row>
    <row r="172" spans="1:21" ht="16.5" hidden="1">
      <c r="A172" s="46"/>
      <c r="B172" s="46"/>
      <c r="C172" s="46"/>
      <c r="D172" s="70"/>
      <c r="E172" s="1565"/>
      <c r="F172" s="1565"/>
      <c r="G172" s="1565"/>
      <c r="H172" s="1565"/>
      <c r="I172" s="1565"/>
      <c r="J172" s="1565"/>
      <c r="K172" s="1565"/>
      <c r="L172" s="1565"/>
      <c r="M172" s="1565"/>
      <c r="N172" s="46"/>
      <c r="O172" s="46"/>
      <c r="P172" s="46"/>
      <c r="Q172" s="46"/>
      <c r="R172" s="46"/>
      <c r="S172" s="46"/>
      <c r="T172" s="44" t="str">
        <f t="shared" si="1"/>
        <v/>
      </c>
      <c r="U172" s="45"/>
    </row>
    <row r="173" spans="1:21" ht="16.5" hidden="1">
      <c r="A173" s="46"/>
      <c r="B173" s="46"/>
      <c r="C173" s="46"/>
      <c r="D173" s="70"/>
      <c r="E173" s="1576"/>
      <c r="F173" s="1576"/>
      <c r="G173" s="1576"/>
      <c r="H173" s="1576"/>
      <c r="I173" s="1576"/>
      <c r="J173" s="1576"/>
      <c r="K173" s="1576"/>
      <c r="L173" s="1576"/>
      <c r="M173" s="1576"/>
      <c r="N173" s="46"/>
      <c r="O173" s="46"/>
      <c r="P173" s="46"/>
      <c r="Q173" s="46"/>
      <c r="R173" s="46"/>
      <c r="S173" s="46"/>
      <c r="U173" s="45"/>
    </row>
    <row r="174" spans="1:21" ht="16.5">
      <c r="A174" s="46"/>
      <c r="B174" s="46"/>
      <c r="C174" s="46"/>
      <c r="D174" s="70"/>
      <c r="E174" s="1464" t="s">
        <v>1097</v>
      </c>
      <c r="F174" s="1455"/>
      <c r="G174" s="1455"/>
      <c r="H174" s="1455"/>
      <c r="I174" s="1455"/>
      <c r="J174" s="1455"/>
      <c r="K174" s="1455"/>
      <c r="L174" s="1455"/>
      <c r="M174" s="1455"/>
      <c r="N174" s="46"/>
      <c r="O174" s="46"/>
      <c r="P174" s="46"/>
      <c r="Q174" s="46"/>
      <c r="R174" s="46"/>
      <c r="S174" s="46"/>
      <c r="T174" s="44" t="str">
        <f>IF(D174&lt;&gt;"",ROW(),"")</f>
        <v/>
      </c>
    </row>
    <row r="175" spans="1:21" ht="20.100000000000001" customHeight="1">
      <c r="A175" s="46"/>
      <c r="B175" s="46"/>
      <c r="C175" s="46"/>
      <c r="D175" s="70"/>
      <c r="E175" s="1464" t="s">
        <v>4357</v>
      </c>
      <c r="F175" s="1455"/>
      <c r="G175" s="1455"/>
      <c r="H175" s="1455"/>
      <c r="I175" s="1455"/>
      <c r="J175" s="1455"/>
      <c r="K175" s="1455"/>
      <c r="L175" s="1455"/>
      <c r="M175" s="1455"/>
      <c r="N175" s="46"/>
      <c r="O175" s="46"/>
      <c r="P175" s="46"/>
      <c r="Q175" s="46"/>
      <c r="R175" s="46"/>
      <c r="S175" s="46"/>
      <c r="T175" s="44">
        <f>IF(E175&lt;&gt;"",ROW(),"")</f>
        <v>175</v>
      </c>
    </row>
    <row r="176" spans="1:21" ht="16.5">
      <c r="A176" s="46"/>
      <c r="B176" s="46"/>
      <c r="C176" s="46"/>
      <c r="D176" s="70"/>
      <c r="E176" s="1566" t="s">
        <v>183</v>
      </c>
      <c r="F176" s="1566"/>
      <c r="G176" s="1566"/>
      <c r="H176" s="1566"/>
      <c r="I176" s="1566"/>
      <c r="J176" s="1566"/>
      <c r="K176" s="1566"/>
      <c r="L176" s="1566"/>
      <c r="M176" s="1566"/>
      <c r="N176" s="46"/>
      <c r="O176" s="46"/>
      <c r="P176" s="46"/>
      <c r="Q176" s="46"/>
      <c r="R176" s="46"/>
      <c r="S176" s="46"/>
    </row>
    <row r="177" spans="1:19" ht="17.25">
      <c r="A177" s="46"/>
      <c r="B177" s="46"/>
      <c r="C177" s="46"/>
      <c r="D177" s="70"/>
      <c r="E177" s="1569" t="s">
        <v>184</v>
      </c>
      <c r="F177" s="1569"/>
      <c r="G177" s="1569"/>
      <c r="H177" s="1569"/>
      <c r="I177" s="1569"/>
      <c r="J177" s="1569"/>
      <c r="K177" s="1569"/>
      <c r="L177" s="1569"/>
      <c r="M177" s="1569"/>
      <c r="N177" s="46"/>
      <c r="O177" s="46"/>
      <c r="P177" s="46"/>
      <c r="Q177" s="46"/>
      <c r="R177" s="46"/>
      <c r="S177" s="46"/>
    </row>
    <row r="178" spans="1:19" ht="18.75" customHeight="1">
      <c r="A178" s="46"/>
      <c r="B178" s="46"/>
      <c r="C178" s="46"/>
      <c r="D178" s="70"/>
      <c r="E178" s="1567" t="s">
        <v>185</v>
      </c>
      <c r="F178" s="1568"/>
      <c r="G178" s="1568"/>
      <c r="H178" s="1568"/>
      <c r="I178" s="1568"/>
      <c r="J178" s="1568"/>
      <c r="K178" s="1568"/>
      <c r="L178" s="1568"/>
      <c r="M178" s="1568"/>
      <c r="N178" s="46"/>
      <c r="O178" s="46"/>
      <c r="P178" s="46"/>
      <c r="Q178" s="46"/>
      <c r="R178" s="46"/>
      <c r="S178" s="46"/>
    </row>
    <row r="179" spans="1:19" ht="19.5" customHeight="1">
      <c r="A179" s="46"/>
      <c r="B179" s="46"/>
      <c r="C179" s="46"/>
      <c r="D179" s="70"/>
      <c r="E179" s="1571" t="s">
        <v>186</v>
      </c>
      <c r="F179" s="1572"/>
      <c r="G179" s="1572"/>
      <c r="H179" s="1572"/>
      <c r="I179" s="1572"/>
      <c r="J179" s="1572"/>
      <c r="K179" s="1572"/>
      <c r="L179" s="1572"/>
      <c r="M179" s="1572"/>
      <c r="N179" s="46"/>
      <c r="O179" s="46"/>
      <c r="P179" s="46"/>
      <c r="Q179" s="46"/>
      <c r="R179" s="46"/>
      <c r="S179" s="46"/>
    </row>
    <row r="180" spans="1:19" ht="37.5" customHeight="1">
      <c r="A180" s="46"/>
      <c r="B180" s="46"/>
      <c r="C180" s="46"/>
      <c r="D180" s="70"/>
      <c r="E180" s="1573" t="s">
        <v>187</v>
      </c>
      <c r="F180" s="1574"/>
      <c r="G180" s="1574"/>
      <c r="H180" s="1574"/>
      <c r="I180" s="1574"/>
      <c r="J180" s="1574"/>
      <c r="K180" s="1574"/>
      <c r="L180" s="1574"/>
      <c r="M180" s="1574"/>
      <c r="N180" s="46"/>
      <c r="O180" s="46"/>
      <c r="P180" s="46"/>
      <c r="Q180" s="46"/>
      <c r="R180" s="46"/>
      <c r="S180" s="46"/>
    </row>
    <row r="181" spans="1:19" ht="17.25">
      <c r="A181" s="46"/>
      <c r="B181" s="46"/>
      <c r="C181" s="46"/>
      <c r="D181" s="70"/>
      <c r="E181" s="1569" t="s">
        <v>188</v>
      </c>
      <c r="F181" s="1569"/>
      <c r="G181" s="1569"/>
      <c r="H181" s="1569"/>
      <c r="I181" s="1569"/>
      <c r="J181" s="1569"/>
      <c r="K181" s="1569"/>
      <c r="L181" s="1569"/>
      <c r="M181" s="1569"/>
      <c r="N181" s="46"/>
      <c r="O181" s="46"/>
      <c r="P181" s="46"/>
      <c r="Q181" s="46"/>
      <c r="R181" s="46"/>
      <c r="S181" s="46"/>
    </row>
    <row r="182" spans="1:19" ht="18.75" customHeight="1">
      <c r="A182" s="46"/>
      <c r="B182" s="46"/>
      <c r="C182" s="46"/>
      <c r="D182" s="70"/>
      <c r="E182" s="1567" t="s">
        <v>189</v>
      </c>
      <c r="F182" s="1568"/>
      <c r="G182" s="1568"/>
      <c r="H182" s="1568"/>
      <c r="I182" s="1568"/>
      <c r="J182" s="1568"/>
      <c r="K182" s="1568"/>
      <c r="L182" s="1568"/>
      <c r="M182" s="1568"/>
      <c r="N182" s="46"/>
      <c r="O182" s="46"/>
      <c r="P182" s="46"/>
      <c r="Q182" s="46"/>
      <c r="R182" s="46"/>
      <c r="S182" s="46"/>
    </row>
    <row r="183" spans="1:19" ht="17.25">
      <c r="A183" s="46"/>
      <c r="B183" s="46"/>
      <c r="C183" s="46"/>
      <c r="D183" s="70"/>
      <c r="E183" s="1569" t="s">
        <v>190</v>
      </c>
      <c r="F183" s="1569"/>
      <c r="G183" s="1569"/>
      <c r="H183" s="1569"/>
      <c r="I183" s="1569"/>
      <c r="J183" s="1569"/>
      <c r="K183" s="1569"/>
      <c r="L183" s="1569"/>
      <c r="M183" s="1569"/>
      <c r="N183" s="46"/>
      <c r="O183" s="46"/>
      <c r="P183" s="46"/>
      <c r="Q183" s="46"/>
      <c r="R183" s="46"/>
      <c r="S183" s="46"/>
    </row>
    <row r="184" spans="1:19" ht="18.75" customHeight="1">
      <c r="A184" s="46"/>
      <c r="B184" s="46"/>
      <c r="C184" s="46"/>
      <c r="D184" s="70"/>
      <c r="E184" s="1567" t="s">
        <v>191</v>
      </c>
      <c r="F184" s="1568"/>
      <c r="G184" s="1568"/>
      <c r="H184" s="1568"/>
      <c r="I184" s="1568"/>
      <c r="J184" s="1568"/>
      <c r="K184" s="1568"/>
      <c r="L184" s="1568"/>
      <c r="M184" s="1568"/>
      <c r="N184" s="46"/>
      <c r="O184" s="46"/>
      <c r="P184" s="46"/>
      <c r="Q184" s="46"/>
      <c r="R184" s="46"/>
      <c r="S184" s="46"/>
    </row>
    <row r="185" spans="1:19" ht="17.25">
      <c r="A185" s="46"/>
      <c r="B185" s="46"/>
      <c r="C185" s="46"/>
      <c r="D185" s="70"/>
      <c r="E185" s="1533" t="s">
        <v>200</v>
      </c>
      <c r="F185" s="1533"/>
      <c r="G185" s="1533"/>
      <c r="H185" s="1533"/>
      <c r="I185" s="1533"/>
      <c r="J185" s="1533"/>
      <c r="K185" s="1533"/>
      <c r="L185" s="1533"/>
      <c r="M185" s="1533"/>
      <c r="N185" s="46"/>
      <c r="O185" s="46"/>
      <c r="P185" s="46"/>
      <c r="Q185" s="46"/>
      <c r="R185" s="46"/>
      <c r="S185" s="46"/>
    </row>
    <row r="186" spans="1:19" ht="18.75" customHeight="1">
      <c r="A186" s="46"/>
      <c r="B186" s="46"/>
      <c r="C186" s="46"/>
      <c r="D186" s="70"/>
      <c r="E186" s="1570" t="s">
        <v>191</v>
      </c>
      <c r="F186" s="1509"/>
      <c r="G186" s="1509"/>
      <c r="H186" s="1509"/>
      <c r="I186" s="1509"/>
      <c r="J186" s="1509"/>
      <c r="K186" s="1509"/>
      <c r="L186" s="1509"/>
      <c r="M186" s="1509"/>
      <c r="N186" s="46"/>
      <c r="O186" s="46"/>
      <c r="P186" s="46"/>
      <c r="Q186" s="46"/>
      <c r="R186" s="46"/>
      <c r="S186" s="46"/>
    </row>
    <row r="187" spans="1:19" ht="16.5">
      <c r="A187" s="46"/>
      <c r="B187" s="46"/>
      <c r="C187" s="46"/>
      <c r="D187" s="70"/>
      <c r="E187" s="1532" t="s">
        <v>192</v>
      </c>
      <c r="F187" s="1532"/>
      <c r="G187" s="1532"/>
      <c r="H187" s="1532"/>
      <c r="I187" s="1532"/>
      <c r="J187" s="1532"/>
      <c r="K187" s="1532"/>
      <c r="L187" s="1532"/>
      <c r="M187" s="1532"/>
      <c r="N187" s="46"/>
      <c r="O187" s="46"/>
      <c r="P187" s="46"/>
      <c r="Q187" s="46"/>
      <c r="R187" s="46"/>
      <c r="S187" s="46"/>
    </row>
    <row r="188" spans="1:19" ht="16.5">
      <c r="A188" s="46"/>
      <c r="B188" s="46"/>
      <c r="C188" s="46"/>
      <c r="D188" s="70"/>
      <c r="E188" s="1575" t="s">
        <v>201</v>
      </c>
      <c r="F188" s="1542"/>
      <c r="G188" s="1542"/>
      <c r="H188" s="1542"/>
      <c r="I188" s="1542"/>
      <c r="J188" s="1542"/>
      <c r="K188" s="1542"/>
      <c r="L188" s="1542"/>
      <c r="M188" s="1542"/>
      <c r="N188" s="46"/>
      <c r="O188" s="46"/>
      <c r="P188" s="46"/>
      <c r="Q188" s="46"/>
      <c r="R188" s="46"/>
      <c r="S188" s="46"/>
    </row>
    <row r="189" spans="1:19" ht="7.5" customHeight="1">
      <c r="A189" s="46"/>
      <c r="B189" s="46"/>
      <c r="C189" s="46"/>
      <c r="D189" s="70"/>
      <c r="E189" s="49"/>
      <c r="F189" s="68"/>
      <c r="G189" s="49"/>
      <c r="H189" s="49"/>
      <c r="I189" s="49"/>
      <c r="J189" s="49"/>
      <c r="K189" s="49"/>
      <c r="L189" s="49"/>
      <c r="M189" s="49"/>
      <c r="N189" s="46"/>
      <c r="O189" s="46"/>
      <c r="P189" s="46"/>
      <c r="Q189" s="46"/>
      <c r="R189" s="46"/>
      <c r="S189" s="46"/>
    </row>
    <row r="190" spans="1:19" ht="17.25" customHeight="1">
      <c r="A190" s="46"/>
      <c r="B190" s="46"/>
      <c r="C190" s="46"/>
      <c r="D190" s="70"/>
      <c r="E190" s="1536" t="s">
        <v>166</v>
      </c>
      <c r="F190" s="1478"/>
      <c r="G190" s="1478"/>
      <c r="H190" s="1478"/>
      <c r="I190" s="1478"/>
      <c r="J190" s="1537" t="s">
        <v>167</v>
      </c>
      <c r="K190" s="1537"/>
      <c r="L190" s="1537"/>
      <c r="M190" s="1537"/>
      <c r="N190" s="46"/>
      <c r="O190" s="46"/>
      <c r="P190" s="46"/>
      <c r="Q190" s="46"/>
      <c r="R190" s="46"/>
      <c r="S190" s="46"/>
    </row>
    <row r="191" spans="1:19" ht="16.5">
      <c r="A191" s="46"/>
      <c r="B191" s="46"/>
      <c r="C191" s="46"/>
      <c r="D191" s="70"/>
      <c r="E191" s="49"/>
      <c r="F191" s="49"/>
      <c r="G191" s="49"/>
      <c r="H191" s="49"/>
      <c r="I191" s="49"/>
      <c r="J191" s="49"/>
      <c r="K191" s="49"/>
      <c r="L191" s="49"/>
      <c r="M191" s="49"/>
      <c r="N191" s="46"/>
      <c r="O191" s="46"/>
      <c r="P191" s="46"/>
      <c r="Q191" s="46"/>
      <c r="R191" s="46"/>
      <c r="S191" s="46"/>
    </row>
    <row r="192" spans="1:19" ht="16.5">
      <c r="A192" s="46"/>
      <c r="B192" s="46"/>
      <c r="C192" s="46"/>
      <c r="D192" s="70"/>
      <c r="E192" s="49"/>
      <c r="F192" s="49"/>
      <c r="G192" s="49"/>
      <c r="H192" s="49"/>
      <c r="I192" s="49"/>
      <c r="J192" s="49"/>
      <c r="K192" s="49"/>
      <c r="L192" s="49"/>
      <c r="M192" s="49"/>
      <c r="N192" s="46"/>
      <c r="O192" s="46"/>
      <c r="P192" s="46"/>
      <c r="Q192" s="46"/>
      <c r="R192" s="46"/>
      <c r="S192" s="46"/>
    </row>
    <row r="193" spans="1:19" ht="16.5">
      <c r="A193" s="46"/>
      <c r="B193" s="46"/>
      <c r="C193" s="46"/>
      <c r="D193" s="70"/>
      <c r="E193" s="49"/>
      <c r="F193" s="49"/>
      <c r="G193" s="49"/>
      <c r="H193" s="49"/>
      <c r="I193" s="49"/>
      <c r="J193" s="49"/>
      <c r="K193" s="49"/>
      <c r="L193" s="49"/>
      <c r="M193" s="49"/>
      <c r="N193" s="46"/>
      <c r="O193" s="46"/>
      <c r="P193" s="46"/>
      <c r="Q193" s="46"/>
      <c r="R193" s="46"/>
      <c r="S193" s="46"/>
    </row>
    <row r="194" spans="1:19" ht="16.5">
      <c r="A194" s="46"/>
      <c r="B194" s="46"/>
      <c r="C194" s="46"/>
      <c r="D194" s="70"/>
      <c r="E194" s="49"/>
      <c r="F194" s="49"/>
      <c r="G194" s="49"/>
      <c r="H194" s="49"/>
      <c r="I194" s="49"/>
      <c r="J194" s="49"/>
      <c r="K194" s="49"/>
      <c r="L194" s="49"/>
      <c r="M194" s="49"/>
      <c r="N194" s="46"/>
      <c r="O194" s="46"/>
      <c r="P194" s="46"/>
      <c r="Q194" s="46"/>
      <c r="R194" s="46"/>
      <c r="S194" s="46"/>
    </row>
    <row r="195" spans="1:19" ht="16.5">
      <c r="A195" s="46"/>
      <c r="B195" s="46"/>
      <c r="C195" s="46"/>
      <c r="D195" s="70"/>
      <c r="E195" s="49"/>
      <c r="F195" s="49"/>
      <c r="G195" s="49"/>
      <c r="H195" s="49"/>
      <c r="I195" s="49"/>
      <c r="J195" s="49"/>
      <c r="K195" s="49"/>
      <c r="L195" s="49"/>
      <c r="M195" s="49"/>
      <c r="N195" s="46"/>
      <c r="O195" s="46"/>
      <c r="P195" s="46"/>
      <c r="Q195" s="46"/>
      <c r="R195" s="46"/>
      <c r="S195" s="46"/>
    </row>
    <row r="196" spans="1:19" ht="17.25" customHeight="1">
      <c r="A196" s="46"/>
      <c r="B196" s="46"/>
      <c r="C196" s="46"/>
      <c r="D196" s="70"/>
      <c r="E196" s="1536" t="str">
        <f>CBGS1</f>
        <v>Trần Trọng Liêm</v>
      </c>
      <c r="F196" s="1478"/>
      <c r="G196" s="1478"/>
      <c r="H196" s="1478"/>
      <c r="I196" s="1478"/>
      <c r="J196" s="1537" t="str">
        <f>CBKT1</f>
        <v>Hoàng Đình Tảng</v>
      </c>
      <c r="K196" s="1537"/>
      <c r="L196" s="1537"/>
      <c r="M196" s="1537"/>
      <c r="N196" s="46"/>
      <c r="O196" s="46"/>
      <c r="P196" s="46"/>
      <c r="Q196" s="46"/>
      <c r="R196" s="46"/>
      <c r="S196" s="46"/>
    </row>
    <row r="197" spans="1:19" ht="16.5">
      <c r="A197" s="46"/>
      <c r="B197" s="46"/>
      <c r="C197" s="46"/>
      <c r="D197" s="70"/>
      <c r="E197" s="46"/>
      <c r="F197" s="46"/>
      <c r="G197" s="46"/>
      <c r="H197" s="46"/>
      <c r="I197" s="46"/>
      <c r="J197" s="46"/>
      <c r="K197" s="46"/>
      <c r="L197" s="46"/>
      <c r="M197" s="46"/>
      <c r="N197" s="46"/>
      <c r="O197" s="46"/>
      <c r="P197" s="46"/>
      <c r="Q197" s="46"/>
      <c r="R197" s="46"/>
      <c r="S197" s="46"/>
    </row>
    <row r="198" spans="1:19" ht="16.5">
      <c r="A198" s="46"/>
      <c r="B198" s="46"/>
      <c r="C198" s="46"/>
      <c r="D198" s="70"/>
      <c r="E198" s="46"/>
      <c r="F198" s="46"/>
      <c r="G198" s="46"/>
      <c r="H198" s="46"/>
      <c r="I198" s="46"/>
      <c r="J198" s="46"/>
      <c r="K198" s="46"/>
      <c r="L198" s="46"/>
      <c r="M198" s="46"/>
      <c r="N198" s="46"/>
      <c r="O198" s="46"/>
      <c r="P198" s="46"/>
      <c r="Q198" s="46"/>
      <c r="R198" s="46"/>
      <c r="S198" s="46"/>
    </row>
    <row r="199" spans="1:19" ht="16.5">
      <c r="A199" s="46"/>
      <c r="B199" s="46"/>
      <c r="C199" s="46"/>
      <c r="D199" s="70"/>
      <c r="E199" s="46"/>
      <c r="F199" s="46"/>
      <c r="G199" s="46"/>
      <c r="H199" s="46"/>
      <c r="I199" s="46"/>
      <c r="J199" s="46"/>
      <c r="K199" s="46"/>
      <c r="L199" s="46"/>
      <c r="M199" s="46"/>
      <c r="N199" s="46"/>
      <c r="O199" s="46"/>
      <c r="P199" s="46"/>
      <c r="Q199" s="46"/>
      <c r="R199" s="46"/>
      <c r="S199" s="46"/>
    </row>
    <row r="200" spans="1:19" ht="16.5">
      <c r="A200" s="46"/>
      <c r="B200" s="46"/>
      <c r="C200" s="46"/>
      <c r="D200" s="70"/>
      <c r="E200" s="46"/>
      <c r="F200" s="46"/>
      <c r="G200" s="46"/>
      <c r="H200" s="46"/>
      <c r="I200" s="46"/>
      <c r="J200" s="46"/>
      <c r="K200" s="46"/>
      <c r="L200" s="46"/>
      <c r="M200" s="46"/>
      <c r="N200" s="46"/>
      <c r="O200" s="46"/>
      <c r="P200" s="46"/>
      <c r="Q200" s="46"/>
      <c r="R200" s="46"/>
      <c r="S200" s="46"/>
    </row>
    <row r="201" spans="1:19" ht="16.5">
      <c r="A201" s="46"/>
      <c r="B201" s="46"/>
      <c r="C201" s="46"/>
      <c r="D201" s="70"/>
      <c r="E201" s="46"/>
      <c r="F201" s="46"/>
      <c r="G201" s="46"/>
      <c r="H201" s="46"/>
      <c r="I201" s="46"/>
      <c r="J201" s="46"/>
      <c r="K201" s="46"/>
      <c r="L201" s="46"/>
      <c r="M201" s="46"/>
      <c r="N201" s="46"/>
      <c r="O201" s="46"/>
      <c r="P201" s="46"/>
      <c r="Q201" s="46"/>
      <c r="R201" s="46"/>
      <c r="S201" s="46"/>
    </row>
    <row r="202" spans="1:19" ht="16.5">
      <c r="A202" s="46"/>
      <c r="B202" s="46"/>
      <c r="C202" s="46"/>
      <c r="D202" s="70"/>
      <c r="E202" s="46"/>
      <c r="F202" s="46"/>
      <c r="G202" s="46"/>
      <c r="H202" s="46"/>
      <c r="I202" s="46"/>
      <c r="J202" s="46"/>
      <c r="K202" s="46"/>
      <c r="L202" s="46"/>
      <c r="M202" s="46"/>
      <c r="N202" s="46"/>
      <c r="O202" s="46"/>
      <c r="P202" s="46"/>
      <c r="Q202" s="46"/>
      <c r="R202" s="46"/>
      <c r="S202" s="46"/>
    </row>
    <row r="203" spans="1:19" ht="16.5">
      <c r="A203" s="46"/>
      <c r="B203" s="46"/>
      <c r="C203" s="46"/>
      <c r="D203" s="70"/>
      <c r="E203" s="46"/>
      <c r="F203" s="46"/>
      <c r="G203" s="46"/>
      <c r="H203" s="46"/>
      <c r="I203" s="46"/>
      <c r="J203" s="46"/>
      <c r="K203" s="46"/>
      <c r="L203" s="46"/>
      <c r="M203" s="46"/>
      <c r="N203" s="46"/>
      <c r="O203" s="46"/>
      <c r="P203" s="46"/>
      <c r="Q203" s="46"/>
      <c r="R203" s="46"/>
      <c r="S203" s="46"/>
    </row>
    <row r="204" spans="1:19" ht="16.5">
      <c r="A204" s="46"/>
      <c r="B204" s="46"/>
      <c r="C204" s="46"/>
      <c r="D204" s="70"/>
      <c r="E204" s="46"/>
      <c r="F204" s="46"/>
      <c r="G204" s="46"/>
      <c r="H204" s="46"/>
      <c r="I204" s="46"/>
      <c r="J204" s="46"/>
      <c r="K204" s="46"/>
      <c r="L204" s="46"/>
      <c r="M204" s="46"/>
      <c r="N204" s="46"/>
      <c r="O204" s="46"/>
      <c r="P204" s="46"/>
      <c r="Q204" s="46"/>
      <c r="R204" s="46"/>
      <c r="S204" s="46"/>
    </row>
    <row r="205" spans="1:19" ht="16.5" hidden="1"/>
    <row r="206" spans="1:19" ht="16.5" hidden="1"/>
    <row r="207" spans="1:19" ht="16.5" hidden="1"/>
    <row r="208" spans="1:19" ht="18.75" hidden="1" customHeight="1"/>
    <row r="209" ht="18.75" hidden="1" customHeight="1"/>
  </sheetData>
  <mergeCells count="161">
    <mergeCell ref="E162:M162"/>
    <mergeCell ref="E163:M163"/>
    <mergeCell ref="E164:M164"/>
    <mergeCell ref="E165:M165"/>
    <mergeCell ref="E166:M166"/>
    <mergeCell ref="E172:M172"/>
    <mergeCell ref="E173:M173"/>
    <mergeCell ref="E174:M174"/>
    <mergeCell ref="E175:M175"/>
    <mergeCell ref="E176:M176"/>
    <mergeCell ref="E167:M167"/>
    <mergeCell ref="E168:M168"/>
    <mergeCell ref="E169:M169"/>
    <mergeCell ref="E170:M170"/>
    <mergeCell ref="E171:M171"/>
    <mergeCell ref="E196:I196"/>
    <mergeCell ref="J196:M196"/>
    <mergeCell ref="E182:M182"/>
    <mergeCell ref="E183:M183"/>
    <mergeCell ref="E184:M184"/>
    <mergeCell ref="E185:M185"/>
    <mergeCell ref="E186:M186"/>
    <mergeCell ref="E177:M177"/>
    <mergeCell ref="E178:M178"/>
    <mergeCell ref="E179:M179"/>
    <mergeCell ref="E180:M180"/>
    <mergeCell ref="E181:M181"/>
    <mergeCell ref="E187:M187"/>
    <mergeCell ref="E188:M188"/>
    <mergeCell ref="E190:I190"/>
    <mergeCell ref="J190:M190"/>
    <mergeCell ref="E157:M157"/>
    <mergeCell ref="E158:M158"/>
    <mergeCell ref="E159:M159"/>
    <mergeCell ref="E160:M160"/>
    <mergeCell ref="E161:M161"/>
    <mergeCell ref="E152:M152"/>
    <mergeCell ref="E153:M153"/>
    <mergeCell ref="E154:M154"/>
    <mergeCell ref="E155:M155"/>
    <mergeCell ref="E156:M156"/>
    <mergeCell ref="E147:M147"/>
    <mergeCell ref="E148:M148"/>
    <mergeCell ref="E149:M149"/>
    <mergeCell ref="E150:M150"/>
    <mergeCell ref="E151:M151"/>
    <mergeCell ref="E134:M134"/>
    <mergeCell ref="E135:M135"/>
    <mergeCell ref="E136:M136"/>
    <mergeCell ref="E141:M141"/>
    <mergeCell ref="E144:M144"/>
    <mergeCell ref="E140:M140"/>
    <mergeCell ref="E129:M129"/>
    <mergeCell ref="E130:M130"/>
    <mergeCell ref="E132:M132"/>
    <mergeCell ref="E133:M133"/>
    <mergeCell ref="E122:M122"/>
    <mergeCell ref="E123:M123"/>
    <mergeCell ref="E125:M125"/>
    <mergeCell ref="E126:M126"/>
    <mergeCell ref="E127:M127"/>
    <mergeCell ref="E119:M119"/>
    <mergeCell ref="E120:M120"/>
    <mergeCell ref="E121:M121"/>
    <mergeCell ref="E110:H110"/>
    <mergeCell ref="I110:M110"/>
    <mergeCell ref="E111:H111"/>
    <mergeCell ref="E112:H112"/>
    <mergeCell ref="E113:H113"/>
    <mergeCell ref="E128:M128"/>
    <mergeCell ref="E107:M107"/>
    <mergeCell ref="E109:H109"/>
    <mergeCell ref="I109:M109"/>
    <mergeCell ref="E101:M101"/>
    <mergeCell ref="E102:M102"/>
    <mergeCell ref="E103:M103"/>
    <mergeCell ref="E105:M105"/>
    <mergeCell ref="E106:M106"/>
    <mergeCell ref="E116:H116"/>
    <mergeCell ref="I116:M116"/>
    <mergeCell ref="E87:M87"/>
    <mergeCell ref="E90:F90"/>
    <mergeCell ref="G90:M90"/>
    <mergeCell ref="G92:M92"/>
    <mergeCell ref="E100:M100"/>
    <mergeCell ref="E74:I74"/>
    <mergeCell ref="J74:M74"/>
    <mergeCell ref="E80:I80"/>
    <mergeCell ref="J80:M80"/>
    <mergeCell ref="E81:M81"/>
    <mergeCell ref="E82:M82"/>
    <mergeCell ref="E83:M83"/>
    <mergeCell ref="E84:M84"/>
    <mergeCell ref="E88:M88"/>
    <mergeCell ref="E85:M85"/>
    <mergeCell ref="G91:M91"/>
    <mergeCell ref="E94:M94"/>
    <mergeCell ref="E95:M95"/>
    <mergeCell ref="E96:M96"/>
    <mergeCell ref="E97:M97"/>
    <mergeCell ref="E98:M98"/>
    <mergeCell ref="E69:M69"/>
    <mergeCell ref="E70:M70"/>
    <mergeCell ref="E71:M71"/>
    <mergeCell ref="E72:M72"/>
    <mergeCell ref="E73:M73"/>
    <mergeCell ref="E64:M64"/>
    <mergeCell ref="E65:M65"/>
    <mergeCell ref="E66:M66"/>
    <mergeCell ref="E67:M67"/>
    <mergeCell ref="E68:M68"/>
    <mergeCell ref="E59:M59"/>
    <mergeCell ref="E60:M60"/>
    <mergeCell ref="E61:M61"/>
    <mergeCell ref="E62:M62"/>
    <mergeCell ref="E63:M63"/>
    <mergeCell ref="E54:M54"/>
    <mergeCell ref="E55:M55"/>
    <mergeCell ref="E56:M56"/>
    <mergeCell ref="E57:M57"/>
    <mergeCell ref="E58:M58"/>
    <mergeCell ref="E49:M49"/>
    <mergeCell ref="E50:M50"/>
    <mergeCell ref="E51:M51"/>
    <mergeCell ref="E52:M52"/>
    <mergeCell ref="E53:M53"/>
    <mergeCell ref="E44:M44"/>
    <mergeCell ref="E45:M45"/>
    <mergeCell ref="E46:M46"/>
    <mergeCell ref="E47:M47"/>
    <mergeCell ref="E48:M48"/>
    <mergeCell ref="E39:M39"/>
    <mergeCell ref="E40:M40"/>
    <mergeCell ref="E41:M41"/>
    <mergeCell ref="E42:M42"/>
    <mergeCell ref="E43:M43"/>
    <mergeCell ref="E32:M32"/>
    <mergeCell ref="E35:M35"/>
    <mergeCell ref="E36:M36"/>
    <mergeCell ref="E37:M37"/>
    <mergeCell ref="E38:M38"/>
    <mergeCell ref="E21:M21"/>
    <mergeCell ref="E22:M22"/>
    <mergeCell ref="E24:M24"/>
    <mergeCell ref="E25:M25"/>
    <mergeCell ref="E28:M28"/>
    <mergeCell ref="E1:M1"/>
    <mergeCell ref="E2:M2"/>
    <mergeCell ref="E3:M3"/>
    <mergeCell ref="E5:M5"/>
    <mergeCell ref="E13:M13"/>
    <mergeCell ref="E15:M15"/>
    <mergeCell ref="E16:M16"/>
    <mergeCell ref="E17:M17"/>
    <mergeCell ref="E20:M20"/>
    <mergeCell ref="E7:M7"/>
    <mergeCell ref="E8:M8"/>
    <mergeCell ref="E9:M9"/>
    <mergeCell ref="E10:M10"/>
    <mergeCell ref="E12:M12"/>
    <mergeCell ref="E18:M18"/>
  </mergeCells>
  <dataValidations count="2">
    <dataValidation allowBlank="1" showInputMessage="1" showErrorMessage="1" prompt="Title of the project. Enter a new title in this cell. Highlight a period in H2. Chart legend is in J2 to AI2" sqref="B1" xr:uid="{00000000-0002-0000-2900-000000000000}"/>
    <dataValidation allowBlank="1" showInputMessage="1" showErrorMessage="1" prompt="Không xoá ô này" sqref="A1" xr:uid="{00000000-0002-0000-2900-000001000000}"/>
  </dataValidations>
  <printOptions horizontalCentered="1"/>
  <pageMargins left="0.78740157480314998" right="0.39370078740157499" top="0.27" bottom="0.27" header="0" footer="0"/>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Spinner 1">
              <controlPr defaultSize="0" autoPict="0" macro="[0]!CandongBB">
                <anchor moveWithCells="1" sizeWithCells="1">
                  <from>
                    <xdr:col>16</xdr:col>
                    <xdr:colOff>209550</xdr:colOff>
                    <xdr:row>0</xdr:row>
                    <xdr:rowOff>85725</xdr:rowOff>
                  </from>
                  <to>
                    <xdr:col>17</xdr:col>
                    <xdr:colOff>200025</xdr:colOff>
                    <xdr:row>2</xdr:row>
                    <xdr:rowOff>133350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7"/>
  <dimension ref="A1:AD270"/>
  <sheetViews>
    <sheetView showGridLines="0" showZeros="0" zoomScaleNormal="100" workbookViewId="0">
      <pane xSplit="17" ySplit="4" topLeftCell="R129" activePane="bottomRight" state="frozen"/>
      <selection pane="topRight" activeCell="R1" sqref="R1"/>
      <selection pane="bottomLeft" activeCell="A5" sqref="A5"/>
      <selection pane="bottomRight" activeCell="H178" sqref="H178"/>
    </sheetView>
  </sheetViews>
  <sheetFormatPr defaultRowHeight="16.5"/>
  <cols>
    <col min="1" max="1" width="10.44140625" bestFit="1" customWidth="1"/>
    <col min="2" max="2" width="6.109375" customWidth="1"/>
    <col min="3" max="3" width="7.6640625" customWidth="1"/>
    <col min="5" max="5" width="5.109375" customWidth="1"/>
    <col min="6" max="6" width="20.88671875" customWidth="1"/>
    <col min="7" max="7" width="7" customWidth="1"/>
    <col min="8" max="8" width="7.33203125" customWidth="1"/>
    <col min="9" max="9" width="21" customWidth="1"/>
    <col min="10" max="10" width="8.109375" customWidth="1"/>
    <col min="11" max="11" width="7.5546875" bestFit="1" customWidth="1"/>
    <col min="12" max="13" width="6.33203125" customWidth="1"/>
    <col min="14" max="14" width="5" customWidth="1"/>
    <col min="15" max="15" width="6.33203125" customWidth="1"/>
    <col min="20" max="21" width="4" bestFit="1" customWidth="1"/>
  </cols>
  <sheetData>
    <row r="1" spans="1:30">
      <c r="A1" s="758"/>
      <c r="B1" s="758" t="str">
        <f ca="1">SUBSTITUTE(CELL("address",E176),"$","")</f>
        <v>E176</v>
      </c>
      <c r="C1" s="46"/>
      <c r="D1" s="46"/>
      <c r="E1" s="1581" t="str">
        <f>E119</f>
        <v xml:space="preserve">NGHIỆM THU VẬT LIỆU/THIẾT BỊ/SẢN PHẨM ĐÚC SẴN TRƯỚC KHI ĐƯA VÀO SỬ DỤNG </v>
      </c>
      <c r="F1" s="1581"/>
      <c r="G1" s="1581"/>
      <c r="H1" s="1581"/>
      <c r="I1" s="1581"/>
      <c r="J1" s="1581"/>
      <c r="K1" s="1581"/>
      <c r="L1" s="46"/>
      <c r="M1" s="46"/>
      <c r="N1" s="46"/>
      <c r="O1" s="46"/>
      <c r="P1" s="46"/>
      <c r="Q1" s="46"/>
      <c r="R1" s="44" t="str">
        <f ca="1">SUBSTITUTE(CELL("address",E82),"$","")</f>
        <v>E82</v>
      </c>
      <c r="S1" s="66" t="str">
        <f>IFERROR(VLOOKUP(N2,ListVlieu!A4:AB19,4,0),"")</f>
        <v>Vật liệu thi công: Cát vàng, đá 1x2cm, Xi măng, bao tải nhựa đường, Thép các loại</v>
      </c>
      <c r="T1" s="45"/>
      <c r="U1" s="228"/>
      <c r="V1" s="228"/>
      <c r="X1" s="45" t="s">
        <v>1092</v>
      </c>
      <c r="Y1" s="45" t="s">
        <v>1093</v>
      </c>
      <c r="Z1" s="45" t="s">
        <v>1094</v>
      </c>
      <c r="AA1" s="45" t="s">
        <v>1095</v>
      </c>
      <c r="AD1" t="str">
        <f>VLOOKUP(N2,ListVlieu!A4:AB19,12,0)</f>
        <v>TCVN 1770: 1986; TCVN 1771: 1978; TCVN 6260: 2009; TCVN 6151 : 2008</v>
      </c>
    </row>
    <row r="2" spans="1:30">
      <c r="A2" s="758" t="str">
        <f>IFERROR(MID(VLOOKUP(N2,ListVlieu!A4:AB19,11,0),FIND("/",VLOOKUP(N2,ListVlieu!A4:AB19,11,0))+1,200),"")</f>
        <v>VL.00001-1</v>
      </c>
      <c r="B2" s="758" t="str">
        <f ca="1">SUBSTITUTE(CELL("address",E177),"$","")</f>
        <v>E177</v>
      </c>
      <c r="C2" s="46"/>
      <c r="D2" s="46"/>
      <c r="E2" s="1460" t="str">
        <f>"     "&amp;Tieude1&amp;": "&amp;NDtieude1</f>
        <v xml:space="preserve">     Công trình: Gia cố nâng cấp kênh Bà Xoài từ K0+300÷K0+600 - Hệ thống thủy lợi Nha Trinh, huyện Ninh Hải, tỉnh Ninh Thuận</v>
      </c>
      <c r="F2" s="1460"/>
      <c r="G2" s="1460"/>
      <c r="H2" s="1460"/>
      <c r="I2" s="1460"/>
      <c r="J2" s="1460"/>
      <c r="K2" s="1460"/>
      <c r="L2" s="46"/>
      <c r="M2" s="46"/>
      <c r="N2" s="74">
        <v>1</v>
      </c>
      <c r="O2" s="46"/>
      <c r="P2" s="46">
        <v>1</v>
      </c>
      <c r="Q2" s="46"/>
      <c r="R2" s="44"/>
      <c r="S2" s="44"/>
      <c r="T2" s="45"/>
      <c r="U2" s="228"/>
      <c r="V2" s="228"/>
      <c r="X2" s="45">
        <f>ROW(E40)</f>
        <v>40</v>
      </c>
      <c r="Y2" s="45">
        <f>ROW(E52)</f>
        <v>52</v>
      </c>
      <c r="Z2" s="45">
        <f>ROW(E151)</f>
        <v>151</v>
      </c>
      <c r="AA2" s="45">
        <f>ROW(E163)</f>
        <v>163</v>
      </c>
      <c r="AD2" t="str">
        <f>VLOOKUP(N2,ListVlieu!A4:AB19,13,0)</f>
        <v>CP.010007; CP.010008; CP.010009; CP.010010</v>
      </c>
    </row>
    <row r="3" spans="1:30">
      <c r="A3" s="758"/>
      <c r="B3" s="758" t="str">
        <f ca="1">SUBSTITUTE(CELL("address",E250),"$","")</f>
        <v>E250</v>
      </c>
      <c r="C3" s="46"/>
      <c r="D3" s="46"/>
      <c r="E3" s="1460" t="str">
        <f>"     Địa điểm XD: "&amp;DDXD</f>
        <v xml:space="preserve">     Địa điểm XD: Huyện Ninh Hải - Tỉnh Ninh Thuận</v>
      </c>
      <c r="F3" s="1460"/>
      <c r="G3" s="1460"/>
      <c r="H3" s="1460"/>
      <c r="I3" s="1460"/>
      <c r="J3" s="1460"/>
      <c r="K3" s="1460"/>
      <c r="L3" s="46"/>
      <c r="M3" s="46"/>
      <c r="N3" s="46"/>
      <c r="O3" s="46"/>
      <c r="P3" s="46"/>
      <c r="Q3" s="46"/>
      <c r="R3" s="44"/>
      <c r="S3" s="44"/>
      <c r="T3" s="45"/>
      <c r="U3" s="228"/>
      <c r="V3" s="228"/>
    </row>
    <row r="4" spans="1:30">
      <c r="A4" s="596"/>
      <c r="B4" s="596"/>
      <c r="C4" s="596"/>
      <c r="D4" s="597"/>
      <c r="E4" s="598"/>
      <c r="F4" s="598"/>
      <c r="G4" s="598"/>
      <c r="H4" s="598"/>
      <c r="I4" s="598"/>
      <c r="J4" s="598"/>
      <c r="K4" s="598"/>
      <c r="L4" s="596"/>
      <c r="M4" s="596"/>
      <c r="N4" s="596"/>
      <c r="O4" s="596"/>
      <c r="P4" s="596"/>
      <c r="Q4" s="596"/>
      <c r="R4" s="44"/>
      <c r="S4" s="44"/>
      <c r="T4" s="45"/>
      <c r="V4" s="228"/>
    </row>
    <row r="5" spans="1:30">
      <c r="A5" s="46"/>
      <c r="B5" s="46"/>
      <c r="C5" s="46"/>
      <c r="D5" s="70"/>
      <c r="E5" s="1477" t="s">
        <v>158</v>
      </c>
      <c r="F5" s="1582"/>
      <c r="G5" s="1582"/>
      <c r="H5" s="1582"/>
      <c r="I5" s="1582"/>
      <c r="J5" s="1582"/>
      <c r="K5" s="1582"/>
      <c r="L5" s="46"/>
      <c r="M5" s="46"/>
      <c r="N5" s="46"/>
      <c r="O5" s="46"/>
      <c r="P5" s="46"/>
      <c r="Q5" s="46"/>
      <c r="R5" s="44"/>
      <c r="S5" s="44"/>
      <c r="T5" s="45"/>
      <c r="U5" s="45"/>
      <c r="V5" s="45"/>
    </row>
    <row r="6" spans="1:30">
      <c r="A6" s="46"/>
      <c r="B6" s="46"/>
      <c r="C6" s="46"/>
      <c r="D6" s="70"/>
      <c r="E6" s="1583" t="s">
        <v>178</v>
      </c>
      <c r="F6" s="1584"/>
      <c r="G6" s="1584"/>
      <c r="H6" s="1584"/>
      <c r="I6" s="1584"/>
      <c r="J6" s="1584"/>
      <c r="K6" s="1584"/>
      <c r="L6" s="46"/>
      <c r="M6" s="46"/>
      <c r="N6" s="46"/>
      <c r="O6" s="46"/>
      <c r="P6" s="46"/>
      <c r="Q6" s="46"/>
      <c r="R6" s="44"/>
      <c r="S6" s="44"/>
      <c r="T6" s="45"/>
      <c r="U6" s="45"/>
      <c r="V6" s="45"/>
    </row>
    <row r="7" spans="1:30">
      <c r="A7" s="46"/>
      <c r="B7" s="46"/>
      <c r="C7" s="46"/>
      <c r="D7" s="70"/>
      <c r="E7" s="1490" t="s">
        <v>179</v>
      </c>
      <c r="F7" s="1490"/>
      <c r="G7" s="1490"/>
      <c r="H7" s="1490"/>
      <c r="I7" s="1490"/>
      <c r="J7" s="1490"/>
      <c r="K7" s="1490"/>
      <c r="L7" s="46"/>
      <c r="M7" s="46"/>
      <c r="N7" s="46"/>
      <c r="O7" s="46"/>
      <c r="P7" s="46"/>
      <c r="Q7" s="46"/>
      <c r="R7" s="44"/>
      <c r="S7" s="44"/>
      <c r="T7" s="45"/>
      <c r="U7" s="45"/>
      <c r="V7" s="45"/>
    </row>
    <row r="8" spans="1:30">
      <c r="A8" s="46"/>
      <c r="B8" s="46"/>
      <c r="C8" s="46"/>
      <c r="D8" s="70"/>
      <c r="E8" s="1539" t="str">
        <f>Diadanh&amp;", "&amp;Doingay(VLOOKUP(N2,ListVlieu!A4:AB19,7,0))</f>
        <v>Ninh Hải,  ngày 7 tháng 5 năm 2020</v>
      </c>
      <c r="F8" s="1540"/>
      <c r="G8" s="1540"/>
      <c r="H8" s="1540"/>
      <c r="I8" s="1540"/>
      <c r="J8" s="1540"/>
      <c r="K8" s="1540"/>
      <c r="L8" s="46"/>
      <c r="M8" s="46"/>
      <c r="N8" s="46"/>
      <c r="O8" s="46"/>
      <c r="P8" s="46"/>
      <c r="Q8" s="46"/>
      <c r="R8" s="44"/>
      <c r="S8" s="44"/>
      <c r="T8" s="45"/>
      <c r="U8" s="45"/>
      <c r="V8" s="45"/>
    </row>
    <row r="9" spans="1:30">
      <c r="A9" s="46"/>
      <c r="B9" s="46"/>
      <c r="C9" s="46"/>
      <c r="D9" s="70"/>
      <c r="E9" s="693"/>
      <c r="F9" s="694"/>
      <c r="G9" s="694"/>
      <c r="H9" s="694"/>
      <c r="I9" s="694"/>
      <c r="J9" s="694"/>
      <c r="K9" s="694"/>
      <c r="L9" s="46"/>
      <c r="M9" s="46"/>
      <c r="N9" s="46"/>
      <c r="O9" s="46"/>
      <c r="P9" s="46"/>
      <c r="Q9" s="46"/>
      <c r="R9" s="44"/>
      <c r="S9" s="44"/>
      <c r="T9" s="45"/>
      <c r="U9" s="45"/>
      <c r="V9" s="45"/>
    </row>
    <row r="10" spans="1:30">
      <c r="A10" s="46"/>
      <c r="B10" s="46"/>
      <c r="C10" s="46"/>
      <c r="D10" s="70"/>
      <c r="E10" s="1536" t="str">
        <f>"BIÊN BẢN SỐ: "&amp;IFERROR(TEXT(VLOOKUP(N2,ListVlieu!A4:AB19,16,0),"00"),"    ")&amp;"/NTNBVL"</f>
        <v>BIÊN BẢN SỐ: 01/NTNBVL</v>
      </c>
      <c r="F10" s="1541"/>
      <c r="G10" s="1541"/>
      <c r="H10" s="1541"/>
      <c r="I10" s="1541"/>
      <c r="J10" s="1541"/>
      <c r="K10" s="1541"/>
      <c r="L10" s="46"/>
      <c r="M10" s="46"/>
      <c r="N10" s="46"/>
      <c r="O10" s="46"/>
      <c r="P10" s="46"/>
      <c r="Q10" s="46"/>
      <c r="R10" s="44"/>
      <c r="S10" s="44"/>
      <c r="T10" s="45"/>
      <c r="U10" s="45"/>
      <c r="V10" s="45"/>
    </row>
    <row r="11" spans="1:30" ht="50.25" customHeight="1">
      <c r="A11" s="46"/>
      <c r="B11" s="46"/>
      <c r="C11" s="46"/>
      <c r="D11" s="70"/>
      <c r="E11" s="1577" t="s">
        <v>4295</v>
      </c>
      <c r="F11" s="1578"/>
      <c r="G11" s="1578"/>
      <c r="H11" s="1578"/>
      <c r="I11" s="1578"/>
      <c r="J11" s="1578"/>
      <c r="K11" s="1578"/>
      <c r="L11" s="46"/>
      <c r="M11" s="46"/>
      <c r="N11" s="46"/>
      <c r="O11" s="46"/>
      <c r="P11" s="46"/>
      <c r="Q11" s="46"/>
      <c r="R11" s="44"/>
      <c r="S11" s="44"/>
      <c r="T11" s="45"/>
      <c r="U11" s="45"/>
      <c r="V11" s="45"/>
    </row>
    <row r="12" spans="1:30" ht="12.75" customHeight="1">
      <c r="A12" s="46"/>
      <c r="B12" s="46"/>
      <c r="C12" s="46"/>
      <c r="D12" s="70"/>
      <c r="E12" s="695"/>
      <c r="F12" s="696"/>
      <c r="G12" s="696"/>
      <c r="H12" s="696"/>
      <c r="I12" s="696"/>
      <c r="J12" s="696"/>
      <c r="K12" s="696"/>
      <c r="L12" s="46"/>
      <c r="M12" s="46"/>
      <c r="N12" s="46"/>
      <c r="O12" s="46"/>
      <c r="P12" s="46"/>
      <c r="Q12" s="46"/>
      <c r="R12" s="44"/>
      <c r="S12" s="44"/>
      <c r="T12" s="45"/>
      <c r="U12" s="45"/>
      <c r="V12" s="45"/>
    </row>
    <row r="13" spans="1:30" ht="36.6" customHeight="1">
      <c r="A13" s="46"/>
      <c r="B13" s="46"/>
      <c r="C13" s="46"/>
      <c r="D13" s="70"/>
      <c r="E13" s="1513" t="str">
        <f>IF(NDtieude1&lt;&gt;"",Tieude1&amp;": "&amp;NDtieude1,"")</f>
        <v>Công trình: Gia cố nâng cấp kênh Bà Xoài từ K0+300÷K0+600 - Hệ thống thủy lợi Nha Trinh, huyện Ninh Hải, tỉnh Ninh Thuận</v>
      </c>
      <c r="F13" s="1579"/>
      <c r="G13" s="1579"/>
      <c r="H13" s="1579"/>
      <c r="I13" s="1579"/>
      <c r="J13" s="1579"/>
      <c r="K13" s="1579"/>
      <c r="L13" s="46"/>
      <c r="M13" s="46"/>
      <c r="N13" s="46"/>
      <c r="O13" s="46"/>
      <c r="P13" s="46"/>
      <c r="Q13" s="46"/>
      <c r="T13" s="44"/>
      <c r="U13" s="44">
        <f>ROW()</f>
        <v>13</v>
      </c>
      <c r="V13" s="45"/>
    </row>
    <row r="14" spans="1:30" ht="20.100000000000001" hidden="1" customHeight="1">
      <c r="A14" s="46"/>
      <c r="B14" s="46"/>
      <c r="C14" s="46"/>
      <c r="D14" s="70"/>
      <c r="E14" s="1527" t="str">
        <f>IF(NDtieude2&lt;&gt;"",Tieude2&amp;": "&amp;NDtieude2,"")</f>
        <v/>
      </c>
      <c r="F14" s="1580"/>
      <c r="G14" s="1580"/>
      <c r="H14" s="1580"/>
      <c r="I14" s="1580"/>
      <c r="J14" s="1580"/>
      <c r="K14" s="1580"/>
      <c r="L14" s="46"/>
      <c r="M14" s="46"/>
      <c r="N14" s="46"/>
      <c r="O14" s="46"/>
      <c r="P14" s="46"/>
      <c r="Q14" s="46"/>
      <c r="T14" s="44"/>
      <c r="U14" s="44">
        <f>ROW()</f>
        <v>14</v>
      </c>
      <c r="V14" s="45"/>
    </row>
    <row r="15" spans="1:30" ht="20.100000000000001" customHeight="1">
      <c r="A15" s="46"/>
      <c r="B15" s="46"/>
      <c r="C15" s="46"/>
      <c r="D15" s="70"/>
      <c r="E15" s="1527" t="str">
        <f>IF(NDtieude3&lt;&gt;"",Tieude3&amp;": "&amp;NDtieude3,"")</f>
        <v>Hạng mục: Kênh và Công trình trên kênh</v>
      </c>
      <c r="F15" s="1580"/>
      <c r="G15" s="1580"/>
      <c r="H15" s="1580"/>
      <c r="I15" s="1580"/>
      <c r="J15" s="1580"/>
      <c r="K15" s="1580"/>
      <c r="L15" s="46"/>
      <c r="M15" s="46"/>
      <c r="N15" s="46"/>
      <c r="O15" s="46"/>
      <c r="P15" s="46"/>
      <c r="Q15" s="46"/>
      <c r="T15" s="44"/>
      <c r="U15" s="44">
        <f>ROW()</f>
        <v>15</v>
      </c>
      <c r="V15" s="45"/>
    </row>
    <row r="16" spans="1:30" ht="20.100000000000001" customHeight="1">
      <c r="A16" s="46"/>
      <c r="B16" s="46"/>
      <c r="C16" s="46"/>
      <c r="D16" s="70"/>
      <c r="E16" s="603" t="str">
        <f>IF(DDXD&lt;&gt;"","Địa điểm xây dựng : "&amp;DDXD,"")</f>
        <v>Địa điểm xây dựng : Huyện Ninh Hải - Tỉnh Ninh Thuận</v>
      </c>
      <c r="F16" s="603"/>
      <c r="G16" s="603"/>
      <c r="H16" s="603"/>
      <c r="I16" s="603"/>
      <c r="J16" s="603"/>
      <c r="K16" s="603"/>
      <c r="L16" s="46"/>
      <c r="M16" s="46"/>
      <c r="N16" s="46"/>
      <c r="O16" s="46"/>
      <c r="P16" s="46"/>
      <c r="Q16" s="46"/>
      <c r="T16" s="44"/>
      <c r="U16" s="44">
        <f>ROW()</f>
        <v>16</v>
      </c>
      <c r="V16" s="45"/>
    </row>
    <row r="17" spans="1:22" ht="5.25" customHeight="1">
      <c r="A17" s="46"/>
      <c r="B17" s="46"/>
      <c r="C17" s="46"/>
      <c r="D17" s="70"/>
      <c r="E17" s="599"/>
      <c r="F17" s="599"/>
      <c r="G17" s="599"/>
      <c r="H17" s="599"/>
      <c r="I17" s="599"/>
      <c r="J17" s="599"/>
      <c r="K17" s="599"/>
      <c r="L17" s="46"/>
      <c r="M17" s="46"/>
      <c r="N17" s="46"/>
      <c r="O17" s="46"/>
      <c r="P17" s="46"/>
      <c r="Q17" s="46"/>
      <c r="T17" s="44"/>
      <c r="U17" s="44"/>
      <c r="V17" s="45"/>
    </row>
    <row r="18" spans="1:22">
      <c r="A18" s="46"/>
      <c r="B18" s="46"/>
      <c r="C18" s="46"/>
      <c r="D18" s="70"/>
      <c r="E18" s="1543" t="s">
        <v>180</v>
      </c>
      <c r="F18" s="1543"/>
      <c r="G18" s="1543"/>
      <c r="H18" s="1543"/>
      <c r="I18" s="1543"/>
      <c r="J18" s="1543"/>
      <c r="K18" s="1543"/>
      <c r="L18" s="46"/>
      <c r="M18" s="46"/>
      <c r="N18" s="46"/>
      <c r="O18" s="46"/>
      <c r="P18" s="46"/>
      <c r="Q18" s="46"/>
      <c r="T18" s="44"/>
      <c r="U18" s="44"/>
      <c r="V18" s="45"/>
    </row>
    <row r="19" spans="1:22" ht="36.6" customHeight="1">
      <c r="A19" s="46"/>
      <c r="B19" s="46"/>
      <c r="C19" s="46"/>
      <c r="D19" s="70"/>
      <c r="E19" s="1548" t="str">
        <f>IFERROR("     - Tên công việc nghiệm thu: "&amp;VLOOKUP(N2,ListVlieu!A4:AB19,4,0),"- Tên công việc nghiệm thu: ")</f>
        <v xml:space="preserve">     - Tên công việc nghiệm thu: Vật liệu thi công: Cát vàng, đá 1x2cm, Xi măng, bao tải nhựa đường, Thép các loại</v>
      </c>
      <c r="F19" s="1522"/>
      <c r="G19" s="1522"/>
      <c r="H19" s="1522"/>
      <c r="I19" s="1522"/>
      <c r="J19" s="1522"/>
      <c r="K19" s="1522"/>
      <c r="L19" s="46"/>
      <c r="M19" s="46"/>
      <c r="N19" s="46"/>
      <c r="O19" s="46"/>
      <c r="P19" s="46"/>
      <c r="Q19" s="46"/>
      <c r="T19" s="44">
        <f>IF(E19&lt;&gt;"",ROW(),"")</f>
        <v>19</v>
      </c>
      <c r="U19" s="48"/>
      <c r="V19" s="45"/>
    </row>
    <row r="20" spans="1:22" ht="20.100000000000001" customHeight="1">
      <c r="A20" s="46"/>
      <c r="B20" s="46"/>
      <c r="C20" s="46"/>
      <c r="D20" s="70"/>
      <c r="E20" s="1548" t="str">
        <f>IFERROR("     - Vị trí xây dựng trên công trình: "&amp;VLOOKUP(N2,ListVlieu!A4:AB19,5,0),"- Vị trí xây dựng trên công trình: ")</f>
        <v xml:space="preserve">     - Vị trí xây dựng trên công trình: </v>
      </c>
      <c r="F20" s="1522"/>
      <c r="G20" s="1522"/>
      <c r="H20" s="1522"/>
      <c r="I20" s="1522"/>
      <c r="J20" s="1522"/>
      <c r="K20" s="1522"/>
      <c r="L20" s="46"/>
      <c r="M20" s="46"/>
      <c r="N20" s="46"/>
      <c r="O20" s="46"/>
      <c r="P20" s="46"/>
      <c r="Q20" s="46"/>
      <c r="T20" s="44">
        <f>IF(E20&lt;&gt;"",ROW(),"")</f>
        <v>20</v>
      </c>
      <c r="U20" s="48"/>
      <c r="V20" s="45"/>
    </row>
    <row r="21" spans="1:22">
      <c r="A21" s="46"/>
      <c r="B21" s="46"/>
      <c r="C21" s="46"/>
      <c r="D21" s="70"/>
      <c r="E21" s="1456" t="s">
        <v>1081</v>
      </c>
      <c r="F21" s="1456"/>
      <c r="G21" s="1456"/>
      <c r="H21" s="1456"/>
      <c r="I21" s="1456"/>
      <c r="J21" s="1456"/>
      <c r="K21" s="1456"/>
      <c r="L21" s="46"/>
      <c r="M21" s="46"/>
      <c r="N21" s="46"/>
      <c r="O21" s="46"/>
      <c r="P21" s="46"/>
      <c r="Q21" s="46"/>
      <c r="T21" s="44"/>
      <c r="U21" s="44"/>
      <c r="V21" s="45"/>
    </row>
    <row r="22" spans="1:22" ht="17.25">
      <c r="A22" s="46"/>
      <c r="B22" s="46"/>
      <c r="C22" s="46"/>
      <c r="D22" s="70"/>
      <c r="E22" s="1457" t="str">
        <f>"a. Đại diện phòng quản lý chất lượng:"</f>
        <v>a. Đại diện phòng quản lý chất lượng:</v>
      </c>
      <c r="F22" s="1458"/>
      <c r="G22" s="1458"/>
      <c r="H22" s="1458"/>
      <c r="I22" s="1458"/>
      <c r="J22" s="1458"/>
      <c r="K22" s="1458"/>
      <c r="L22" s="46"/>
      <c r="M22" s="46"/>
      <c r="N22" s="46"/>
      <c r="O22" s="46"/>
      <c r="P22" s="46"/>
      <c r="Q22" s="46"/>
      <c r="T22" s="44"/>
      <c r="U22" s="44"/>
      <c r="V22" s="45"/>
    </row>
    <row r="23" spans="1:22">
      <c r="A23" s="46"/>
      <c r="B23" s="46"/>
      <c r="C23" s="46"/>
      <c r="D23" s="70"/>
      <c r="E23" s="45"/>
      <c r="F23" s="622" t="str">
        <f>"Ông: "&amp;KCS1_</f>
        <v>Ông: Nguyễn Văn Hải</v>
      </c>
      <c r="G23" s="607"/>
      <c r="H23" s="59"/>
      <c r="I23" s="608" t="str">
        <f>"Chức vụ: "&amp;CV_KCS1</f>
        <v>Chức vụ: Cán bộ KCS</v>
      </c>
      <c r="J23" s="600"/>
      <c r="K23" s="52"/>
      <c r="L23" s="46"/>
      <c r="M23" s="46"/>
      <c r="N23" s="46"/>
      <c r="O23" s="46"/>
      <c r="P23" s="46"/>
      <c r="Q23" s="46"/>
      <c r="T23" s="44"/>
      <c r="U23" s="44"/>
      <c r="V23" s="45"/>
    </row>
    <row r="24" spans="1:22">
      <c r="A24" s="46"/>
      <c r="B24" s="46"/>
      <c r="C24" s="46"/>
      <c r="D24" s="70"/>
      <c r="E24" s="45"/>
      <c r="F24" s="622" t="str">
        <f>"Ông: "&amp;KCS2_</f>
        <v>Ông: ………………………..</v>
      </c>
      <c r="G24" s="607"/>
      <c r="H24" s="59"/>
      <c r="I24" s="608" t="str">
        <f>"Chức vụ: "&amp;CV_KCS2</f>
        <v>Chức vụ:  …………………</v>
      </c>
      <c r="J24" s="600"/>
      <c r="K24" s="52"/>
      <c r="L24" s="46"/>
      <c r="M24" s="46"/>
      <c r="N24" s="46"/>
      <c r="O24" s="46"/>
      <c r="P24" s="46"/>
      <c r="Q24" s="46"/>
      <c r="T24" s="44"/>
      <c r="U24" s="44"/>
      <c r="V24" s="45"/>
    </row>
    <row r="25" spans="1:22" ht="17.25">
      <c r="A25" s="46"/>
      <c r="B25" s="46"/>
      <c r="C25" s="46"/>
      <c r="D25" s="70"/>
      <c r="E25" s="1457" t="str">
        <f>"b. Đại diện ban chỉ huy công trình:"</f>
        <v>b. Đại diện ban chỉ huy công trình:</v>
      </c>
      <c r="F25" s="1458"/>
      <c r="G25" s="1458"/>
      <c r="H25" s="1458"/>
      <c r="I25" s="1458"/>
      <c r="J25" s="1458"/>
      <c r="K25" s="1458"/>
      <c r="L25" s="46"/>
      <c r="M25" s="46"/>
      <c r="N25" s="46"/>
      <c r="O25" s="46"/>
      <c r="P25" s="46"/>
      <c r="Q25" s="46"/>
      <c r="T25" s="44"/>
      <c r="U25" s="44"/>
      <c r="V25" s="45"/>
    </row>
    <row r="26" spans="1:22">
      <c r="A26" s="46"/>
      <c r="B26" s="46"/>
      <c r="C26" s="46"/>
      <c r="D26" s="70"/>
      <c r="E26" s="45"/>
      <c r="F26" s="622" t="str">
        <f>"Ông: "&amp;CBKT1</f>
        <v>Ông: Hoàng Đình Tảng</v>
      </c>
      <c r="G26" s="607"/>
      <c r="H26" s="59"/>
      <c r="I26" s="608" t="str">
        <f>"Chức vụ: "&amp;CV_CBKT1</f>
        <v>Chức vụ: Chỉ huy công trường</v>
      </c>
      <c r="J26" s="600"/>
      <c r="K26" s="52"/>
      <c r="L26" s="46"/>
      <c r="M26" s="46"/>
      <c r="N26" s="46"/>
      <c r="O26" s="46"/>
      <c r="P26" s="46"/>
      <c r="Q26" s="46"/>
      <c r="T26" s="44"/>
      <c r="U26" s="44"/>
      <c r="V26" s="45"/>
    </row>
    <row r="27" spans="1:22">
      <c r="A27" s="46"/>
      <c r="B27" s="46"/>
      <c r="C27" s="46"/>
      <c r="D27" s="70"/>
      <c r="E27" s="45"/>
      <c r="F27" s="622" t="str">
        <f>"Ông: "&amp;CBKT2</f>
        <v>Ông: Lê Thiên Phương</v>
      </c>
      <c r="G27" s="607"/>
      <c r="H27" s="59"/>
      <c r="I27" s="608" t="str">
        <f>"Chức vụ: "&amp;CV_CBKT2</f>
        <v>Chức vụ: Kỹ thuật thi công</v>
      </c>
      <c r="J27" s="600"/>
      <c r="K27" s="52"/>
      <c r="L27" s="46"/>
      <c r="M27" s="46"/>
      <c r="N27" s="46"/>
      <c r="O27" s="46"/>
      <c r="P27" s="46"/>
      <c r="Q27" s="46"/>
      <c r="T27" s="44"/>
      <c r="U27" s="44"/>
      <c r="V27" s="45"/>
    </row>
    <row r="28" spans="1:22">
      <c r="A28" s="46"/>
      <c r="B28" s="46"/>
      <c r="C28" s="46"/>
      <c r="D28" s="70"/>
      <c r="E28" s="601"/>
      <c r="F28" s="599"/>
      <c r="G28" s="599"/>
      <c r="H28" s="599"/>
      <c r="I28" s="601"/>
      <c r="J28" s="601"/>
      <c r="K28" s="601"/>
      <c r="L28" s="46"/>
      <c r="M28" s="46"/>
      <c r="N28" s="46"/>
      <c r="O28" s="46"/>
      <c r="P28" s="46"/>
      <c r="Q28" s="46"/>
      <c r="T28" s="44"/>
      <c r="U28" s="44"/>
      <c r="V28" s="45"/>
    </row>
    <row r="29" spans="1:22">
      <c r="A29" s="46"/>
      <c r="B29" s="46"/>
      <c r="C29" s="46"/>
      <c r="D29" s="70"/>
      <c r="E29" s="1456" t="s">
        <v>181</v>
      </c>
      <c r="F29" s="1456"/>
      <c r="G29" s="1456"/>
      <c r="H29" s="1456"/>
      <c r="I29" s="1456"/>
      <c r="J29" s="1456"/>
      <c r="K29" s="1456"/>
      <c r="L29" s="46"/>
      <c r="M29" s="46"/>
      <c r="N29" s="46"/>
      <c r="O29" s="46"/>
      <c r="P29" s="46"/>
      <c r="Q29" s="46"/>
      <c r="T29" s="44"/>
      <c r="U29" s="44"/>
      <c r="V29" s="45"/>
    </row>
    <row r="30" spans="1:22">
      <c r="A30" s="46"/>
      <c r="B30" s="46"/>
      <c r="C30" s="46"/>
      <c r="D30" s="70"/>
      <c r="E30" s="601"/>
      <c r="F30" s="172" t="str">
        <f>"Bắt đầu: "&amp;TachgioBB(VLOOKUP(N2,ListVlieu!A4:AB19,6,0),1)&amp;", "&amp;Doingay(VLOOKUP(N2,ListVlieu!A4:AB19,7,0))</f>
        <v>Bắt đầu: 13 giờ 40 phút ,  ngày 7 tháng 5 năm 2020</v>
      </c>
      <c r="G30" s="52"/>
      <c r="H30" s="52"/>
      <c r="I30" s="602"/>
      <c r="J30" s="602"/>
      <c r="K30" s="602"/>
      <c r="L30" s="46"/>
      <c r="M30" s="46"/>
      <c r="N30" s="46"/>
      <c r="O30" s="46"/>
      <c r="P30" s="46"/>
      <c r="Q30" s="46"/>
      <c r="T30" s="44"/>
      <c r="U30" s="44"/>
      <c r="V30" s="45"/>
    </row>
    <row r="31" spans="1:22">
      <c r="A31" s="46"/>
      <c r="B31" s="46"/>
      <c r="C31" s="46"/>
      <c r="D31" s="70"/>
      <c r="E31" s="601"/>
      <c r="F31" s="172" t="str">
        <f>"Kết thúc: "&amp;TachgioBB(VLOOKUP(N2,ListVlieu!A4:AB19,6,0),2)&amp;", "&amp;Doingay(VLOOKUP(N2,ListVlieu!A4:AB19,7,0))</f>
        <v>Kết thúc: 14 giờ 20 phút ,  ngày 7 tháng 5 năm 2020</v>
      </c>
      <c r="G31" s="172"/>
      <c r="H31" s="172"/>
      <c r="I31" s="603"/>
      <c r="J31" s="603"/>
      <c r="K31" s="603"/>
      <c r="L31" s="46"/>
      <c r="M31" s="46"/>
      <c r="N31" s="46"/>
      <c r="O31" s="46"/>
      <c r="P31" s="46"/>
      <c r="Q31" s="46"/>
      <c r="T31" s="44"/>
      <c r="U31" s="44"/>
      <c r="V31" s="45"/>
    </row>
    <row r="32" spans="1:22" ht="36.6" customHeight="1">
      <c r="A32" s="46"/>
      <c r="B32" s="46"/>
      <c r="C32" s="46"/>
      <c r="D32" s="70"/>
      <c r="E32" s="1527" t="str">
        <f>"     - Vị trí: Tại công trường "&amp;Tieude1&amp;" - "&amp;NDtieude1</f>
        <v xml:space="preserve">     - Vị trí: Tại công trường Công trình - Gia cố nâng cấp kênh Bà Xoài từ K0+300÷K0+600 - Hệ thống thủy lợi Nha Trinh, huyện Ninh Hải, tỉnh Ninh Thuận</v>
      </c>
      <c r="F32" s="1527"/>
      <c r="G32" s="1527"/>
      <c r="H32" s="1527"/>
      <c r="I32" s="1527"/>
      <c r="J32" s="1527"/>
      <c r="K32" s="1527"/>
      <c r="L32" s="46"/>
      <c r="M32" s="46"/>
      <c r="N32" s="46"/>
      <c r="O32" s="46"/>
      <c r="P32" s="46"/>
      <c r="Q32" s="46"/>
      <c r="T32" s="44"/>
      <c r="U32" s="44">
        <f>ROW()</f>
        <v>32</v>
      </c>
      <c r="V32" s="45"/>
    </row>
    <row r="33" spans="1:22">
      <c r="A33" s="46"/>
      <c r="B33" s="46"/>
      <c r="C33" s="46"/>
      <c r="D33" s="70"/>
      <c r="E33" s="1456" t="s">
        <v>182</v>
      </c>
      <c r="F33" s="1456"/>
      <c r="G33" s="1456"/>
      <c r="H33" s="1456"/>
      <c r="I33" s="1456"/>
      <c r="J33" s="1456"/>
      <c r="K33" s="1456"/>
      <c r="L33" s="46"/>
      <c r="M33" s="46"/>
      <c r="N33" s="46"/>
      <c r="O33" s="46"/>
      <c r="P33" s="46"/>
      <c r="Q33" s="46"/>
      <c r="T33" s="44"/>
      <c r="U33" s="44"/>
      <c r="V33" s="45"/>
    </row>
    <row r="34" spans="1:22" ht="36.6" customHeight="1">
      <c r="A34" s="46"/>
      <c r="B34" s="46"/>
      <c r="C34" s="46"/>
      <c r="D34" s="70"/>
      <c r="E34" s="1579" t="str">
        <f>IFERROR(" - Hồ sơ thiết kế bản vẽ thi công: Hồ sơ thiết kế bản vẽ thi công do "&amp;DVTK&amp;" lập và được cấp có thẩm quyền phê duyệt.","- Hồ sơ thiết kế bản vẽ thi công: Hồ sơ thiết kế bản vẽ thi công đã được phê duyệt.")</f>
        <v xml:space="preserve"> - Hồ sơ thiết kế bản vẽ thi công: Hồ sơ thiết kế bản vẽ thi công do Công ty TNHH Tư vấn Xây dựng Hưng Thịnh lập và được cấp có thẩm quyền phê duyệt.</v>
      </c>
      <c r="F34" s="1524"/>
      <c r="G34" s="1524"/>
      <c r="H34" s="1524"/>
      <c r="I34" s="1524"/>
      <c r="J34" s="1524"/>
      <c r="K34" s="1524"/>
      <c r="L34" s="46"/>
      <c r="M34" s="46"/>
      <c r="N34" s="46"/>
      <c r="O34" s="46"/>
      <c r="P34" s="46"/>
      <c r="Q34" s="46"/>
      <c r="T34" s="44"/>
      <c r="U34" s="44">
        <f>ROW()</f>
        <v>34</v>
      </c>
      <c r="V34" s="45"/>
    </row>
    <row r="35" spans="1:22">
      <c r="A35" s="46"/>
      <c r="B35" s="46"/>
      <c r="C35" s="46"/>
      <c r="D35" s="70"/>
      <c r="E35" s="1585" t="s">
        <v>4284</v>
      </c>
      <c r="F35" s="1586"/>
      <c r="G35" s="1586"/>
      <c r="H35" s="1586"/>
      <c r="I35" s="1586"/>
      <c r="J35" s="1586"/>
      <c r="K35" s="1586"/>
      <c r="L35" s="46"/>
      <c r="M35" s="46"/>
      <c r="N35" s="46"/>
      <c r="O35" s="46"/>
      <c r="P35" s="46"/>
      <c r="Q35" s="46"/>
      <c r="T35" s="44"/>
      <c r="U35" s="44"/>
      <c r="V35" s="45"/>
    </row>
    <row r="36" spans="1:22" ht="53.1" customHeight="1">
      <c r="A36" s="46"/>
      <c r="B36" s="46"/>
      <c r="C36" s="46"/>
      <c r="D36" s="70"/>
      <c r="E36" s="1513"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6" s="1524"/>
      <c r="G36" s="1524"/>
      <c r="H36" s="1524"/>
      <c r="I36" s="1524"/>
      <c r="J36" s="1524"/>
      <c r="K36" s="1524"/>
      <c r="L36" s="46"/>
      <c r="M36" s="46"/>
      <c r="N36" s="46"/>
      <c r="O36" s="46"/>
      <c r="P36" s="46"/>
      <c r="Q36" s="46"/>
      <c r="T36" s="44">
        <f t="shared" ref="T36:T44" si="0">IF(E36&lt;&gt;"",ROW(),"")</f>
        <v>36</v>
      </c>
      <c r="U36" s="48"/>
      <c r="V36" s="45"/>
    </row>
    <row r="37" spans="1:22" ht="20.100000000000001" customHeight="1">
      <c r="A37" s="46"/>
      <c r="B37" s="46"/>
      <c r="C37" s="46"/>
      <c r="D37" s="70"/>
      <c r="E37" s="1528" t="s">
        <v>4285</v>
      </c>
      <c r="F37" s="1527"/>
      <c r="G37" s="1527"/>
      <c r="H37" s="1527"/>
      <c r="I37" s="1527"/>
      <c r="J37" s="1527"/>
      <c r="K37" s="1527"/>
      <c r="L37" s="46"/>
      <c r="M37" s="46"/>
      <c r="N37" s="46"/>
      <c r="O37" s="46"/>
      <c r="P37" s="46"/>
      <c r="Q37" s="46"/>
      <c r="T37" s="44">
        <f t="shared" si="0"/>
        <v>37</v>
      </c>
      <c r="U37" s="48"/>
      <c r="V37" s="45"/>
    </row>
    <row r="38" spans="1:22" ht="20.100000000000001" customHeight="1">
      <c r="A38" s="46"/>
      <c r="B38" s="46"/>
      <c r="C38" s="46"/>
      <c r="D38" s="70"/>
      <c r="E38" s="1528" t="s">
        <v>4286</v>
      </c>
      <c r="F38" s="1528"/>
      <c r="G38" s="1528"/>
      <c r="H38" s="1528"/>
      <c r="I38" s="1528"/>
      <c r="J38" s="1528"/>
      <c r="K38" s="1528"/>
      <c r="L38" s="46"/>
      <c r="M38" s="46"/>
      <c r="N38" s="46"/>
      <c r="O38" s="46"/>
      <c r="P38" s="46"/>
      <c r="Q38" s="46"/>
      <c r="T38" s="44">
        <f t="shared" si="0"/>
        <v>38</v>
      </c>
      <c r="U38" s="48"/>
      <c r="V38" s="45"/>
    </row>
    <row r="39" spans="1:22" ht="20.100000000000001" customHeight="1">
      <c r="A39" s="46"/>
      <c r="B39" s="46"/>
      <c r="C39" s="46"/>
      <c r="D39" s="70"/>
      <c r="E39" s="1587" t="s">
        <v>4287</v>
      </c>
      <c r="F39" s="1544"/>
      <c r="G39" s="1544"/>
      <c r="H39" s="1544"/>
      <c r="I39" s="1544"/>
      <c r="J39" s="1544"/>
      <c r="K39" s="1544"/>
      <c r="L39" s="46"/>
      <c r="M39" s="46"/>
      <c r="N39" s="46"/>
      <c r="O39" s="46"/>
      <c r="P39" s="46"/>
      <c r="Q39" s="46"/>
      <c r="T39" s="44">
        <f t="shared" si="0"/>
        <v>39</v>
      </c>
      <c r="U39" s="48"/>
      <c r="V39" s="45"/>
    </row>
    <row r="40" spans="1:22" ht="20.100000000000001" customHeight="1">
      <c r="A40" s="46"/>
      <c r="B40" s="46"/>
      <c r="C40" s="46"/>
      <c r="D40" s="70"/>
      <c r="E40" s="1565" t="s">
        <v>5996</v>
      </c>
      <c r="F40" s="1565"/>
      <c r="G40" s="1565"/>
      <c r="H40" s="1565"/>
      <c r="I40" s="1565"/>
      <c r="J40" s="1565"/>
      <c r="K40" s="1565"/>
      <c r="L40" s="46"/>
      <c r="M40" s="46"/>
      <c r="N40" s="46"/>
      <c r="O40" s="46"/>
      <c r="P40" s="46"/>
      <c r="Q40" s="46"/>
      <c r="T40" s="44">
        <f t="shared" si="0"/>
        <v>40</v>
      </c>
      <c r="U40" s="48"/>
      <c r="V40" s="45"/>
    </row>
    <row r="41" spans="1:22" ht="20.100000000000001" customHeight="1">
      <c r="A41" s="46"/>
      <c r="B41" s="46"/>
      <c r="C41" s="46"/>
      <c r="D41" s="70"/>
      <c r="E41" s="1565" t="s">
        <v>5997</v>
      </c>
      <c r="F41" s="1565"/>
      <c r="G41" s="1565"/>
      <c r="H41" s="1565"/>
      <c r="I41" s="1565"/>
      <c r="J41" s="1565"/>
      <c r="K41" s="1565"/>
      <c r="L41" s="46"/>
      <c r="M41" s="46"/>
      <c r="N41" s="46"/>
      <c r="O41" s="46"/>
      <c r="P41" s="46"/>
      <c r="Q41" s="46"/>
      <c r="T41" s="44">
        <f t="shared" si="0"/>
        <v>41</v>
      </c>
      <c r="U41" s="48"/>
      <c r="V41" s="45"/>
    </row>
    <row r="42" spans="1:22" ht="20.100000000000001" customHeight="1">
      <c r="A42" s="46"/>
      <c r="B42" s="46"/>
      <c r="C42" s="46"/>
      <c r="D42" s="70"/>
      <c r="E42" s="1565" t="s">
        <v>5998</v>
      </c>
      <c r="F42" s="1565"/>
      <c r="G42" s="1565"/>
      <c r="H42" s="1565"/>
      <c r="I42" s="1565"/>
      <c r="J42" s="1565"/>
      <c r="K42" s="1565"/>
      <c r="L42" s="46"/>
      <c r="M42" s="46"/>
      <c r="N42" s="46"/>
      <c r="O42" s="46"/>
      <c r="P42" s="46"/>
      <c r="Q42" s="46"/>
      <c r="T42" s="44">
        <f t="shared" si="0"/>
        <v>42</v>
      </c>
      <c r="U42" s="48"/>
      <c r="V42" s="45"/>
    </row>
    <row r="43" spans="1:22" ht="20.100000000000001" customHeight="1">
      <c r="A43" s="46"/>
      <c r="B43" s="46"/>
      <c r="C43" s="46"/>
      <c r="D43" s="70"/>
      <c r="E43" s="1565" t="s">
        <v>5999</v>
      </c>
      <c r="F43" s="1565"/>
      <c r="G43" s="1565"/>
      <c r="H43" s="1565"/>
      <c r="I43" s="1565"/>
      <c r="J43" s="1565"/>
      <c r="K43" s="1565"/>
      <c r="L43" s="46"/>
      <c r="M43" s="46"/>
      <c r="N43" s="46"/>
      <c r="O43" s="46"/>
      <c r="P43" s="46"/>
      <c r="Q43" s="46"/>
      <c r="T43" s="44">
        <f t="shared" si="0"/>
        <v>43</v>
      </c>
      <c r="U43" s="48"/>
      <c r="V43" s="45"/>
    </row>
    <row r="44" spans="1:22" hidden="1">
      <c r="A44" s="46"/>
      <c r="B44" s="46"/>
      <c r="C44" s="46"/>
      <c r="D44" s="70"/>
      <c r="E44" s="1565"/>
      <c r="F44" s="1565"/>
      <c r="G44" s="1565"/>
      <c r="H44" s="1565"/>
      <c r="I44" s="1565"/>
      <c r="J44" s="1565"/>
      <c r="K44" s="1565"/>
      <c r="L44" s="46"/>
      <c r="M44" s="46"/>
      <c r="N44" s="46"/>
      <c r="O44" s="46"/>
      <c r="P44" s="46"/>
      <c r="Q44" s="46"/>
      <c r="T44" s="44" t="str">
        <f t="shared" si="0"/>
        <v/>
      </c>
      <c r="U44" s="48"/>
      <c r="V44" s="45"/>
    </row>
    <row r="45" spans="1:22" hidden="1">
      <c r="A45" s="46"/>
      <c r="B45" s="46"/>
      <c r="C45" s="46"/>
      <c r="D45" s="70"/>
      <c r="E45" s="1565"/>
      <c r="F45" s="1565"/>
      <c r="G45" s="1565"/>
      <c r="H45" s="1565"/>
      <c r="I45" s="1565"/>
      <c r="J45" s="1565"/>
      <c r="K45" s="1565"/>
      <c r="L45" s="46"/>
      <c r="M45" s="46"/>
      <c r="N45" s="46"/>
      <c r="O45" s="46"/>
      <c r="P45" s="46"/>
      <c r="Q45" s="46"/>
      <c r="T45" s="44"/>
      <c r="U45" s="44" t="str">
        <f>IF(E45&lt;&gt;"",ROW(),"")</f>
        <v/>
      </c>
      <c r="V45" s="45"/>
    </row>
    <row r="46" spans="1:22" hidden="1">
      <c r="A46" s="46"/>
      <c r="B46" s="46"/>
      <c r="C46" s="46"/>
      <c r="D46" s="70"/>
      <c r="E46" s="1565"/>
      <c r="F46" s="1565"/>
      <c r="G46" s="1565"/>
      <c r="H46" s="1565"/>
      <c r="I46" s="1565"/>
      <c r="J46" s="1565"/>
      <c r="K46" s="1565"/>
      <c r="L46" s="46"/>
      <c r="M46" s="46"/>
      <c r="N46" s="46"/>
      <c r="O46" s="46"/>
      <c r="P46" s="46"/>
      <c r="Q46" s="46"/>
      <c r="T46" s="44"/>
      <c r="U46" s="44"/>
      <c r="V46" s="45"/>
    </row>
    <row r="47" spans="1:22" hidden="1">
      <c r="A47" s="46"/>
      <c r="B47" s="46"/>
      <c r="C47" s="46"/>
      <c r="D47" s="70"/>
      <c r="E47" s="1565"/>
      <c r="F47" s="1565"/>
      <c r="G47" s="1565"/>
      <c r="H47" s="1565"/>
      <c r="I47" s="1565"/>
      <c r="J47" s="1565"/>
      <c r="K47" s="1565"/>
      <c r="L47" s="46"/>
      <c r="M47" s="46"/>
      <c r="N47" s="46"/>
      <c r="O47" s="46"/>
      <c r="P47" s="46"/>
      <c r="Q47" s="46"/>
      <c r="T47" s="44" t="str">
        <f>IF(E47&lt;&gt;"",ROW(),"")</f>
        <v/>
      </c>
      <c r="U47" s="44"/>
      <c r="V47" s="45"/>
    </row>
    <row r="48" spans="1:22" hidden="1">
      <c r="A48" s="46"/>
      <c r="B48" s="46"/>
      <c r="C48" s="46"/>
      <c r="D48" s="70"/>
      <c r="E48" s="1565"/>
      <c r="F48" s="1565"/>
      <c r="G48" s="1565"/>
      <c r="H48" s="1565"/>
      <c r="I48" s="1565"/>
      <c r="J48" s="1565"/>
      <c r="K48" s="1565"/>
      <c r="L48" s="46"/>
      <c r="M48" s="46"/>
      <c r="N48" s="46"/>
      <c r="O48" s="46"/>
      <c r="P48" s="46"/>
      <c r="Q48" s="46"/>
      <c r="T48" s="44" t="str">
        <f>IF(E48&lt;&gt;"",ROW(),"")</f>
        <v/>
      </c>
      <c r="U48" s="44"/>
      <c r="V48" s="45"/>
    </row>
    <row r="49" spans="1:22" hidden="1">
      <c r="A49" s="46"/>
      <c r="B49" s="46"/>
      <c r="C49" s="46"/>
      <c r="D49" s="70"/>
      <c r="E49" s="1565"/>
      <c r="F49" s="1565"/>
      <c r="G49" s="1565"/>
      <c r="H49" s="1565"/>
      <c r="I49" s="1565"/>
      <c r="J49" s="1565"/>
      <c r="K49" s="1565"/>
      <c r="L49" s="46"/>
      <c r="M49" s="46"/>
      <c r="N49" s="46"/>
      <c r="O49" s="46"/>
      <c r="P49" s="46"/>
      <c r="Q49" s="46"/>
      <c r="T49" s="44" t="str">
        <f>IF(E49&lt;&gt;"",ROW(),"")</f>
        <v/>
      </c>
      <c r="U49" s="44"/>
      <c r="V49" s="45"/>
    </row>
    <row r="50" spans="1:22">
      <c r="A50" s="46"/>
      <c r="B50" s="46"/>
      <c r="C50" s="46"/>
      <c r="D50" s="70"/>
      <c r="E50" s="1589" t="s">
        <v>4288</v>
      </c>
      <c r="F50" s="1576"/>
      <c r="G50" s="1576"/>
      <c r="H50" s="1576"/>
      <c r="I50" s="1576"/>
      <c r="J50" s="1576"/>
      <c r="K50" s="1576"/>
      <c r="L50" s="46"/>
      <c r="M50" s="46"/>
      <c r="N50" s="46"/>
      <c r="O50" s="46"/>
      <c r="P50" s="46"/>
      <c r="Q50" s="46"/>
      <c r="T50" s="44"/>
      <c r="U50" s="44"/>
      <c r="V50" s="45"/>
    </row>
    <row r="51" spans="1:22">
      <c r="A51" s="46"/>
      <c r="B51" s="46"/>
      <c r="C51" s="46"/>
      <c r="D51" s="70"/>
      <c r="E51" s="1454" t="s">
        <v>4289</v>
      </c>
      <c r="F51" s="1464"/>
      <c r="G51" s="1464"/>
      <c r="H51" s="1464"/>
      <c r="I51" s="1464"/>
      <c r="J51" s="1464"/>
      <c r="K51" s="1464"/>
      <c r="L51" s="46"/>
      <c r="M51" s="46"/>
      <c r="N51" s="46"/>
      <c r="O51" s="46"/>
      <c r="P51" s="46"/>
      <c r="Q51" s="46"/>
      <c r="T51" s="44"/>
      <c r="U51" s="44"/>
      <c r="V51" s="45"/>
    </row>
    <row r="52" spans="1:22" ht="20.100000000000001" customHeight="1">
      <c r="A52" s="46"/>
      <c r="B52" s="46"/>
      <c r="C52" s="46"/>
      <c r="D52" s="70"/>
      <c r="E52" s="1565" t="s">
        <v>6000</v>
      </c>
      <c r="F52" s="1565"/>
      <c r="G52" s="1565"/>
      <c r="H52" s="1565"/>
      <c r="I52" s="1565"/>
      <c r="J52" s="1565"/>
      <c r="K52" s="1565"/>
      <c r="L52" s="46"/>
      <c r="M52" s="46"/>
      <c r="N52" s="46"/>
      <c r="O52" s="46"/>
      <c r="P52" s="46"/>
      <c r="Q52" s="46"/>
      <c r="T52" s="44">
        <f>IF(E52&lt;&gt;"",ROW(),"")</f>
        <v>52</v>
      </c>
      <c r="U52" s="44"/>
      <c r="V52" s="45"/>
    </row>
    <row r="53" spans="1:22" ht="20.100000000000001" customHeight="1">
      <c r="A53" s="46"/>
      <c r="B53" s="46"/>
      <c r="C53" s="46"/>
      <c r="D53" s="70"/>
      <c r="E53" s="1565" t="s">
        <v>6001</v>
      </c>
      <c r="F53" s="1565"/>
      <c r="G53" s="1565"/>
      <c r="H53" s="1565"/>
      <c r="I53" s="1565"/>
      <c r="J53" s="1565"/>
      <c r="K53" s="1565"/>
      <c r="L53" s="46"/>
      <c r="M53" s="46"/>
      <c r="N53" s="46"/>
      <c r="O53" s="46"/>
      <c r="P53" s="46"/>
      <c r="Q53" s="46"/>
      <c r="T53" s="44">
        <f>IF(E53&lt;&gt;"",ROW(),"")</f>
        <v>53</v>
      </c>
      <c r="U53" s="44"/>
      <c r="V53" s="45"/>
    </row>
    <row r="54" spans="1:22" ht="20.100000000000001" customHeight="1">
      <c r="A54" s="46"/>
      <c r="B54" s="46"/>
      <c r="C54" s="46"/>
      <c r="D54" s="70"/>
      <c r="E54" s="1565" t="s">
        <v>6002</v>
      </c>
      <c r="F54" s="1565"/>
      <c r="G54" s="1565"/>
      <c r="H54" s="1565"/>
      <c r="I54" s="1565"/>
      <c r="J54" s="1565"/>
      <c r="K54" s="1565"/>
      <c r="L54" s="46"/>
      <c r="M54" s="46"/>
      <c r="N54" s="46"/>
      <c r="O54" s="46"/>
      <c r="P54" s="46"/>
      <c r="Q54" s="46"/>
      <c r="T54" s="44">
        <f>IF(E54&lt;&gt;"",ROW(),"")</f>
        <v>54</v>
      </c>
      <c r="U54" s="44"/>
      <c r="V54" s="45"/>
    </row>
    <row r="55" spans="1:22" ht="20.100000000000001" customHeight="1">
      <c r="A55" s="46"/>
      <c r="B55" s="46"/>
      <c r="C55" s="46"/>
      <c r="D55" s="70"/>
      <c r="E55" s="1565" t="s">
        <v>6003</v>
      </c>
      <c r="F55" s="1565"/>
      <c r="G55" s="1565"/>
      <c r="H55" s="1565"/>
      <c r="I55" s="1565"/>
      <c r="J55" s="1565"/>
      <c r="K55" s="1565"/>
      <c r="L55" s="46"/>
      <c r="M55" s="46"/>
      <c r="N55" s="46"/>
      <c r="O55" s="46"/>
      <c r="P55" s="46"/>
      <c r="Q55" s="46"/>
      <c r="T55" s="44">
        <f>IF(E55&lt;&gt;"",ROW(),"")</f>
        <v>55</v>
      </c>
      <c r="U55" s="44"/>
      <c r="V55" s="45"/>
    </row>
    <row r="56" spans="1:22" hidden="1">
      <c r="A56" s="46"/>
      <c r="B56" s="46"/>
      <c r="C56" s="46"/>
      <c r="D56" s="70"/>
      <c r="E56" s="1565"/>
      <c r="F56" s="1565"/>
      <c r="G56" s="1565"/>
      <c r="H56" s="1565"/>
      <c r="I56" s="1565"/>
      <c r="J56" s="1565"/>
      <c r="K56" s="1565"/>
      <c r="L56" s="46"/>
      <c r="M56" s="46"/>
      <c r="N56" s="46"/>
      <c r="O56" s="46"/>
      <c r="P56" s="46"/>
      <c r="Q56" s="46"/>
      <c r="T56" s="44" t="str">
        <f>IF(E56&lt;&gt;"",ROW(),"")</f>
        <v/>
      </c>
      <c r="U56" s="48"/>
      <c r="V56" s="45"/>
    </row>
    <row r="57" spans="1:22" hidden="1">
      <c r="A57" s="46"/>
      <c r="B57" s="46"/>
      <c r="C57" s="46"/>
      <c r="D57" s="70"/>
      <c r="E57" s="1565"/>
      <c r="F57" s="1565"/>
      <c r="G57" s="1565"/>
      <c r="H57" s="1565"/>
      <c r="I57" s="1565"/>
      <c r="J57" s="1565"/>
      <c r="K57" s="1565"/>
      <c r="L57" s="46"/>
      <c r="M57" s="46"/>
      <c r="N57" s="46"/>
      <c r="O57" s="46"/>
      <c r="P57" s="46"/>
      <c r="Q57" s="46"/>
      <c r="T57" s="44"/>
      <c r="U57" s="44" t="str">
        <f>IF(E57&lt;&gt;"",ROW(),"")</f>
        <v/>
      </c>
      <c r="V57" s="45"/>
    </row>
    <row r="58" spans="1:22" hidden="1">
      <c r="A58" s="46"/>
      <c r="B58" s="46"/>
      <c r="C58" s="46"/>
      <c r="D58" s="70"/>
      <c r="E58" s="1565"/>
      <c r="F58" s="1565"/>
      <c r="G58" s="1565"/>
      <c r="H58" s="1565"/>
      <c r="I58" s="1565"/>
      <c r="J58" s="1565"/>
      <c r="K58" s="1565"/>
      <c r="L58" s="46"/>
      <c r="M58" s="46"/>
      <c r="N58" s="46"/>
      <c r="O58" s="46"/>
      <c r="P58" s="46"/>
      <c r="Q58" s="46"/>
      <c r="T58" s="44"/>
      <c r="U58" s="44"/>
      <c r="V58" s="45"/>
    </row>
    <row r="59" spans="1:22" ht="17.25" hidden="1">
      <c r="A59" s="46"/>
      <c r="B59" s="46"/>
      <c r="C59" s="46"/>
      <c r="D59" s="70"/>
      <c r="E59" s="1569"/>
      <c r="F59" s="1569"/>
      <c r="G59" s="1569"/>
      <c r="H59" s="1569"/>
      <c r="I59" s="1569"/>
      <c r="J59" s="1569"/>
      <c r="K59" s="1569"/>
      <c r="L59" s="46"/>
      <c r="M59" s="46"/>
      <c r="N59" s="46"/>
      <c r="O59" s="46"/>
      <c r="P59" s="46"/>
      <c r="Q59" s="46"/>
      <c r="T59" s="44"/>
      <c r="U59" s="44"/>
      <c r="V59" s="45"/>
    </row>
    <row r="60" spans="1:22" ht="17.25" hidden="1">
      <c r="A60" s="46"/>
      <c r="B60" s="46"/>
      <c r="C60" s="46"/>
      <c r="D60" s="70"/>
      <c r="E60" s="1569"/>
      <c r="F60" s="1569"/>
      <c r="G60" s="1569"/>
      <c r="H60" s="1569"/>
      <c r="I60" s="1569"/>
      <c r="J60" s="1569"/>
      <c r="K60" s="1569"/>
      <c r="L60" s="46"/>
      <c r="M60" s="46"/>
      <c r="N60" s="46"/>
      <c r="O60" s="46"/>
      <c r="P60" s="46"/>
      <c r="Q60" s="46"/>
      <c r="T60" s="44"/>
      <c r="U60" s="44"/>
      <c r="V60" s="45"/>
    </row>
    <row r="61" spans="1:22" hidden="1">
      <c r="A61" s="46"/>
      <c r="B61" s="46"/>
      <c r="C61" s="46"/>
      <c r="D61" s="70"/>
      <c r="E61" s="1565"/>
      <c r="F61" s="1565"/>
      <c r="G61" s="1565"/>
      <c r="H61" s="1565"/>
      <c r="I61" s="1565"/>
      <c r="J61" s="1565"/>
      <c r="K61" s="1565"/>
      <c r="L61" s="46"/>
      <c r="M61" s="46"/>
      <c r="N61" s="46"/>
      <c r="O61" s="46"/>
      <c r="P61" s="46"/>
      <c r="Q61" s="46"/>
      <c r="T61" s="44"/>
      <c r="U61" s="44"/>
      <c r="V61" s="45"/>
    </row>
    <row r="62" spans="1:22" ht="35.25" customHeight="1">
      <c r="A62" s="46"/>
      <c r="B62" s="46"/>
      <c r="C62" s="46"/>
      <c r="D62" s="70"/>
      <c r="E62" s="1454" t="s">
        <v>4354</v>
      </c>
      <c r="F62" s="1464"/>
      <c r="G62" s="1464"/>
      <c r="H62" s="1464"/>
      <c r="I62" s="1464"/>
      <c r="J62" s="1464"/>
      <c r="K62" s="1464"/>
      <c r="L62" s="46"/>
      <c r="M62" s="46"/>
      <c r="N62" s="46"/>
      <c r="O62" s="46"/>
      <c r="P62" s="46"/>
      <c r="Q62" s="46"/>
      <c r="T62" s="44"/>
      <c r="U62" s="44"/>
      <c r="V62" s="45"/>
    </row>
    <row r="63" spans="1:22" s="123" customFormat="1" ht="42" customHeight="1">
      <c r="A63" s="64"/>
      <c r="B63" s="64"/>
      <c r="C63" s="64"/>
      <c r="D63" s="72"/>
      <c r="E63" s="1593" t="s">
        <v>4290</v>
      </c>
      <c r="F63" s="1594"/>
      <c r="G63" s="1594"/>
      <c r="H63" s="1594"/>
      <c r="I63" s="1594"/>
      <c r="J63" s="1594"/>
      <c r="K63" s="1594"/>
      <c r="L63" s="64"/>
      <c r="M63" s="64"/>
      <c r="N63" s="64"/>
      <c r="O63" s="64"/>
      <c r="P63" s="64"/>
      <c r="Q63" s="64"/>
      <c r="T63" s="65"/>
      <c r="U63" s="65"/>
      <c r="V63" s="52"/>
    </row>
    <row r="64" spans="1:22" ht="38.25" customHeight="1">
      <c r="A64" s="46"/>
      <c r="B64" s="46"/>
      <c r="C64" s="46"/>
      <c r="D64" s="70"/>
      <c r="E64" s="1505" t="s">
        <v>1086</v>
      </c>
      <c r="F64" s="1505"/>
      <c r="G64" s="1505"/>
      <c r="H64" s="620"/>
      <c r="I64" s="1505" t="s">
        <v>1087</v>
      </c>
      <c r="J64" s="1505"/>
      <c r="K64" s="1505"/>
      <c r="L64" s="46"/>
      <c r="M64" s="46"/>
      <c r="N64" s="46"/>
      <c r="O64" s="46"/>
      <c r="P64" s="46"/>
      <c r="Q64" s="46"/>
      <c r="T64" s="44"/>
      <c r="U64" s="44"/>
      <c r="V64" s="45"/>
    </row>
    <row r="65" spans="1:22">
      <c r="A65" s="46"/>
      <c r="B65" s="46"/>
      <c r="C65" s="46"/>
      <c r="D65" s="70"/>
      <c r="E65" s="601"/>
      <c r="F65" s="601"/>
      <c r="G65" s="601"/>
      <c r="H65" s="601"/>
      <c r="I65" s="601"/>
      <c r="J65" s="601"/>
      <c r="K65" s="601"/>
      <c r="L65" s="46"/>
      <c r="M65" s="46"/>
      <c r="N65" s="46"/>
      <c r="O65" s="46"/>
      <c r="P65" s="46"/>
      <c r="Q65" s="46"/>
      <c r="T65" s="44"/>
      <c r="U65" s="44"/>
      <c r="V65" s="45"/>
    </row>
    <row r="66" spans="1:22">
      <c r="A66" s="46"/>
      <c r="B66" s="46"/>
      <c r="C66" s="46"/>
      <c r="D66" s="70"/>
      <c r="E66" s="601"/>
      <c r="F66" s="601"/>
      <c r="G66" s="601"/>
      <c r="H66" s="601"/>
      <c r="I66" s="601"/>
      <c r="J66" s="601"/>
      <c r="K66" s="601"/>
      <c r="L66" s="46"/>
      <c r="M66" s="46"/>
      <c r="N66" s="46"/>
      <c r="O66" s="46"/>
      <c r="P66" s="46"/>
      <c r="Q66" s="46"/>
      <c r="T66" s="44"/>
      <c r="U66" s="44"/>
      <c r="V66" s="45"/>
    </row>
    <row r="67" spans="1:22">
      <c r="A67" s="46"/>
      <c r="B67" s="46"/>
      <c r="C67" s="46"/>
      <c r="D67" s="70"/>
      <c r="E67" s="601"/>
      <c r="F67" s="601"/>
      <c r="G67" s="601"/>
      <c r="H67" s="601"/>
      <c r="I67" s="601"/>
      <c r="J67" s="601"/>
      <c r="K67" s="601"/>
      <c r="L67" s="46"/>
      <c r="M67" s="46"/>
      <c r="N67" s="46"/>
      <c r="O67" s="46"/>
      <c r="P67" s="46"/>
      <c r="Q67" s="46"/>
      <c r="T67" s="44"/>
      <c r="U67" s="44"/>
      <c r="V67" s="45"/>
    </row>
    <row r="68" spans="1:22">
      <c r="A68" s="46"/>
      <c r="B68" s="46"/>
      <c r="C68" s="46"/>
      <c r="D68" s="70"/>
      <c r="E68" s="601"/>
      <c r="F68" s="601"/>
      <c r="G68" s="601"/>
      <c r="H68" s="601"/>
      <c r="I68" s="601"/>
      <c r="J68" s="601"/>
      <c r="K68" s="601"/>
      <c r="L68" s="46"/>
      <c r="M68" s="46"/>
      <c r="N68" s="46"/>
      <c r="O68" s="46"/>
      <c r="P68" s="46"/>
      <c r="Q68" s="46"/>
      <c r="T68" s="44"/>
      <c r="U68" s="44"/>
      <c r="V68" s="45"/>
    </row>
    <row r="69" spans="1:22">
      <c r="A69" s="46"/>
      <c r="B69" s="46"/>
      <c r="C69" s="46"/>
      <c r="D69" s="70"/>
      <c r="E69" s="601"/>
      <c r="F69" s="601"/>
      <c r="G69" s="601"/>
      <c r="H69" s="601"/>
      <c r="I69" s="601"/>
      <c r="J69" s="601"/>
      <c r="K69" s="601"/>
      <c r="L69" s="46"/>
      <c r="M69" s="46"/>
      <c r="N69" s="46"/>
      <c r="O69" s="46"/>
      <c r="P69" s="46"/>
      <c r="Q69" s="46"/>
      <c r="T69" s="44"/>
      <c r="U69" s="44"/>
      <c r="V69" s="45"/>
    </row>
    <row r="70" spans="1:22" ht="16.5" customHeight="1">
      <c r="A70" s="46"/>
      <c r="B70" s="46"/>
      <c r="C70" s="46"/>
      <c r="D70" s="70"/>
      <c r="E70" s="1595" t="str">
        <f>KCS1_</f>
        <v>Nguyễn Văn Hải</v>
      </c>
      <c r="F70" s="1595"/>
      <c r="G70" s="1595"/>
      <c r="H70" s="706"/>
      <c r="I70" s="1596" t="str">
        <f>CBKT1</f>
        <v>Hoàng Đình Tảng</v>
      </c>
      <c r="J70" s="1596"/>
      <c r="K70" s="1596"/>
      <c r="L70" s="46"/>
      <c r="M70" s="46"/>
      <c r="N70" s="46"/>
      <c r="O70" s="46"/>
      <c r="P70" s="46"/>
      <c r="Q70" s="46"/>
      <c r="T70" s="44"/>
      <c r="U70" s="44"/>
      <c r="V70" s="45"/>
    </row>
    <row r="71" spans="1:22">
      <c r="A71" s="46"/>
      <c r="B71" s="46"/>
      <c r="C71" s="46"/>
      <c r="D71" s="70"/>
      <c r="E71" s="1590"/>
      <c r="F71" s="1591"/>
      <c r="G71" s="1591"/>
      <c r="H71" s="1591"/>
      <c r="I71" s="1591"/>
      <c r="J71" s="1591"/>
      <c r="K71" s="1592"/>
      <c r="L71" s="46"/>
      <c r="M71" s="46"/>
      <c r="N71" s="46"/>
      <c r="O71" s="46"/>
      <c r="P71" s="46"/>
      <c r="Q71" s="46"/>
      <c r="T71" s="44"/>
      <c r="U71" s="44"/>
      <c r="V71" s="45"/>
    </row>
    <row r="72" spans="1:22" ht="16.5" customHeight="1">
      <c r="A72" s="46"/>
      <c r="B72" s="46"/>
      <c r="C72" s="46"/>
      <c r="D72" s="70"/>
      <c r="E72" s="1484" t="s">
        <v>158</v>
      </c>
      <c r="F72" s="1484"/>
      <c r="G72" s="1484"/>
      <c r="H72" s="1484"/>
      <c r="I72" s="1484"/>
      <c r="J72" s="1484"/>
      <c r="K72" s="1484"/>
      <c r="L72" s="46"/>
      <c r="M72" s="46"/>
      <c r="N72" s="46"/>
      <c r="O72" s="46"/>
      <c r="P72" s="46"/>
      <c r="Q72" s="46"/>
      <c r="T72" s="44"/>
      <c r="U72" s="44"/>
      <c r="V72" s="45"/>
    </row>
    <row r="73" spans="1:22">
      <c r="A73" s="46"/>
      <c r="B73" s="46"/>
      <c r="C73" s="46"/>
      <c r="D73" s="70"/>
      <c r="E73" s="1588" t="s">
        <v>178</v>
      </c>
      <c r="F73" s="1588"/>
      <c r="G73" s="1588"/>
      <c r="H73" s="1588"/>
      <c r="I73" s="1588"/>
      <c r="J73" s="1588"/>
      <c r="K73" s="1588"/>
      <c r="L73" s="46"/>
      <c r="M73" s="46"/>
      <c r="N73" s="46"/>
      <c r="O73" s="46"/>
      <c r="P73" s="46"/>
      <c r="Q73" s="46"/>
      <c r="T73" s="44"/>
      <c r="U73" s="44"/>
      <c r="V73" s="45"/>
    </row>
    <row r="74" spans="1:22" ht="16.5" customHeight="1">
      <c r="A74" s="46"/>
      <c r="B74" s="46"/>
      <c r="C74" s="46"/>
      <c r="D74" s="70"/>
      <c r="E74" s="1490" t="s">
        <v>179</v>
      </c>
      <c r="F74" s="1490"/>
      <c r="G74" s="1490"/>
      <c r="H74" s="1490"/>
      <c r="I74" s="1490"/>
      <c r="J74" s="1490"/>
      <c r="K74" s="1490"/>
      <c r="L74" s="46"/>
      <c r="M74" s="46"/>
      <c r="N74" s="46"/>
      <c r="O74" s="46"/>
      <c r="P74" s="46"/>
      <c r="Q74" s="46"/>
      <c r="T74" s="44"/>
      <c r="U74" s="44"/>
      <c r="V74" s="45"/>
    </row>
    <row r="75" spans="1:22">
      <c r="A75" s="46"/>
      <c r="B75" s="46"/>
      <c r="C75" s="46"/>
      <c r="D75" s="70"/>
      <c r="E75" s="1618" t="str">
        <f>Diadanh&amp;", "&amp;Doingay(VLOOKUP(N2,ListVlieu!A4:AB19,8,0))</f>
        <v>Ninh Hải,  ngày 7 tháng 5 năm 2020</v>
      </c>
      <c r="F75" s="1618"/>
      <c r="G75" s="1618"/>
      <c r="H75" s="1618"/>
      <c r="I75" s="1618"/>
      <c r="J75" s="1618"/>
      <c r="K75" s="1618"/>
      <c r="L75" s="46"/>
      <c r="M75" s="46"/>
      <c r="N75" s="46"/>
      <c r="O75" s="46"/>
      <c r="P75" s="46"/>
      <c r="Q75" s="46"/>
      <c r="T75" s="44"/>
      <c r="U75" s="44"/>
      <c r="V75" s="45"/>
    </row>
    <row r="76" spans="1:22">
      <c r="A76" s="46"/>
      <c r="B76" s="46"/>
      <c r="C76" s="46"/>
      <c r="D76" s="70"/>
      <c r="E76" s="601"/>
      <c r="F76" s="601"/>
      <c r="G76" s="601"/>
      <c r="H76" s="601"/>
      <c r="I76" s="601"/>
      <c r="J76" s="601"/>
      <c r="K76" s="601"/>
      <c r="L76" s="46"/>
      <c r="M76" s="46"/>
      <c r="N76" s="46"/>
      <c r="O76" s="46"/>
      <c r="P76" s="46"/>
      <c r="Q76" s="46"/>
      <c r="T76" s="44"/>
      <c r="U76" s="44"/>
      <c r="V76" s="45"/>
    </row>
    <row r="77" spans="1:22" ht="20.25">
      <c r="A77" s="46"/>
      <c r="B77" s="46"/>
      <c r="C77" s="46"/>
      <c r="D77" s="70"/>
      <c r="E77" s="1480" t="s">
        <v>193</v>
      </c>
      <c r="F77" s="1481"/>
      <c r="G77" s="1481"/>
      <c r="H77" s="1481"/>
      <c r="I77" s="1481"/>
      <c r="J77" s="1481"/>
      <c r="K77" s="1481"/>
      <c r="L77" s="46"/>
      <c r="M77" s="46"/>
      <c r="N77" s="46"/>
      <c r="O77" s="46"/>
      <c r="P77" s="46"/>
      <c r="Q77" s="46"/>
      <c r="T77" s="44"/>
      <c r="U77" s="44"/>
      <c r="V77" s="45"/>
    </row>
    <row r="78" spans="1:22">
      <c r="A78" s="46"/>
      <c r="B78" s="46"/>
      <c r="C78" s="46"/>
      <c r="D78" s="70"/>
      <c r="E78" s="1491" t="str">
        <f>"Phiếu số: "&amp;IFERROR(TEXT(VLOOKUP(N2,ListVlieu!A4:AB19,16,0),"00"),"     ")&amp;"/YCNT-VL"</f>
        <v>Phiếu số: 01/YCNT-VL</v>
      </c>
      <c r="F78" s="1491"/>
      <c r="G78" s="1491"/>
      <c r="H78" s="1491"/>
      <c r="I78" s="1491"/>
      <c r="J78" s="1491"/>
      <c r="K78" s="1491"/>
      <c r="L78" s="46"/>
      <c r="M78" s="46"/>
      <c r="N78" s="46"/>
      <c r="O78" s="46"/>
      <c r="P78" s="46"/>
      <c r="Q78" s="46"/>
      <c r="T78" s="44"/>
      <c r="U78" s="44"/>
      <c r="V78" s="45"/>
    </row>
    <row r="79" spans="1:22" ht="8.25" customHeight="1">
      <c r="A79" s="46"/>
      <c r="B79" s="46"/>
      <c r="C79" s="46"/>
      <c r="D79" s="70"/>
      <c r="E79" s="801"/>
      <c r="F79" s="801"/>
      <c r="G79" s="801"/>
      <c r="H79" s="801"/>
      <c r="I79" s="801"/>
      <c r="J79" s="801"/>
      <c r="K79" s="801"/>
      <c r="L79" s="46"/>
      <c r="M79" s="46"/>
      <c r="N79" s="46"/>
      <c r="O79" s="46"/>
      <c r="P79" s="46"/>
      <c r="Q79" s="46"/>
      <c r="T79" s="44"/>
      <c r="U79" s="44"/>
      <c r="V79" s="45"/>
    </row>
    <row r="80" spans="1:22">
      <c r="A80" s="46"/>
      <c r="B80" s="46"/>
      <c r="C80" s="46"/>
      <c r="D80" s="70"/>
      <c r="E80" s="801"/>
      <c r="F80" s="1205" t="s">
        <v>194</v>
      </c>
      <c r="G80" s="801"/>
      <c r="H80" s="801"/>
      <c r="I80" s="801"/>
      <c r="J80" s="801"/>
      <c r="K80" s="801"/>
      <c r="L80" s="46"/>
      <c r="M80" s="46"/>
      <c r="N80" s="46"/>
      <c r="O80" s="46"/>
      <c r="P80" s="46"/>
      <c r="Q80" s="46"/>
      <c r="T80" s="44"/>
      <c r="U80" s="44"/>
      <c r="V80" s="45"/>
    </row>
    <row r="81" spans="1:22" ht="20.100000000000001" customHeight="1">
      <c r="A81" s="46"/>
      <c r="B81" s="46"/>
      <c r="C81" s="46"/>
      <c r="D81" s="70"/>
      <c r="E81" s="1605" t="str">
        <f>"                                 "&amp;BienbanCVXD!G89</f>
        <v xml:space="preserve">                                 - Công ty TNHH MTV khai thác công trình thủy lợi Ninh Thuận</v>
      </c>
      <c r="F81" s="1605"/>
      <c r="G81" s="1605"/>
      <c r="H81" s="1605"/>
      <c r="I81" s="1605"/>
      <c r="J81" s="1605"/>
      <c r="K81" s="1605"/>
      <c r="L81" s="46"/>
      <c r="M81" s="46"/>
      <c r="N81" s="46"/>
      <c r="O81" s="46"/>
      <c r="P81" s="46"/>
      <c r="Q81" s="46"/>
      <c r="T81" s="44"/>
      <c r="U81" s="44">
        <f>ROW()</f>
        <v>81</v>
      </c>
      <c r="V81" s="45"/>
    </row>
    <row r="82" spans="1:22" ht="20.100000000000001" customHeight="1">
      <c r="A82" s="46"/>
      <c r="B82" s="46"/>
      <c r="C82" s="46"/>
      <c r="D82" s="70"/>
      <c r="E82" s="1605" t="str">
        <f>"                                 "&amp;BienbanCVXD!G90</f>
        <v xml:space="preserve">                                 </v>
      </c>
      <c r="F82" s="1605"/>
      <c r="G82" s="1605"/>
      <c r="H82" s="1605"/>
      <c r="I82" s="1605"/>
      <c r="J82" s="1605"/>
      <c r="K82" s="1605"/>
      <c r="L82" s="46"/>
      <c r="M82" s="46"/>
      <c r="N82" s="46"/>
      <c r="O82" s="46"/>
      <c r="P82" s="46"/>
      <c r="Q82" s="46"/>
      <c r="T82" s="44"/>
      <c r="U82" s="44">
        <f>ROW()</f>
        <v>82</v>
      </c>
      <c r="V82" s="45"/>
    </row>
    <row r="83" spans="1:22" ht="20.100000000000001" customHeight="1">
      <c r="A83" s="46"/>
      <c r="B83" s="46"/>
      <c r="C83" s="46"/>
      <c r="D83" s="70"/>
      <c r="E83" s="1605" t="str">
        <f>"                                 "&amp;BienbanCVXD!G91</f>
        <v xml:space="preserve">                                 - Công ty TNHH Tư vấn Đầu tư Xây dựng Huy Đạt</v>
      </c>
      <c r="F83" s="1605"/>
      <c r="G83" s="1605"/>
      <c r="H83" s="1605"/>
      <c r="I83" s="1605"/>
      <c r="J83" s="1605"/>
      <c r="K83" s="1605"/>
      <c r="L83" s="46"/>
      <c r="M83" s="46"/>
      <c r="N83" s="46"/>
      <c r="O83" s="46"/>
      <c r="P83" s="46"/>
      <c r="Q83" s="46"/>
      <c r="T83" s="44"/>
      <c r="U83" s="44">
        <f>ROW()</f>
        <v>83</v>
      </c>
      <c r="V83" s="45"/>
    </row>
    <row r="84" spans="1:22" ht="11.25" customHeight="1">
      <c r="A84" s="46"/>
      <c r="B84" s="46"/>
      <c r="C84" s="46"/>
      <c r="D84" s="70"/>
      <c r="E84" s="601"/>
      <c r="F84" s="601"/>
      <c r="G84" s="702"/>
      <c r="H84" s="702"/>
      <c r="I84" s="702"/>
      <c r="J84" s="702"/>
      <c r="K84" s="702"/>
      <c r="L84" s="46"/>
      <c r="M84" s="46"/>
      <c r="N84" s="46"/>
      <c r="O84" s="46"/>
      <c r="P84" s="46"/>
      <c r="Q84" s="46"/>
      <c r="T84" s="44"/>
      <c r="U84" s="44"/>
      <c r="V84" s="45"/>
    </row>
    <row r="85" spans="1:22" ht="39" customHeight="1">
      <c r="A85" s="46"/>
      <c r="B85" s="46"/>
      <c r="C85" s="46"/>
      <c r="D85" s="70"/>
      <c r="E85" s="1579" t="s">
        <v>5487</v>
      </c>
      <c r="F85" s="1579"/>
      <c r="G85" s="1579"/>
      <c r="H85" s="1579"/>
      <c r="I85" s="1579"/>
      <c r="J85" s="1579"/>
      <c r="K85" s="1579"/>
      <c r="L85" s="46"/>
      <c r="M85" s="46"/>
      <c r="N85" s="46"/>
      <c r="O85" s="46"/>
      <c r="P85" s="46"/>
      <c r="Q85" s="46"/>
      <c r="T85" s="44"/>
      <c r="U85" s="44"/>
      <c r="V85" s="45"/>
    </row>
    <row r="86" spans="1:22" s="123" customFormat="1" ht="39.75" customHeight="1">
      <c r="A86" s="64"/>
      <c r="B86" s="64"/>
      <c r="C86" s="64"/>
      <c r="D86" s="72"/>
      <c r="E86" s="1579" t="s">
        <v>5490</v>
      </c>
      <c r="F86" s="1579"/>
      <c r="G86" s="1579"/>
      <c r="H86" s="1579"/>
      <c r="I86" s="1579"/>
      <c r="J86" s="1579"/>
      <c r="K86" s="1579"/>
      <c r="L86" s="64"/>
      <c r="M86" s="64"/>
      <c r="N86" s="64"/>
      <c r="O86" s="64"/>
      <c r="P86" s="64"/>
      <c r="Q86" s="64"/>
      <c r="T86" s="65"/>
      <c r="U86" s="65"/>
      <c r="V86" s="52"/>
    </row>
    <row r="87" spans="1:22" s="123" customFormat="1" ht="39.75" customHeight="1">
      <c r="A87" s="64"/>
      <c r="B87" s="64"/>
      <c r="C87" s="64"/>
      <c r="D87" s="72"/>
      <c r="E87" s="1579" t="str">
        <f>"     - Căn cứ Hợp đồng số: "&amp;Hopdong&amp;" giữa "&amp;CĐT&amp;" và "&amp;IF(LEN(Liendanh),Liendanh,DVTC)</f>
        <v xml:space="preserve">     - Căn cứ Hợp đồng số: 01/2020/HĐXD-TD ngày 28 tháng 04 năm 2020 giữa Công ty TNHH MTV khai thác công trình thủy lợi Ninh Thuận và Công ty TNHH Xây dựng Thịnh Dũng</v>
      </c>
      <c r="F87" s="1579"/>
      <c r="G87" s="1579"/>
      <c r="H87" s="1579"/>
      <c r="I87" s="1579"/>
      <c r="J87" s="1579"/>
      <c r="K87" s="1579"/>
      <c r="L87" s="64"/>
      <c r="M87" s="64"/>
      <c r="N87" s="64"/>
      <c r="O87" s="64"/>
      <c r="P87" s="64"/>
      <c r="Q87" s="64"/>
      <c r="T87" s="65"/>
      <c r="U87" s="65"/>
      <c r="V87" s="52"/>
    </row>
    <row r="88" spans="1:22" ht="72.75" customHeight="1">
      <c r="A88" s="46"/>
      <c r="B88" s="46"/>
      <c r="C88" s="46"/>
      <c r="D88" s="70"/>
      <c r="E88" s="1601" t="s">
        <v>4340</v>
      </c>
      <c r="F88" s="1602"/>
      <c r="G88" s="1602"/>
      <c r="H88" s="1602"/>
      <c r="I88" s="1602"/>
      <c r="J88" s="1602"/>
      <c r="K88" s="1602"/>
      <c r="L88" s="46"/>
      <c r="M88" s="46"/>
      <c r="N88" s="46"/>
      <c r="O88" s="46"/>
      <c r="P88" s="46"/>
      <c r="Q88" s="46"/>
      <c r="T88" s="44"/>
      <c r="U88" s="44"/>
      <c r="V88" s="45"/>
    </row>
    <row r="89" spans="1:22">
      <c r="A89" s="46"/>
      <c r="B89" s="46"/>
      <c r="C89" s="46"/>
      <c r="D89" s="70"/>
      <c r="E89" s="1603" t="s">
        <v>4343</v>
      </c>
      <c r="F89" s="1603"/>
      <c r="G89" s="1603"/>
      <c r="H89" s="1603"/>
      <c r="I89" s="1603"/>
      <c r="J89" s="1603"/>
      <c r="K89" s="1603"/>
      <c r="L89" s="46"/>
      <c r="M89" s="46"/>
      <c r="N89" s="46"/>
      <c r="O89" s="46"/>
      <c r="P89" s="46"/>
      <c r="Q89" s="46"/>
      <c r="T89" s="44"/>
      <c r="U89" s="44"/>
      <c r="V89" s="45"/>
    </row>
    <row r="90" spans="1:22" ht="12" customHeight="1">
      <c r="A90" s="46"/>
      <c r="B90" s="46"/>
      <c r="C90" s="46"/>
      <c r="D90" s="70"/>
      <c r="E90" s="601"/>
      <c r="F90" s="601"/>
      <c r="G90" s="601"/>
      <c r="H90" s="601"/>
      <c r="I90" s="601"/>
      <c r="J90" s="601"/>
      <c r="K90" s="601"/>
      <c r="L90" s="46"/>
      <c r="M90" s="46"/>
      <c r="N90" s="46"/>
      <c r="O90" s="46"/>
      <c r="P90" s="46"/>
      <c r="Q90" s="46"/>
      <c r="T90" s="44"/>
      <c r="U90" s="44"/>
      <c r="V90" s="45"/>
    </row>
    <row r="91" spans="1:22">
      <c r="A91" s="46"/>
      <c r="B91" s="46"/>
      <c r="C91" s="46"/>
      <c r="D91" s="70"/>
      <c r="E91" s="1497" t="s">
        <v>195</v>
      </c>
      <c r="F91" s="1586"/>
      <c r="G91" s="1586"/>
      <c r="H91" s="1586"/>
      <c r="I91" s="1586"/>
      <c r="J91" s="1586"/>
      <c r="K91" s="1586"/>
      <c r="L91" s="46"/>
      <c r="M91" s="46"/>
      <c r="N91" s="46"/>
      <c r="O91" s="46"/>
      <c r="P91" s="46"/>
      <c r="Q91" s="46"/>
      <c r="T91" s="44"/>
      <c r="U91" s="44"/>
      <c r="V91" s="45"/>
    </row>
    <row r="92" spans="1:22" ht="36.6" customHeight="1">
      <c r="A92" s="46"/>
      <c r="B92" s="46"/>
      <c r="C92" s="46"/>
      <c r="D92" s="70"/>
      <c r="E92" s="1597" t="str">
        <f>E19</f>
        <v xml:space="preserve">     - Tên công việc nghiệm thu: Vật liệu thi công: Cát vàng, đá 1x2cm, Xi măng, bao tải nhựa đường, Thép các loại</v>
      </c>
      <c r="F92" s="1464"/>
      <c r="G92" s="1464"/>
      <c r="H92" s="1464"/>
      <c r="I92" s="1464"/>
      <c r="J92" s="1464"/>
      <c r="K92" s="1464"/>
      <c r="L92" s="46"/>
      <c r="M92" s="46"/>
      <c r="N92" s="46"/>
      <c r="O92" s="46"/>
      <c r="P92" s="46"/>
      <c r="Q92" s="46"/>
      <c r="T92" s="44">
        <f>IF(E92&lt;&gt;"",ROW(),"")</f>
        <v>92</v>
      </c>
      <c r="U92" s="48"/>
      <c r="V92" s="45"/>
    </row>
    <row r="93" spans="1:22" ht="20.100000000000001" customHeight="1">
      <c r="A93" s="46"/>
      <c r="B93" s="46"/>
      <c r="C93" s="46"/>
      <c r="D93" s="70"/>
      <c r="E93" s="1597" t="str">
        <f>E20</f>
        <v xml:space="preserve">     - Vị trí xây dựng trên công trình: </v>
      </c>
      <c r="F93" s="1464"/>
      <c r="G93" s="1464"/>
      <c r="H93" s="1464"/>
      <c r="I93" s="1464"/>
      <c r="J93" s="1464"/>
      <c r="K93" s="1464"/>
      <c r="L93" s="46"/>
      <c r="M93" s="46"/>
      <c r="N93" s="46"/>
      <c r="O93" s="46"/>
      <c r="P93" s="46"/>
      <c r="Q93" s="46"/>
      <c r="T93" s="44">
        <f>IF(E93&lt;&gt;"",ROW(),"")</f>
        <v>93</v>
      </c>
      <c r="U93" s="48"/>
      <c r="V93" s="45"/>
    </row>
    <row r="94" spans="1:22" ht="7.5" customHeight="1">
      <c r="A94" s="46"/>
      <c r="B94" s="46"/>
      <c r="C94" s="46"/>
      <c r="D94" s="70"/>
      <c r="E94" s="1214"/>
      <c r="F94" s="1207"/>
      <c r="G94" s="1207"/>
      <c r="H94" s="1207"/>
      <c r="I94" s="1207"/>
      <c r="J94" s="1207"/>
      <c r="K94" s="1207"/>
      <c r="L94" s="46"/>
      <c r="M94" s="46"/>
      <c r="N94" s="46"/>
      <c r="O94" s="46"/>
      <c r="P94" s="46"/>
      <c r="Q94" s="46"/>
      <c r="T94" s="44"/>
      <c r="U94" s="48"/>
      <c r="V94" s="45"/>
    </row>
    <row r="95" spans="1:22">
      <c r="A95" s="46"/>
      <c r="B95" s="46"/>
      <c r="C95" s="46"/>
      <c r="D95" s="70"/>
      <c r="E95" s="1598" t="s">
        <v>196</v>
      </c>
      <c r="F95" s="1544"/>
      <c r="G95" s="1544"/>
      <c r="H95" s="1544"/>
      <c r="I95" s="1544"/>
      <c r="J95" s="1544"/>
      <c r="K95" s="1544"/>
      <c r="L95" s="46"/>
      <c r="M95" s="46"/>
      <c r="N95" s="46"/>
      <c r="O95" s="46"/>
      <c r="P95" s="46"/>
      <c r="Q95" s="46"/>
      <c r="T95" s="44"/>
      <c r="U95" s="44"/>
      <c r="V95" s="45"/>
    </row>
    <row r="96" spans="1:22">
      <c r="A96" s="46"/>
      <c r="B96" s="46"/>
      <c r="C96" s="46"/>
      <c r="D96" s="70"/>
      <c r="E96" s="1464" t="str">
        <f>"     - Bắt đầu: "&amp;TachgioBB(VLOOKUP(N2,ListVlieu!A4:AB19,9,0),1)&amp;", "&amp;Doingay(VLOOKUP(N2,ListVlieu!A4:AB19,10,0))</f>
        <v xml:space="preserve">     - Bắt đầu: 07 giờ 35 phút ,  ngày 8 tháng 5 năm 2020</v>
      </c>
      <c r="F96" s="1464"/>
      <c r="G96" s="1464"/>
      <c r="H96" s="1464"/>
      <c r="I96" s="1464"/>
      <c r="J96" s="1464"/>
      <c r="K96" s="1464"/>
      <c r="L96" s="46"/>
      <c r="M96" s="46"/>
      <c r="N96" s="46"/>
      <c r="O96" s="46"/>
      <c r="P96" s="46"/>
      <c r="Q96" s="46"/>
      <c r="T96" s="44"/>
      <c r="U96" s="44"/>
      <c r="V96" s="45"/>
    </row>
    <row r="97" spans="1:22" ht="36.6" customHeight="1">
      <c r="A97" s="46"/>
      <c r="B97" s="46"/>
      <c r="C97" s="46"/>
      <c r="D97" s="70"/>
      <c r="E97" s="1604" t="str">
        <f>"     - Vị trí: Tại công trường "&amp;Tieude1&amp;" - "&amp;NDtieude1</f>
        <v xml:space="preserve">     - Vị trí: Tại công trường Công trình - Gia cố nâng cấp kênh Bà Xoài từ K0+300÷K0+600 - Hệ thống thủy lợi Nha Trinh, huyện Ninh Hải, tỉnh Ninh Thuận</v>
      </c>
      <c r="F97" s="1604"/>
      <c r="G97" s="1604"/>
      <c r="H97" s="1604"/>
      <c r="I97" s="1604"/>
      <c r="J97" s="1604"/>
      <c r="K97" s="1604"/>
      <c r="L97" s="46"/>
      <c r="M97" s="46"/>
      <c r="N97" s="46"/>
      <c r="O97" s="46"/>
      <c r="P97" s="46"/>
      <c r="Q97" s="46"/>
      <c r="T97" s="44"/>
      <c r="U97" s="44">
        <f>ROW()</f>
        <v>97</v>
      </c>
      <c r="V97" s="45"/>
    </row>
    <row r="98" spans="1:22" ht="11.25" customHeight="1">
      <c r="A98" s="46"/>
      <c r="B98" s="46"/>
      <c r="C98" s="46"/>
      <c r="D98" s="70"/>
      <c r="E98" s="701"/>
      <c r="F98" s="701"/>
      <c r="G98" s="701"/>
      <c r="H98" s="701"/>
      <c r="I98" s="701"/>
      <c r="J98" s="701"/>
      <c r="K98" s="701"/>
      <c r="L98" s="46"/>
      <c r="M98" s="46"/>
      <c r="N98" s="46"/>
      <c r="O98" s="46"/>
      <c r="P98" s="46"/>
      <c r="Q98" s="46"/>
      <c r="T98" s="44"/>
      <c r="U98" s="44"/>
      <c r="V98" s="45"/>
    </row>
    <row r="99" spans="1:22" ht="34.5" customHeight="1">
      <c r="A99" s="46"/>
      <c r="B99" s="46"/>
      <c r="C99" s="46"/>
      <c r="D99" s="70"/>
      <c r="E99" s="1495" t="s">
        <v>4341</v>
      </c>
      <c r="F99" s="1495"/>
      <c r="G99" s="1495"/>
      <c r="H99" s="1495"/>
      <c r="I99" s="1495"/>
      <c r="J99" s="1495"/>
      <c r="K99" s="1495"/>
      <c r="L99" s="46"/>
      <c r="M99" s="46"/>
      <c r="N99" s="46"/>
      <c r="O99" s="46"/>
      <c r="P99" s="46"/>
      <c r="Q99" s="46"/>
      <c r="T99" s="44"/>
      <c r="U99" s="44"/>
      <c r="V99" s="45"/>
    </row>
    <row r="100" spans="1:22">
      <c r="A100" s="46"/>
      <c r="B100" s="46"/>
      <c r="C100" s="46"/>
      <c r="D100" s="70"/>
      <c r="E100" s="1599" t="s">
        <v>4342</v>
      </c>
      <c r="F100" s="1599"/>
      <c r="G100" s="1599"/>
      <c r="H100" s="1599"/>
      <c r="I100" s="1599"/>
      <c r="J100" s="1599"/>
      <c r="K100" s="1599"/>
      <c r="L100" s="46"/>
      <c r="M100" s="46"/>
      <c r="N100" s="46"/>
      <c r="O100" s="46"/>
      <c r="P100" s="46"/>
      <c r="Q100" s="46"/>
      <c r="T100" s="44"/>
      <c r="U100" s="44"/>
      <c r="V100" s="45"/>
    </row>
    <row r="101" spans="1:22">
      <c r="A101" s="46"/>
      <c r="B101" s="46"/>
      <c r="C101" s="46"/>
      <c r="D101" s="70"/>
      <c r="E101" s="66"/>
      <c r="F101" s="66"/>
      <c r="G101" s="66"/>
      <c r="H101" s="66"/>
      <c r="I101" s="66"/>
      <c r="J101" s="66"/>
      <c r="K101" s="66"/>
      <c r="L101" s="46"/>
      <c r="M101" s="46"/>
      <c r="N101" s="46"/>
      <c r="O101" s="46"/>
      <c r="P101" s="46"/>
      <c r="Q101" s="46"/>
      <c r="T101" s="44"/>
      <c r="U101" s="44"/>
      <c r="V101" s="45"/>
    </row>
    <row r="102" spans="1:22" ht="16.5" customHeight="1">
      <c r="A102" s="46"/>
      <c r="B102" s="46"/>
      <c r="C102" s="46"/>
      <c r="D102" s="70"/>
      <c r="E102" s="1505" t="s">
        <v>1088</v>
      </c>
      <c r="F102" s="1600"/>
      <c r="G102" s="620"/>
      <c r="H102" s="1500" t="str">
        <f>UPPER(DVTC)</f>
        <v>CÔNG TY TNHH XÂY DỰNG THỊNH DŨNG</v>
      </c>
      <c r="I102" s="1500"/>
      <c r="J102" s="1500"/>
      <c r="K102" s="1500"/>
      <c r="L102" s="46"/>
      <c r="M102" s="46"/>
      <c r="N102" s="46"/>
      <c r="O102" s="46"/>
      <c r="P102" s="46"/>
      <c r="Q102" s="46"/>
      <c r="T102" s="44"/>
      <c r="U102" s="44">
        <f>ROW()</f>
        <v>102</v>
      </c>
      <c r="V102" s="45"/>
    </row>
    <row r="103" spans="1:22" ht="17.25" customHeight="1">
      <c r="A103" s="46"/>
      <c r="B103" s="46"/>
      <c r="C103" s="46"/>
      <c r="D103" s="70"/>
      <c r="E103" s="1606" t="s">
        <v>1089</v>
      </c>
      <c r="F103" s="1606"/>
      <c r="G103" s="610"/>
      <c r="H103" s="1607" t="str">
        <f>CV_NguoiphatphieuYCNT</f>
        <v>Chỉ huy công trường</v>
      </c>
      <c r="I103" s="1607"/>
      <c r="J103" s="1607"/>
      <c r="K103" s="1607"/>
      <c r="L103" s="46"/>
      <c r="M103" s="46"/>
      <c r="N103" s="46"/>
      <c r="O103" s="46"/>
      <c r="P103" s="46"/>
      <c r="Q103" s="46"/>
      <c r="T103" s="44"/>
      <c r="U103" s="44"/>
      <c r="V103" s="45"/>
    </row>
    <row r="104" spans="1:22" ht="16.5" customHeight="1">
      <c r="A104" s="46"/>
      <c r="B104" s="46"/>
      <c r="C104" s="46"/>
      <c r="D104" s="70"/>
      <c r="E104" s="1606" t="s">
        <v>1090</v>
      </c>
      <c r="F104" s="1606"/>
      <c r="G104" s="610"/>
      <c r="H104" s="610"/>
      <c r="I104" s="601"/>
      <c r="J104" s="601"/>
      <c r="K104" s="601"/>
      <c r="L104" s="46"/>
      <c r="M104" s="46"/>
      <c r="N104" s="46"/>
      <c r="O104" s="46"/>
      <c r="P104" s="46"/>
      <c r="Q104" s="46"/>
      <c r="T104" s="44"/>
      <c r="U104" s="44"/>
      <c r="V104" s="45"/>
    </row>
    <row r="105" spans="1:22">
      <c r="A105" s="46"/>
      <c r="B105" s="46"/>
      <c r="C105" s="46"/>
      <c r="D105" s="70"/>
      <c r="E105" s="1499"/>
      <c r="F105" s="1582"/>
      <c r="G105" s="1582"/>
      <c r="H105" s="1582"/>
      <c r="I105" s="601"/>
      <c r="J105" s="601"/>
      <c r="K105" s="601"/>
      <c r="L105" s="46"/>
      <c r="M105" s="46"/>
      <c r="N105" s="46"/>
      <c r="O105" s="46"/>
      <c r="P105" s="46"/>
      <c r="Q105" s="46"/>
      <c r="T105" s="44"/>
      <c r="U105" s="44"/>
      <c r="V105" s="45"/>
    </row>
    <row r="106" spans="1:22">
      <c r="A106" s="46"/>
      <c r="B106" s="46"/>
      <c r="C106" s="46"/>
      <c r="D106" s="70"/>
      <c r="E106" s="1499"/>
      <c r="F106" s="1582"/>
      <c r="G106" s="1582"/>
      <c r="H106" s="1582"/>
      <c r="I106" s="601"/>
      <c r="J106" s="601"/>
      <c r="K106" s="601"/>
      <c r="L106" s="46"/>
      <c r="M106" s="46"/>
      <c r="N106" s="46"/>
      <c r="O106" s="46"/>
      <c r="P106" s="46"/>
      <c r="Q106" s="46"/>
      <c r="T106" s="44"/>
      <c r="U106" s="44"/>
      <c r="V106" s="45"/>
    </row>
    <row r="107" spans="1:22">
      <c r="A107" s="46"/>
      <c r="B107" s="46"/>
      <c r="C107" s="46"/>
      <c r="D107" s="70"/>
      <c r="E107" s="601"/>
      <c r="F107" s="601"/>
      <c r="G107" s="601"/>
      <c r="H107" s="601"/>
      <c r="I107" s="601"/>
      <c r="J107" s="601"/>
      <c r="K107" s="601"/>
      <c r="L107" s="46"/>
      <c r="M107" s="46"/>
      <c r="N107" s="46"/>
      <c r="O107" s="46"/>
      <c r="P107" s="46"/>
      <c r="Q107" s="46"/>
      <c r="T107" s="44"/>
      <c r="U107" s="44"/>
      <c r="V107" s="45"/>
    </row>
    <row r="108" spans="1:22">
      <c r="A108" s="46"/>
      <c r="B108" s="46"/>
      <c r="C108" s="46"/>
      <c r="D108" s="70"/>
      <c r="E108" s="601"/>
      <c r="F108" s="601"/>
      <c r="G108" s="601"/>
      <c r="H108" s="601"/>
      <c r="I108" s="601"/>
      <c r="J108" s="601"/>
      <c r="K108" s="601"/>
      <c r="L108" s="46"/>
      <c r="M108" s="46"/>
      <c r="N108" s="46"/>
      <c r="O108" s="46"/>
      <c r="P108" s="46"/>
      <c r="Q108" s="46"/>
      <c r="T108" s="44"/>
      <c r="U108" s="44"/>
      <c r="V108" s="45"/>
    </row>
    <row r="109" spans="1:22" ht="16.5" customHeight="1">
      <c r="A109" s="46"/>
      <c r="B109" s="46"/>
      <c r="C109" s="46"/>
      <c r="D109" s="70"/>
      <c r="E109" s="1500" t="str">
        <f>CBGS1</f>
        <v>Trần Trọng Liêm</v>
      </c>
      <c r="F109" s="1500"/>
      <c r="G109" s="621"/>
      <c r="H109" s="1484" t="str">
        <f>NguoiphatphieuYCNT</f>
        <v>Hoàng Đình Tảng</v>
      </c>
      <c r="I109" s="1484"/>
      <c r="J109" s="1484"/>
      <c r="K109" s="1484"/>
      <c r="L109" s="46"/>
      <c r="M109" s="46"/>
      <c r="N109" s="46"/>
      <c r="O109" s="46"/>
      <c r="P109" s="46"/>
      <c r="Q109" s="46"/>
      <c r="T109" s="44"/>
      <c r="U109" s="44"/>
      <c r="V109" s="45"/>
    </row>
    <row r="110" spans="1:22">
      <c r="A110" s="46"/>
      <c r="B110" s="46"/>
      <c r="C110" s="46"/>
      <c r="D110" s="70"/>
      <c r="E110" s="428"/>
      <c r="F110" s="604"/>
      <c r="G110" s="604"/>
      <c r="H110" s="604"/>
      <c r="I110" s="429"/>
      <c r="J110" s="429"/>
      <c r="K110" s="429"/>
      <c r="L110" s="46"/>
      <c r="M110" s="46"/>
      <c r="N110" s="46"/>
      <c r="O110" s="46"/>
      <c r="P110" s="46"/>
      <c r="Q110" s="46"/>
      <c r="T110" s="44"/>
      <c r="U110" s="44"/>
      <c r="V110" s="45"/>
    </row>
    <row r="111" spans="1:22">
      <c r="A111" s="46"/>
      <c r="B111" s="46"/>
      <c r="C111" s="46"/>
      <c r="D111" s="70"/>
      <c r="E111" s="428"/>
      <c r="F111" s="604"/>
      <c r="G111" s="604"/>
      <c r="H111" s="604"/>
      <c r="I111" s="429"/>
      <c r="J111" s="429"/>
      <c r="K111" s="429"/>
      <c r="L111" s="46"/>
      <c r="M111" s="46"/>
      <c r="N111" s="46"/>
      <c r="O111" s="46"/>
      <c r="P111" s="46"/>
      <c r="Q111" s="46"/>
      <c r="T111" s="44"/>
      <c r="U111" s="44"/>
      <c r="V111" s="45"/>
    </row>
    <row r="112" spans="1:22">
      <c r="A112" s="46"/>
      <c r="B112" s="46"/>
      <c r="C112" s="46"/>
      <c r="D112" s="71"/>
      <c r="E112" s="1502"/>
      <c r="F112" s="1503"/>
      <c r="G112" s="1503"/>
      <c r="H112" s="1503"/>
      <c r="I112" s="1503"/>
      <c r="J112" s="1503"/>
      <c r="K112" s="1504"/>
      <c r="L112" s="56"/>
      <c r="M112" s="46"/>
      <c r="N112" s="46"/>
      <c r="O112" s="46"/>
      <c r="P112" s="46"/>
      <c r="Q112" s="46"/>
      <c r="T112" s="44"/>
      <c r="U112" s="44"/>
      <c r="V112" s="45"/>
    </row>
    <row r="113" spans="1:22">
      <c r="A113" s="46"/>
      <c r="B113" s="46"/>
      <c r="C113" s="46"/>
      <c r="D113" s="70"/>
      <c r="E113" s="1514" t="s">
        <v>158</v>
      </c>
      <c r="F113" s="1582"/>
      <c r="G113" s="1582"/>
      <c r="H113" s="1582"/>
      <c r="I113" s="1582"/>
      <c r="J113" s="1582"/>
      <c r="K113" s="1582"/>
      <c r="L113" s="46"/>
      <c r="M113" s="46"/>
      <c r="N113" s="46"/>
      <c r="O113" s="46"/>
      <c r="P113" s="46"/>
      <c r="Q113" s="46"/>
      <c r="T113" s="44"/>
      <c r="U113" s="44"/>
      <c r="V113" s="45"/>
    </row>
    <row r="114" spans="1:22">
      <c r="A114" s="46"/>
      <c r="B114" s="46"/>
      <c r="C114" s="46"/>
      <c r="D114" s="70"/>
      <c r="E114" s="1608" t="s">
        <v>178</v>
      </c>
      <c r="F114" s="1609"/>
      <c r="G114" s="1609"/>
      <c r="H114" s="1609"/>
      <c r="I114" s="1609"/>
      <c r="J114" s="1609"/>
      <c r="K114" s="1609"/>
      <c r="L114" s="46"/>
      <c r="M114" s="46"/>
      <c r="N114" s="46"/>
      <c r="O114" s="46"/>
      <c r="P114" s="46"/>
      <c r="Q114" s="46"/>
      <c r="T114" s="44"/>
      <c r="U114" s="44"/>
      <c r="V114" s="45"/>
    </row>
    <row r="115" spans="1:22">
      <c r="A115" s="46"/>
      <c r="B115" s="46"/>
      <c r="C115" s="46"/>
      <c r="D115" s="70"/>
      <c r="E115" s="1490" t="s">
        <v>179</v>
      </c>
      <c r="F115" s="1490"/>
      <c r="G115" s="1490"/>
      <c r="H115" s="1490"/>
      <c r="I115" s="1490"/>
      <c r="J115" s="1490"/>
      <c r="K115" s="1490"/>
      <c r="L115" s="46"/>
      <c r="M115" s="46"/>
      <c r="N115" s="46"/>
      <c r="O115" s="46"/>
      <c r="P115" s="46"/>
      <c r="Q115" s="46"/>
      <c r="T115" s="44"/>
      <c r="U115" s="44"/>
      <c r="V115" s="45"/>
    </row>
    <row r="116" spans="1:22">
      <c r="A116" s="46"/>
      <c r="B116" s="46"/>
      <c r="C116" s="46"/>
      <c r="D116" s="70"/>
      <c r="E116" s="1610" t="str">
        <f>Diadanh&amp;", "&amp;IFERROR(Doingay(VLOOKUP(N2,ListVlieu!A4:AB19,10,0)),"ngày ….. tháng ….. năm…..")</f>
        <v>Ninh Hải,  ngày 8 tháng 5 năm 2020</v>
      </c>
      <c r="F116" s="1517"/>
      <c r="G116" s="1517"/>
      <c r="H116" s="1517"/>
      <c r="I116" s="1517"/>
      <c r="J116" s="1517"/>
      <c r="K116" s="1517"/>
      <c r="L116" s="46"/>
      <c r="M116" s="46"/>
      <c r="N116" s="46"/>
      <c r="O116" s="46"/>
      <c r="P116" s="46"/>
      <c r="Q116" s="46"/>
      <c r="T116" s="44"/>
      <c r="U116" s="44"/>
      <c r="V116" s="45"/>
    </row>
    <row r="117" spans="1:22" ht="8.25" customHeight="1">
      <c r="A117" s="46"/>
      <c r="B117" s="46"/>
      <c r="C117" s="46"/>
      <c r="D117" s="70"/>
      <c r="E117" s="605"/>
      <c r="F117" s="605"/>
      <c r="G117" s="605"/>
      <c r="H117" s="605"/>
      <c r="I117" s="605"/>
      <c r="J117" s="605"/>
      <c r="K117" s="605"/>
      <c r="L117" s="46"/>
      <c r="M117" s="46"/>
      <c r="N117" s="46"/>
      <c r="O117" s="46"/>
      <c r="P117" s="46"/>
      <c r="Q117" s="46"/>
      <c r="T117" s="44"/>
      <c r="U117" s="44"/>
      <c r="V117" s="45"/>
    </row>
    <row r="118" spans="1:22">
      <c r="A118" s="46"/>
      <c r="B118" s="46"/>
      <c r="C118" s="46"/>
      <c r="D118" s="70"/>
      <c r="E118" s="1611" t="str">
        <f>"BIÊN BẢN SỐ: "&amp;IFERROR(TEXT(VLOOKUP(N2,ListVlieu!A4:AB19,16,0),"00"),"    ")&amp;" /NTVL"</f>
        <v>BIÊN BẢN SỐ: 01 /NTVL</v>
      </c>
      <c r="F118" s="1609"/>
      <c r="G118" s="1609"/>
      <c r="H118" s="1609"/>
      <c r="I118" s="1609"/>
      <c r="J118" s="1609"/>
      <c r="K118" s="1609"/>
      <c r="L118" s="46"/>
      <c r="M118" s="46"/>
      <c r="N118" s="46"/>
      <c r="O118" s="46"/>
      <c r="P118" s="46"/>
      <c r="Q118" s="46"/>
      <c r="T118" s="44"/>
      <c r="U118" s="44"/>
      <c r="V118" s="45"/>
    </row>
    <row r="119" spans="1:22" ht="43.5" customHeight="1">
      <c r="A119" s="46"/>
      <c r="B119" s="46"/>
      <c r="C119" s="46"/>
      <c r="D119" s="70"/>
      <c r="E119" s="1612" t="s">
        <v>4283</v>
      </c>
      <c r="F119" s="1511"/>
      <c r="G119" s="1511"/>
      <c r="H119" s="1511"/>
      <c r="I119" s="1511"/>
      <c r="J119" s="1511"/>
      <c r="K119" s="1511"/>
      <c r="L119" s="46"/>
      <c r="M119" s="46"/>
      <c r="N119" s="46"/>
      <c r="O119" s="46"/>
      <c r="P119" s="46"/>
      <c r="Q119" s="46"/>
      <c r="T119" s="44"/>
      <c r="U119" s="44"/>
      <c r="V119" s="45"/>
    </row>
    <row r="120" spans="1:22" ht="10.5" customHeight="1">
      <c r="A120" s="46"/>
      <c r="B120" s="46"/>
      <c r="C120" s="46"/>
      <c r="D120" s="70"/>
      <c r="E120" s="606"/>
      <c r="F120" s="604"/>
      <c r="G120" s="604"/>
      <c r="H120" s="604"/>
      <c r="I120" s="604"/>
      <c r="J120" s="604"/>
      <c r="K120" s="604"/>
      <c r="L120" s="46"/>
      <c r="M120" s="46"/>
      <c r="N120" s="46"/>
      <c r="O120" s="46"/>
      <c r="P120" s="46"/>
      <c r="Q120" s="46"/>
      <c r="T120" s="44"/>
      <c r="U120" s="44"/>
      <c r="V120" s="45"/>
    </row>
    <row r="121" spans="1:22" ht="36.6" customHeight="1">
      <c r="A121" s="46"/>
      <c r="B121" s="46"/>
      <c r="C121" s="46"/>
      <c r="D121" s="70"/>
      <c r="E121" s="1613" t="str">
        <f>E13</f>
        <v>Công trình: Gia cố nâng cấp kênh Bà Xoài từ K0+300÷K0+600 - Hệ thống thủy lợi Nha Trinh, huyện Ninh Hải, tỉnh Ninh Thuận</v>
      </c>
      <c r="F121" s="1586"/>
      <c r="G121" s="1586"/>
      <c r="H121" s="1586"/>
      <c r="I121" s="1586"/>
      <c r="J121" s="1586"/>
      <c r="K121" s="1586"/>
      <c r="L121" s="46"/>
      <c r="M121" s="46"/>
      <c r="N121" s="46"/>
      <c r="O121" s="46"/>
      <c r="P121" s="46"/>
      <c r="Q121" s="46"/>
      <c r="T121" s="44"/>
      <c r="U121" s="44">
        <f>ROW()</f>
        <v>121</v>
      </c>
      <c r="V121" s="45"/>
    </row>
    <row r="122" spans="1:22" ht="20.100000000000001" hidden="1" customHeight="1">
      <c r="A122" s="46"/>
      <c r="B122" s="46"/>
      <c r="C122" s="46"/>
      <c r="D122" s="70"/>
      <c r="E122" s="1513" t="str">
        <f>E14</f>
        <v/>
      </c>
      <c r="F122" s="1524"/>
      <c r="G122" s="1524"/>
      <c r="H122" s="1524"/>
      <c r="I122" s="1524"/>
      <c r="J122" s="1524"/>
      <c r="K122" s="1524"/>
      <c r="L122" s="46"/>
      <c r="M122" s="46"/>
      <c r="N122" s="46"/>
      <c r="O122" s="46"/>
      <c r="P122" s="46"/>
      <c r="Q122" s="46"/>
      <c r="T122" s="44"/>
      <c r="U122" s="44">
        <f>ROW()</f>
        <v>122</v>
      </c>
      <c r="V122" s="45"/>
    </row>
    <row r="123" spans="1:22" ht="20.100000000000001" customHeight="1">
      <c r="A123" s="46"/>
      <c r="B123" s="46"/>
      <c r="C123" s="46"/>
      <c r="D123" s="70"/>
      <c r="E123" s="1527" t="str">
        <f>E15</f>
        <v>Hạng mục: Kênh và Công trình trên kênh</v>
      </c>
      <c r="F123" s="1580"/>
      <c r="G123" s="1580"/>
      <c r="H123" s="1580"/>
      <c r="I123" s="1580"/>
      <c r="J123" s="1580"/>
      <c r="K123" s="1580"/>
      <c r="L123" s="46"/>
      <c r="M123" s="46"/>
      <c r="N123" s="46"/>
      <c r="O123" s="46"/>
      <c r="P123" s="46"/>
      <c r="Q123" s="46"/>
      <c r="T123" s="44"/>
      <c r="U123" s="44">
        <f>ROW()</f>
        <v>123</v>
      </c>
      <c r="V123" s="45"/>
    </row>
    <row r="124" spans="1:22" ht="20.100000000000001" customHeight="1">
      <c r="A124" s="46"/>
      <c r="B124" s="46"/>
      <c r="C124" s="46"/>
      <c r="D124" s="70"/>
      <c r="E124" s="1527" t="str">
        <f>E16</f>
        <v>Địa điểm xây dựng : Huyện Ninh Hải - Tỉnh Ninh Thuận</v>
      </c>
      <c r="F124" s="1580"/>
      <c r="G124" s="1580"/>
      <c r="H124" s="1580"/>
      <c r="I124" s="1580"/>
      <c r="J124" s="1580"/>
      <c r="K124" s="1580"/>
      <c r="L124" s="46"/>
      <c r="M124" s="46"/>
      <c r="N124" s="46"/>
      <c r="O124" s="46"/>
      <c r="P124" s="46"/>
      <c r="Q124" s="46"/>
      <c r="T124" s="44"/>
      <c r="U124" s="44">
        <f>ROW()</f>
        <v>124</v>
      </c>
      <c r="V124" s="45"/>
    </row>
    <row r="125" spans="1:22" ht="12.75" customHeight="1">
      <c r="A125" s="46"/>
      <c r="B125" s="46"/>
      <c r="C125" s="46"/>
      <c r="D125" s="70"/>
      <c r="E125" s="599"/>
      <c r="F125" s="599"/>
      <c r="G125" s="599"/>
      <c r="H125" s="599"/>
      <c r="I125" s="599"/>
      <c r="J125" s="599"/>
      <c r="K125" s="599"/>
      <c r="L125" s="46"/>
      <c r="M125" s="46"/>
      <c r="N125" s="46"/>
      <c r="O125" s="46"/>
      <c r="P125" s="46"/>
      <c r="Q125" s="46"/>
      <c r="T125" s="44"/>
      <c r="U125" s="44"/>
      <c r="V125" s="45"/>
    </row>
    <row r="126" spans="1:22">
      <c r="A126" s="46"/>
      <c r="B126" s="46"/>
      <c r="C126" s="46"/>
      <c r="D126" s="70"/>
      <c r="E126" s="1456" t="s">
        <v>180</v>
      </c>
      <c r="F126" s="1456"/>
      <c r="G126" s="1456"/>
      <c r="H126" s="1456"/>
      <c r="I126" s="1456"/>
      <c r="J126" s="1456"/>
      <c r="K126" s="1456"/>
      <c r="L126" s="46"/>
      <c r="M126" s="46"/>
      <c r="N126" s="46"/>
      <c r="O126" s="46"/>
      <c r="P126" s="46"/>
      <c r="Q126" s="46"/>
      <c r="T126" s="44"/>
      <c r="U126" s="44"/>
      <c r="V126" s="45"/>
    </row>
    <row r="127" spans="1:22" ht="36.6" customHeight="1">
      <c r="A127" s="46"/>
      <c r="B127" s="46"/>
      <c r="C127" s="46"/>
      <c r="D127" s="70"/>
      <c r="E127" s="1548" t="str">
        <f>E19</f>
        <v xml:space="preserve">     - Tên công việc nghiệm thu: Vật liệu thi công: Cát vàng, đá 1x2cm, Xi măng, bao tải nhựa đường, Thép các loại</v>
      </c>
      <c r="F127" s="1513"/>
      <c r="G127" s="1513"/>
      <c r="H127" s="1513"/>
      <c r="I127" s="1513"/>
      <c r="J127" s="1513"/>
      <c r="K127" s="1513"/>
      <c r="L127" s="46"/>
      <c r="M127" s="46"/>
      <c r="N127" s="46"/>
      <c r="O127" s="46"/>
      <c r="P127" s="46"/>
      <c r="Q127" s="46"/>
      <c r="T127" s="44">
        <f>IF(E127&lt;&gt;"",ROW(),"")</f>
        <v>127</v>
      </c>
      <c r="U127" s="48"/>
      <c r="V127" s="45"/>
    </row>
    <row r="128" spans="1:22" ht="20.100000000000001" customHeight="1">
      <c r="A128" s="46"/>
      <c r="B128" s="46"/>
      <c r="C128" s="46"/>
      <c r="D128" s="70"/>
      <c r="E128" s="1548" t="str">
        <f>E20</f>
        <v xml:space="preserve">     - Vị trí xây dựng trên công trình: </v>
      </c>
      <c r="F128" s="1513"/>
      <c r="G128" s="1513"/>
      <c r="H128" s="1513"/>
      <c r="I128" s="1513"/>
      <c r="J128" s="1513"/>
      <c r="K128" s="1513"/>
      <c r="L128" s="46"/>
      <c r="M128" s="46"/>
      <c r="N128" s="46"/>
      <c r="O128" s="46"/>
      <c r="P128" s="46"/>
      <c r="Q128" s="46"/>
      <c r="T128" s="44">
        <f>IF(E128&lt;&gt;"",ROW(),"")</f>
        <v>128</v>
      </c>
      <c r="U128" s="48"/>
      <c r="V128" s="45"/>
    </row>
    <row r="129" spans="1:22">
      <c r="A129" s="46"/>
      <c r="B129" s="46"/>
      <c r="C129" s="46"/>
      <c r="D129" s="70"/>
      <c r="E129" s="1521" t="s">
        <v>198</v>
      </c>
      <c r="F129" s="1521"/>
      <c r="G129" s="1521"/>
      <c r="H129" s="1521"/>
      <c r="I129" s="1521"/>
      <c r="J129" s="1521"/>
      <c r="K129" s="1521"/>
      <c r="L129" s="46"/>
      <c r="M129" s="46"/>
      <c r="N129" s="46"/>
      <c r="O129" s="46"/>
      <c r="P129" s="46"/>
      <c r="Q129" s="46"/>
      <c r="T129" s="44"/>
      <c r="U129" s="44"/>
      <c r="V129" s="45"/>
    </row>
    <row r="130" spans="1:22" ht="17.25" customHeight="1">
      <c r="A130" s="46"/>
      <c r="B130" s="46"/>
      <c r="C130" s="46"/>
      <c r="D130" s="70"/>
      <c r="E130" s="1519" t="str">
        <f>"a. Đại diện "&amp;LOWER(MID(Td_DVGS,1,1))&amp;MID(Td_DVGS,2,LEN(Td_DVGS))&amp;": "&amp;DVGS</f>
        <v>a. Đại diện đơn vị tư vấn giám sát: Công ty TNHH Tư vấn Đầu tư Xây dựng Huy Đạt</v>
      </c>
      <c r="F130" s="1615"/>
      <c r="G130" s="1615"/>
      <c r="H130" s="1615"/>
      <c r="I130" s="1615"/>
      <c r="J130" s="1615"/>
      <c r="K130" s="1615"/>
      <c r="L130" s="46"/>
      <c r="M130" s="46"/>
      <c r="N130" s="46"/>
      <c r="O130" s="46"/>
      <c r="P130" s="46"/>
      <c r="Q130" s="46"/>
      <c r="T130" s="44"/>
      <c r="U130" s="44">
        <f>ROW()</f>
        <v>130</v>
      </c>
      <c r="V130" s="45"/>
    </row>
    <row r="131" spans="1:22">
      <c r="A131" s="46"/>
      <c r="B131" s="46"/>
      <c r="C131" s="46"/>
      <c r="D131" s="70"/>
      <c r="E131" s="601"/>
      <c r="F131" s="622" t="str">
        <f>GT_GS1&amp;CBGS1</f>
        <v>Ông: Trần Trọng Liêm</v>
      </c>
      <c r="G131" s="607"/>
      <c r="H131" s="59"/>
      <c r="I131" s="608" t="str">
        <f>"Chức vụ: "&amp;CV_CBGS1</f>
        <v>Chức vụ: Giám sát trưởng</v>
      </c>
      <c r="K131" s="60"/>
      <c r="L131" s="46"/>
      <c r="M131" s="46"/>
      <c r="N131" s="46"/>
      <c r="O131" s="46"/>
      <c r="P131" s="46"/>
      <c r="Q131" s="46"/>
      <c r="T131" s="44"/>
      <c r="U131" s="44"/>
      <c r="V131" s="45"/>
    </row>
    <row r="132" spans="1:22">
      <c r="A132" s="46"/>
      <c r="B132" s="46"/>
      <c r="C132" s="46"/>
      <c r="D132" s="70"/>
      <c r="E132" s="601"/>
      <c r="F132" s="622" t="str">
        <f>GT_GS2&amp;CBGS2</f>
        <v>Bà  : Nguyễn Thị Minh</v>
      </c>
      <c r="G132" s="607"/>
      <c r="H132" s="59"/>
      <c r="I132" s="608" t="str">
        <f>"Chức vụ: "&amp;CV_CBGS2</f>
        <v>Chức vụ: Giám sát viên</v>
      </c>
      <c r="K132" s="60"/>
      <c r="L132" s="46"/>
      <c r="M132" s="46"/>
      <c r="N132" s="46"/>
      <c r="O132" s="46"/>
      <c r="P132" s="46"/>
      <c r="Q132" s="46"/>
      <c r="T132" s="44"/>
      <c r="U132" s="44"/>
      <c r="V132" s="45"/>
    </row>
    <row r="133" spans="1:22">
      <c r="A133" s="46"/>
      <c r="B133" s="46"/>
      <c r="C133" s="46"/>
      <c r="D133" s="70"/>
      <c r="E133" s="601"/>
      <c r="F133" s="622" t="str">
        <f>GT_GS3&amp;CBGS3</f>
        <v>Ông: ………………………..</v>
      </c>
      <c r="G133" s="607"/>
      <c r="H133" s="59"/>
      <c r="I133" s="608" t="str">
        <f>"Chức vụ: "&amp;CV_CBGS3</f>
        <v>Chức vụ:  …………………</v>
      </c>
      <c r="K133" s="60"/>
      <c r="L133" s="46"/>
      <c r="M133" s="46"/>
      <c r="N133" s="46"/>
      <c r="O133" s="46"/>
      <c r="P133" s="46"/>
      <c r="Q133" s="46"/>
      <c r="T133" s="44"/>
      <c r="U133" s="44"/>
      <c r="V133" s="45"/>
    </row>
    <row r="134" spans="1:22" hidden="1">
      <c r="A134" s="46"/>
      <c r="B134" s="46"/>
      <c r="C134" s="46"/>
      <c r="D134" s="70"/>
      <c r="E134" s="1617" t="str">
        <f>IF(Liendanh&lt;&gt;"","b. Đại diện đơn vị thi công:  "&amp;Liendanh,"")</f>
        <v/>
      </c>
      <c r="F134" s="1617"/>
      <c r="G134" s="1617"/>
      <c r="H134" s="1617"/>
      <c r="I134" s="1617"/>
      <c r="J134" s="1617"/>
      <c r="K134" s="1617"/>
      <c r="L134" s="46"/>
      <c r="M134" s="46"/>
      <c r="N134" s="46"/>
      <c r="O134" s="46"/>
      <c r="P134" s="46"/>
      <c r="Q134" s="46"/>
      <c r="T134" s="44"/>
      <c r="U134" s="44">
        <f>ROW()</f>
        <v>134</v>
      </c>
      <c r="V134" s="45"/>
    </row>
    <row r="135" spans="1:22" ht="17.25" customHeight="1">
      <c r="A135" s="46"/>
      <c r="B135" s="46"/>
      <c r="C135" s="46"/>
      <c r="D135" s="70"/>
      <c r="E135" s="1519" t="str">
        <f>"b. Đại diện "&amp;LOWER(MID(Td_DVTC,1,1))&amp;MID(Td_DVTC,2,LEN(Td_DVTC))&amp;":  "&amp;DVTC</f>
        <v>b. Đại diện đơn vị thi công:  Công ty TNHH Xây dựng Thịnh Dũng</v>
      </c>
      <c r="F135" s="1615"/>
      <c r="G135" s="1615"/>
      <c r="H135" s="1615"/>
      <c r="I135" s="1615"/>
      <c r="J135" s="1615"/>
      <c r="K135" s="1615"/>
      <c r="L135" s="46"/>
      <c r="M135" s="46"/>
      <c r="N135" s="46"/>
      <c r="O135" s="46"/>
      <c r="P135" s="46"/>
      <c r="Q135" s="46"/>
      <c r="T135" s="44"/>
      <c r="U135" s="44">
        <f>ROW()</f>
        <v>135</v>
      </c>
      <c r="V135" s="45"/>
    </row>
    <row r="136" spans="1:22">
      <c r="A136" s="46"/>
      <c r="B136" s="46"/>
      <c r="C136" s="46"/>
      <c r="D136" s="70"/>
      <c r="E136" s="601"/>
      <c r="F136" s="622" t="str">
        <f>"Ông: "&amp;CBKT1</f>
        <v>Ông: Hoàng Đình Tảng</v>
      </c>
      <c r="G136" s="607"/>
      <c r="H136" s="59"/>
      <c r="I136" s="608" t="str">
        <f>"Chức vụ: "&amp;CV_CBKT1</f>
        <v>Chức vụ: Chỉ huy công trường</v>
      </c>
      <c r="J136" s="600"/>
      <c r="K136" s="602"/>
      <c r="L136" s="46"/>
      <c r="M136" s="46"/>
      <c r="N136" s="46"/>
      <c r="O136" s="46"/>
      <c r="P136" s="46"/>
      <c r="Q136" s="46"/>
      <c r="T136" s="44"/>
      <c r="U136" s="44"/>
      <c r="V136" s="45"/>
    </row>
    <row r="137" spans="1:22">
      <c r="A137" s="46"/>
      <c r="B137" s="46"/>
      <c r="C137" s="46"/>
      <c r="D137" s="70"/>
      <c r="E137" s="601"/>
      <c r="F137" s="622" t="str">
        <f>"Ông: "&amp;CBKT2</f>
        <v>Ông: Lê Thiên Phương</v>
      </c>
      <c r="G137" s="607"/>
      <c r="H137" s="59"/>
      <c r="I137" s="608" t="str">
        <f>"Chức vụ: "&amp;CV_CBKT2</f>
        <v>Chức vụ: Kỹ thuật thi công</v>
      </c>
      <c r="J137" s="600"/>
      <c r="K137" s="602"/>
      <c r="L137" s="46"/>
      <c r="M137" s="46"/>
      <c r="N137" s="46"/>
      <c r="O137" s="46"/>
      <c r="P137" s="46"/>
      <c r="Q137" s="46"/>
      <c r="T137" s="44"/>
      <c r="U137" s="44"/>
      <c r="V137" s="45"/>
    </row>
    <row r="138" spans="1:22">
      <c r="A138" s="46"/>
      <c r="B138" s="46"/>
      <c r="C138" s="46"/>
      <c r="D138" s="70"/>
      <c r="E138" s="601"/>
      <c r="F138" s="622" t="str">
        <f>"Ông: "&amp;CBKT3</f>
        <v>Ông: ………………………..</v>
      </c>
      <c r="G138" s="607"/>
      <c r="H138" s="59"/>
      <c r="I138" s="608" t="str">
        <f>"Chức vụ: "&amp;CV_CBKT3</f>
        <v>Chức vụ: ………………………..</v>
      </c>
      <c r="J138" s="600"/>
      <c r="K138" s="602"/>
      <c r="L138" s="46"/>
      <c r="M138" s="46"/>
      <c r="N138" s="46"/>
      <c r="O138" s="46"/>
      <c r="P138" s="46"/>
      <c r="Q138" s="46"/>
      <c r="T138" s="44"/>
      <c r="U138" s="44"/>
      <c r="V138" s="45"/>
    </row>
    <row r="139" spans="1:22">
      <c r="A139" s="64"/>
      <c r="B139" s="64"/>
      <c r="C139" s="64"/>
      <c r="D139" s="72"/>
      <c r="E139" s="1521" t="s">
        <v>181</v>
      </c>
      <c r="F139" s="1521"/>
      <c r="G139" s="1521"/>
      <c r="H139" s="1521"/>
      <c r="I139" s="1521"/>
      <c r="J139" s="1521"/>
      <c r="K139" s="1521"/>
      <c r="L139" s="64"/>
      <c r="M139" s="64"/>
      <c r="N139" s="64"/>
      <c r="O139" s="64"/>
      <c r="P139" s="64"/>
      <c r="Q139" s="64"/>
      <c r="T139" s="65"/>
      <c r="U139" s="65"/>
      <c r="V139" s="52"/>
    </row>
    <row r="140" spans="1:22">
      <c r="A140" s="46"/>
      <c r="B140" s="46"/>
      <c r="C140" s="46"/>
      <c r="D140" s="70"/>
      <c r="E140" s="45"/>
      <c r="F140" s="66" t="str">
        <f>"- Bắt đầu: "&amp;TachgioBB(VLOOKUP(N2,ListVlieu!A4:AB19,9,0),1)&amp;", "&amp;Doingay(VLOOKUP(N2,ListVlieu!A4:AB19,10,0))</f>
        <v>- Bắt đầu: 07 giờ 35 phút ,  ngày 8 tháng 5 năm 2020</v>
      </c>
      <c r="G140" s="45"/>
      <c r="H140" s="45"/>
      <c r="I140" s="45"/>
      <c r="J140" s="45"/>
      <c r="K140" s="45"/>
      <c r="L140" s="46"/>
      <c r="M140" s="46"/>
      <c r="N140" s="46"/>
      <c r="O140" s="46"/>
      <c r="P140" s="46"/>
      <c r="Q140" s="46"/>
      <c r="T140" s="44"/>
      <c r="U140" s="44"/>
      <c r="V140" s="45"/>
    </row>
    <row r="141" spans="1:22">
      <c r="A141" s="46"/>
      <c r="B141" s="46"/>
      <c r="C141" s="46"/>
      <c r="D141" s="70"/>
      <c r="E141" s="45"/>
      <c r="F141" s="66" t="str">
        <f>"- Kết thúc: "&amp;TachgioBB(VLOOKUP(N2,ListVlieu!A4:AB19,9,0),2)&amp;", "&amp;Doingay(VLOOKUP(N2,ListVlieu!A4:AB19,10,0))</f>
        <v>- Kết thúc: 08 giờ 15 phút ,  ngày 8 tháng 5 năm 2020</v>
      </c>
      <c r="G141" s="67"/>
      <c r="H141" s="67"/>
      <c r="I141" s="67"/>
      <c r="J141" s="67"/>
      <c r="K141" s="67"/>
      <c r="L141" s="46"/>
      <c r="M141" s="46"/>
      <c r="N141" s="46"/>
      <c r="O141" s="46"/>
      <c r="P141" s="46"/>
      <c r="Q141" s="46"/>
      <c r="T141" s="44"/>
      <c r="U141" s="44"/>
      <c r="V141" s="45"/>
    </row>
    <row r="142" spans="1:22" ht="38.25" hidden="1" customHeight="1">
      <c r="A142" s="46"/>
      <c r="B142" s="46"/>
      <c r="C142" s="46"/>
      <c r="D142" s="70"/>
      <c r="E142" s="45"/>
      <c r="F142" s="1513" t="str">
        <f>E32</f>
        <v xml:space="preserve">     - Vị trí: Tại công trường Công trình - Gia cố nâng cấp kênh Bà Xoài từ K0+300÷K0+600 - Hệ thống thủy lợi Nha Trinh, huyện Ninh Hải, tỉnh Ninh Thuận</v>
      </c>
      <c r="G142" s="1513"/>
      <c r="H142" s="1513"/>
      <c r="I142" s="1513"/>
      <c r="J142" s="1513"/>
      <c r="K142" s="1513"/>
      <c r="L142" s="46"/>
      <c r="M142" s="46"/>
      <c r="N142" s="46"/>
      <c r="O142" s="46"/>
      <c r="P142" s="46"/>
      <c r="Q142" s="46"/>
      <c r="T142" s="44"/>
      <c r="U142" s="44">
        <f>IF(F142&lt;&gt;"",ROW(),"")</f>
        <v>142</v>
      </c>
      <c r="V142" s="45"/>
    </row>
    <row r="143" spans="1:22">
      <c r="A143" s="46"/>
      <c r="B143" s="46"/>
      <c r="C143" s="46"/>
      <c r="D143" s="70"/>
      <c r="E143" s="1521" t="s">
        <v>182</v>
      </c>
      <c r="F143" s="1521"/>
      <c r="G143" s="1521"/>
      <c r="H143" s="1521"/>
      <c r="I143" s="1521"/>
      <c r="J143" s="1521"/>
      <c r="K143" s="1521"/>
      <c r="L143" s="46"/>
      <c r="M143" s="46"/>
      <c r="N143" s="46"/>
      <c r="O143" s="46"/>
      <c r="P143" s="46"/>
      <c r="Q143" s="46"/>
      <c r="T143" s="44"/>
      <c r="U143" s="44"/>
      <c r="V143" s="45"/>
    </row>
    <row r="144" spans="1:22">
      <c r="A144" s="46"/>
      <c r="B144" s="46"/>
      <c r="C144" s="46"/>
      <c r="D144" s="70"/>
      <c r="E144" s="1616" t="s">
        <v>285</v>
      </c>
      <c r="F144" s="1496"/>
      <c r="G144" s="1496"/>
      <c r="H144" s="1496"/>
      <c r="I144" s="1496"/>
      <c r="J144" s="1496"/>
      <c r="K144" s="1496"/>
      <c r="L144" s="46"/>
      <c r="M144" s="46"/>
      <c r="N144" s="46"/>
      <c r="O144" s="46"/>
      <c r="P144" s="46"/>
      <c r="Q144" s="46"/>
      <c r="T144" s="44"/>
      <c r="U144" s="44"/>
      <c r="V144" s="45"/>
    </row>
    <row r="145" spans="1:22" ht="36.6" customHeight="1">
      <c r="A145" s="46"/>
      <c r="B145" s="46"/>
      <c r="C145" s="46"/>
      <c r="D145" s="70"/>
      <c r="E145" s="1513" t="str">
        <f>IFERROR(" - Hồ sơ thiết kế bản vẽ thi công: Hồ sơ thiết kế bản vẽ thi công do "&amp;DVTK&amp;" lập và được cấp có thẩm quyền phê duyệt.","- Hồ sơ thiết kế bản vẽ thi công: Hồ sơ thiết kế bản vẽ thi công đã được phê duyệt.")</f>
        <v xml:space="preserve"> - Hồ sơ thiết kế bản vẽ thi công: Hồ sơ thiết kế bản vẽ thi công do Công ty TNHH Tư vấn Xây dựng Hưng Thịnh lập và được cấp có thẩm quyền phê duyệt.</v>
      </c>
      <c r="F145" s="1524"/>
      <c r="G145" s="1524"/>
      <c r="H145" s="1524"/>
      <c r="I145" s="1524"/>
      <c r="J145" s="1524"/>
      <c r="K145" s="1524"/>
      <c r="L145" s="46"/>
      <c r="M145" s="46"/>
      <c r="N145" s="46"/>
      <c r="O145" s="46"/>
      <c r="P145" s="46"/>
      <c r="Q145" s="46"/>
      <c r="T145" s="44"/>
      <c r="U145" s="44">
        <f>IF(E145&lt;&gt;"",ROW(),"")</f>
        <v>145</v>
      </c>
      <c r="V145" s="45"/>
    </row>
    <row r="146" spans="1:22">
      <c r="A146" s="46"/>
      <c r="B146" s="46"/>
      <c r="C146" s="46"/>
      <c r="D146" s="70"/>
      <c r="E146" s="1528" t="s">
        <v>4284</v>
      </c>
      <c r="F146" s="1527"/>
      <c r="G146" s="1527"/>
      <c r="H146" s="1527"/>
      <c r="I146" s="1527"/>
      <c r="J146" s="1527"/>
      <c r="K146" s="1527"/>
      <c r="L146" s="46"/>
      <c r="M146" s="46"/>
      <c r="N146" s="46"/>
      <c r="O146" s="46"/>
      <c r="P146" s="46"/>
      <c r="Q146" s="46"/>
      <c r="T146" s="44"/>
      <c r="U146" s="44"/>
      <c r="V146" s="45"/>
    </row>
    <row r="147" spans="1:22" ht="53.1" customHeight="1">
      <c r="A147" s="46"/>
      <c r="B147" s="46"/>
      <c r="C147" s="46"/>
      <c r="D147" s="70"/>
      <c r="E147" s="1513"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147" s="1524"/>
      <c r="G147" s="1524"/>
      <c r="H147" s="1524"/>
      <c r="I147" s="1524"/>
      <c r="J147" s="1524"/>
      <c r="K147" s="1524"/>
      <c r="L147" s="46"/>
      <c r="M147" s="46"/>
      <c r="N147" s="46"/>
      <c r="O147" s="46"/>
      <c r="P147" s="46"/>
      <c r="Q147" s="46"/>
      <c r="T147" s="44"/>
      <c r="U147" s="44">
        <f>IF(E147&lt;&gt;"",ROW(),"")</f>
        <v>147</v>
      </c>
      <c r="V147" s="45"/>
    </row>
    <row r="148" spans="1:22">
      <c r="A148" s="46"/>
      <c r="B148" s="46"/>
      <c r="C148" s="46"/>
      <c r="D148" s="70"/>
      <c r="E148" s="1614" t="s">
        <v>4285</v>
      </c>
      <c r="F148" s="1513"/>
      <c r="G148" s="1513"/>
      <c r="H148" s="1513"/>
      <c r="I148" s="1513"/>
      <c r="J148" s="1513"/>
      <c r="K148" s="1513"/>
      <c r="L148" s="46"/>
      <c r="M148" s="46"/>
      <c r="N148" s="46"/>
      <c r="O148" s="46"/>
      <c r="P148" s="46"/>
      <c r="Q148" s="46"/>
      <c r="T148" s="44"/>
      <c r="U148" s="44"/>
      <c r="V148" s="45"/>
    </row>
    <row r="149" spans="1:22">
      <c r="A149" s="46"/>
      <c r="B149" s="46"/>
      <c r="C149" s="46"/>
      <c r="D149" s="70"/>
      <c r="E149" s="1614" t="s">
        <v>4286</v>
      </c>
      <c r="F149" s="1614"/>
      <c r="G149" s="1614"/>
      <c r="H149" s="1614"/>
      <c r="I149" s="1614"/>
      <c r="J149" s="1614"/>
      <c r="K149" s="1614"/>
      <c r="L149" s="46"/>
      <c r="M149" s="46"/>
      <c r="N149" s="46"/>
      <c r="O149" s="46"/>
      <c r="P149" s="46"/>
      <c r="Q149" s="46"/>
      <c r="T149" s="44"/>
      <c r="U149" s="44"/>
      <c r="V149" s="45"/>
    </row>
    <row r="150" spans="1:22">
      <c r="A150" s="46"/>
      <c r="B150" s="46"/>
      <c r="C150" s="46"/>
      <c r="D150" s="70"/>
      <c r="E150" s="1528" t="s">
        <v>4291</v>
      </c>
      <c r="F150" s="1586"/>
      <c r="G150" s="1586"/>
      <c r="H150" s="1586"/>
      <c r="I150" s="1586"/>
      <c r="J150" s="1586"/>
      <c r="K150" s="1586"/>
      <c r="L150" s="46"/>
      <c r="M150" s="46"/>
      <c r="N150" s="46"/>
      <c r="O150" s="46"/>
      <c r="P150" s="46"/>
      <c r="Q150" s="46"/>
      <c r="T150" s="44"/>
      <c r="U150" s="44"/>
      <c r="V150" s="45"/>
    </row>
    <row r="151" spans="1:22" ht="20.100000000000001" customHeight="1">
      <c r="A151" s="46"/>
      <c r="B151" s="46"/>
      <c r="C151" s="46"/>
      <c r="D151" s="70"/>
      <c r="E151" s="1565" t="s">
        <v>5996</v>
      </c>
      <c r="F151" s="1565"/>
      <c r="G151" s="1565"/>
      <c r="H151" s="1565"/>
      <c r="I151" s="1565"/>
      <c r="J151" s="1565"/>
      <c r="K151" s="1565"/>
      <c r="L151" s="46"/>
      <c r="M151" s="46"/>
      <c r="N151" s="46"/>
      <c r="O151" s="46"/>
      <c r="P151" s="46"/>
      <c r="Q151" s="46"/>
      <c r="T151" s="44">
        <f>IF(E151&lt;&gt;"",ROW(),"")</f>
        <v>151</v>
      </c>
      <c r="U151" s="45"/>
      <c r="V151" s="45"/>
    </row>
    <row r="152" spans="1:22" ht="20.100000000000001" customHeight="1">
      <c r="A152" s="46"/>
      <c r="B152" s="46"/>
      <c r="C152" s="46"/>
      <c r="D152" s="70"/>
      <c r="E152" s="1565" t="s">
        <v>5997</v>
      </c>
      <c r="F152" s="1565"/>
      <c r="G152" s="1565"/>
      <c r="H152" s="1565"/>
      <c r="I152" s="1565"/>
      <c r="J152" s="1565"/>
      <c r="K152" s="1565"/>
      <c r="L152" s="46"/>
      <c r="M152" s="46"/>
      <c r="N152" s="46"/>
      <c r="O152" s="46"/>
      <c r="P152" s="46"/>
      <c r="Q152" s="46"/>
      <c r="T152" s="44">
        <f>IF(E152&lt;&gt;"",ROW(),"")</f>
        <v>152</v>
      </c>
      <c r="U152" s="45"/>
      <c r="V152" s="45"/>
    </row>
    <row r="153" spans="1:22" ht="20.100000000000001" customHeight="1">
      <c r="A153" s="46"/>
      <c r="B153" s="46"/>
      <c r="C153" s="46"/>
      <c r="D153" s="70"/>
      <c r="E153" s="1565" t="s">
        <v>5998</v>
      </c>
      <c r="F153" s="1565"/>
      <c r="G153" s="1565"/>
      <c r="H153" s="1565"/>
      <c r="I153" s="1565"/>
      <c r="J153" s="1565"/>
      <c r="K153" s="1565"/>
      <c r="L153" s="46"/>
      <c r="M153" s="46"/>
      <c r="N153" s="46"/>
      <c r="O153" s="46"/>
      <c r="P153" s="46"/>
      <c r="Q153" s="46"/>
      <c r="T153" s="44">
        <f>IF(E153&lt;&gt;"",ROW(),"")</f>
        <v>153</v>
      </c>
      <c r="U153" s="45"/>
      <c r="V153" s="45"/>
    </row>
    <row r="154" spans="1:22" ht="20.100000000000001" customHeight="1">
      <c r="A154" s="46"/>
      <c r="B154" s="46"/>
      <c r="C154" s="46"/>
      <c r="D154" s="70"/>
      <c r="E154" s="1565" t="s">
        <v>5999</v>
      </c>
      <c r="F154" s="1565"/>
      <c r="G154" s="1565"/>
      <c r="H154" s="1565"/>
      <c r="I154" s="1565"/>
      <c r="J154" s="1565"/>
      <c r="K154" s="1565"/>
      <c r="L154" s="46"/>
      <c r="M154" s="46"/>
      <c r="N154" s="46"/>
      <c r="O154" s="46"/>
      <c r="P154" s="46"/>
      <c r="Q154" s="46"/>
      <c r="T154" s="44">
        <f>IF(E154&lt;&gt;"",ROW(),"")</f>
        <v>154</v>
      </c>
      <c r="U154" s="45"/>
      <c r="V154" s="45"/>
    </row>
    <row r="155" spans="1:22" hidden="1">
      <c r="A155" s="46"/>
      <c r="B155" s="46"/>
      <c r="C155" s="46"/>
      <c r="D155" s="70"/>
      <c r="E155" s="1565"/>
      <c r="F155" s="1565"/>
      <c r="G155" s="1565"/>
      <c r="H155" s="1565"/>
      <c r="I155" s="1565"/>
      <c r="J155" s="1565"/>
      <c r="K155" s="1565"/>
      <c r="L155" s="46"/>
      <c r="M155" s="46"/>
      <c r="N155" s="46"/>
      <c r="O155" s="46"/>
      <c r="P155" s="46"/>
      <c r="Q155" s="46"/>
      <c r="T155" s="44"/>
      <c r="U155" s="45"/>
      <c r="V155" s="45"/>
    </row>
    <row r="156" spans="1:22" hidden="1">
      <c r="A156" s="46"/>
      <c r="B156" s="46"/>
      <c r="C156" s="46"/>
      <c r="D156" s="70"/>
      <c r="E156" s="1565"/>
      <c r="F156" s="1565"/>
      <c r="G156" s="1565"/>
      <c r="H156" s="1565"/>
      <c r="I156" s="1565"/>
      <c r="J156" s="1565"/>
      <c r="K156" s="1565"/>
      <c r="L156" s="46"/>
      <c r="M156" s="46"/>
      <c r="N156" s="46"/>
      <c r="O156" s="46"/>
      <c r="P156" s="46"/>
      <c r="Q156" s="46"/>
      <c r="T156" s="44" t="str">
        <f>IF(E156&lt;&gt;"",ROW(),"")</f>
        <v/>
      </c>
      <c r="U156" s="45"/>
      <c r="V156" s="45"/>
    </row>
    <row r="157" spans="1:22" hidden="1">
      <c r="A157" s="46"/>
      <c r="B157" s="46"/>
      <c r="C157" s="46"/>
      <c r="D157" s="70"/>
      <c r="E157" s="1565"/>
      <c r="F157" s="1565"/>
      <c r="G157" s="1565"/>
      <c r="H157" s="1565"/>
      <c r="I157" s="1565"/>
      <c r="J157" s="1565"/>
      <c r="K157" s="1565"/>
      <c r="L157" s="46"/>
      <c r="M157" s="46"/>
      <c r="N157" s="46"/>
      <c r="O157" s="46"/>
      <c r="P157" s="46"/>
      <c r="Q157" s="46"/>
      <c r="T157" s="44" t="str">
        <f>IF(E157&lt;&gt;"",ROW(),"")</f>
        <v/>
      </c>
      <c r="U157" s="45"/>
      <c r="V157" s="45"/>
    </row>
    <row r="158" spans="1:22" hidden="1">
      <c r="A158" s="46"/>
      <c r="B158" s="46"/>
      <c r="C158" s="46"/>
      <c r="D158" s="70"/>
      <c r="E158" s="1565"/>
      <c r="F158" s="1565"/>
      <c r="G158" s="1565"/>
      <c r="H158" s="1565"/>
      <c r="I158" s="1565"/>
      <c r="J158" s="1565"/>
      <c r="K158" s="1565"/>
      <c r="L158" s="46"/>
      <c r="M158" s="46"/>
      <c r="N158" s="46"/>
      <c r="O158" s="46"/>
      <c r="P158" s="46"/>
      <c r="Q158" s="46"/>
      <c r="T158" s="44" t="str">
        <f>IF(E158&lt;&gt;"",ROW(),"")</f>
        <v/>
      </c>
      <c r="U158" s="45"/>
      <c r="V158" s="45"/>
    </row>
    <row r="159" spans="1:22" hidden="1">
      <c r="A159" s="46"/>
      <c r="B159" s="46"/>
      <c r="C159" s="46"/>
      <c r="D159" s="70"/>
      <c r="E159" s="1565"/>
      <c r="F159" s="1565"/>
      <c r="G159" s="1565"/>
      <c r="H159" s="1565"/>
      <c r="I159" s="1565"/>
      <c r="J159" s="1565"/>
      <c r="K159" s="1565"/>
      <c r="L159" s="46"/>
      <c r="M159" s="46"/>
      <c r="N159" s="46"/>
      <c r="O159" s="46"/>
      <c r="P159" s="46"/>
      <c r="Q159" s="46"/>
      <c r="T159" s="44"/>
      <c r="U159" s="45"/>
      <c r="V159" s="45"/>
    </row>
    <row r="160" spans="1:22" hidden="1">
      <c r="A160" s="46"/>
      <c r="B160" s="46"/>
      <c r="C160" s="46"/>
      <c r="D160" s="70"/>
      <c r="E160" s="1565"/>
      <c r="F160" s="1565"/>
      <c r="G160" s="1565"/>
      <c r="H160" s="1565"/>
      <c r="I160" s="1565"/>
      <c r="J160" s="1565"/>
      <c r="K160" s="1565"/>
      <c r="L160" s="46"/>
      <c r="M160" s="46"/>
      <c r="N160" s="46"/>
      <c r="O160" s="46"/>
      <c r="P160" s="46"/>
      <c r="Q160" s="46"/>
      <c r="T160" s="44" t="str">
        <f>IF(E160&lt;&gt;"",ROW(),"")</f>
        <v/>
      </c>
      <c r="U160" s="45"/>
      <c r="V160" s="45"/>
    </row>
    <row r="161" spans="1:22" ht="20.100000000000001" customHeight="1">
      <c r="A161" s="46"/>
      <c r="B161" s="46"/>
      <c r="C161" s="46"/>
      <c r="D161" s="70"/>
      <c r="E161" s="1597" t="s">
        <v>4288</v>
      </c>
      <c r="F161" s="1565"/>
      <c r="G161" s="1565"/>
      <c r="H161" s="1565"/>
      <c r="I161" s="1565"/>
      <c r="J161" s="1565"/>
      <c r="K161" s="1565"/>
      <c r="L161" s="46"/>
      <c r="M161" s="46"/>
      <c r="N161" s="46"/>
      <c r="O161" s="46"/>
      <c r="P161" s="46"/>
      <c r="Q161" s="46"/>
      <c r="T161" s="44">
        <f>IF(E161&lt;&gt;"",ROW(),"")</f>
        <v>161</v>
      </c>
      <c r="U161" s="45"/>
      <c r="V161" s="45"/>
    </row>
    <row r="162" spans="1:22">
      <c r="A162" s="46"/>
      <c r="B162" s="46"/>
      <c r="C162" s="46"/>
      <c r="D162" s="70"/>
      <c r="E162" s="1454" t="s">
        <v>4289</v>
      </c>
      <c r="F162" s="1464"/>
      <c r="G162" s="1464"/>
      <c r="H162" s="1464"/>
      <c r="I162" s="1464"/>
      <c r="J162" s="1464"/>
      <c r="K162" s="1464"/>
      <c r="L162" s="46"/>
      <c r="M162" s="46"/>
      <c r="N162" s="46"/>
      <c r="O162" s="46"/>
      <c r="P162" s="46"/>
      <c r="Q162" s="46"/>
      <c r="T162" s="44"/>
      <c r="U162" s="44"/>
      <c r="V162" s="45"/>
    </row>
    <row r="163" spans="1:22" ht="20.100000000000001" customHeight="1">
      <c r="A163" s="46"/>
      <c r="B163" s="46"/>
      <c r="C163" s="46"/>
      <c r="D163" s="70"/>
      <c r="E163" s="1565" t="s">
        <v>6000</v>
      </c>
      <c r="F163" s="1565"/>
      <c r="G163" s="1565"/>
      <c r="H163" s="1565"/>
      <c r="I163" s="1565"/>
      <c r="J163" s="1565"/>
      <c r="K163" s="1565"/>
      <c r="L163" s="46"/>
      <c r="M163" s="46"/>
      <c r="N163" s="46"/>
      <c r="O163" s="46"/>
      <c r="P163" s="46"/>
      <c r="Q163" s="46"/>
      <c r="T163" s="44">
        <f t="shared" ref="T163:T172" si="1">IF(E163&lt;&gt;"",ROW(),"")</f>
        <v>163</v>
      </c>
      <c r="U163" s="44"/>
      <c r="V163" s="45"/>
    </row>
    <row r="164" spans="1:22" ht="20.100000000000001" customHeight="1">
      <c r="A164" s="46"/>
      <c r="B164" s="46"/>
      <c r="C164" s="46"/>
      <c r="D164" s="70"/>
      <c r="E164" s="1565" t="s">
        <v>6001</v>
      </c>
      <c r="F164" s="1565"/>
      <c r="G164" s="1565"/>
      <c r="H164" s="1565"/>
      <c r="I164" s="1565"/>
      <c r="J164" s="1565"/>
      <c r="K164" s="1565"/>
      <c r="L164" s="46"/>
      <c r="M164" s="46"/>
      <c r="N164" s="46"/>
      <c r="O164" s="46"/>
      <c r="P164" s="46"/>
      <c r="Q164" s="46"/>
      <c r="T164" s="44">
        <f t="shared" si="1"/>
        <v>164</v>
      </c>
      <c r="U164" s="44"/>
      <c r="V164" s="45"/>
    </row>
    <row r="165" spans="1:22" ht="20.100000000000001" customHeight="1">
      <c r="A165" s="46"/>
      <c r="B165" s="46"/>
      <c r="C165" s="46"/>
      <c r="D165" s="70"/>
      <c r="E165" s="1565" t="s">
        <v>6002</v>
      </c>
      <c r="F165" s="1565"/>
      <c r="G165" s="1565"/>
      <c r="H165" s="1565"/>
      <c r="I165" s="1565"/>
      <c r="J165" s="1565"/>
      <c r="K165" s="1565"/>
      <c r="L165" s="46"/>
      <c r="M165" s="46"/>
      <c r="N165" s="46"/>
      <c r="O165" s="46"/>
      <c r="P165" s="46"/>
      <c r="Q165" s="46"/>
      <c r="T165" s="44">
        <f t="shared" si="1"/>
        <v>165</v>
      </c>
      <c r="U165" s="44"/>
      <c r="V165" s="45"/>
    </row>
    <row r="166" spans="1:22" ht="20.100000000000001" customHeight="1">
      <c r="A166" s="46"/>
      <c r="B166" s="46"/>
      <c r="C166" s="46"/>
      <c r="D166" s="70"/>
      <c r="E166" s="1565" t="s">
        <v>6003</v>
      </c>
      <c r="F166" s="1565"/>
      <c r="G166" s="1565"/>
      <c r="H166" s="1565"/>
      <c r="I166" s="1565"/>
      <c r="J166" s="1565"/>
      <c r="K166" s="1565"/>
      <c r="L166" s="46"/>
      <c r="M166" s="46"/>
      <c r="N166" s="46"/>
      <c r="O166" s="46"/>
      <c r="P166" s="46"/>
      <c r="Q166" s="46"/>
      <c r="T166" s="44">
        <f t="shared" si="1"/>
        <v>166</v>
      </c>
      <c r="U166" s="44"/>
      <c r="V166" s="45"/>
    </row>
    <row r="167" spans="1:22" hidden="1">
      <c r="A167" s="46"/>
      <c r="B167" s="46"/>
      <c r="C167" s="46"/>
      <c r="D167" s="70"/>
      <c r="E167" s="1565"/>
      <c r="F167" s="1565"/>
      <c r="G167" s="1565"/>
      <c r="H167" s="1565"/>
      <c r="I167" s="1565"/>
      <c r="J167" s="1565"/>
      <c r="K167" s="1565"/>
      <c r="L167" s="46"/>
      <c r="M167" s="46"/>
      <c r="N167" s="46"/>
      <c r="O167" s="46"/>
      <c r="P167" s="46"/>
      <c r="Q167" s="46"/>
      <c r="T167" s="44" t="str">
        <f t="shared" si="1"/>
        <v/>
      </c>
      <c r="U167" s="44"/>
      <c r="V167" s="45"/>
    </row>
    <row r="168" spans="1:22" hidden="1">
      <c r="A168" s="46"/>
      <c r="B168" s="46"/>
      <c r="C168" s="46"/>
      <c r="D168" s="70"/>
      <c r="E168" s="1565"/>
      <c r="F168" s="1565"/>
      <c r="G168" s="1565"/>
      <c r="H168" s="1565"/>
      <c r="I168" s="1565"/>
      <c r="J168" s="1565"/>
      <c r="K168" s="1565"/>
      <c r="L168" s="46"/>
      <c r="M168" s="46"/>
      <c r="N168" s="46"/>
      <c r="O168" s="46"/>
      <c r="P168" s="46"/>
      <c r="Q168" s="46"/>
      <c r="T168" s="44" t="str">
        <f t="shared" si="1"/>
        <v/>
      </c>
      <c r="U168" s="44"/>
      <c r="V168" s="45"/>
    </row>
    <row r="169" spans="1:22" hidden="1">
      <c r="A169" s="46"/>
      <c r="B169" s="46"/>
      <c r="C169" s="46"/>
      <c r="D169" s="70"/>
      <c r="E169" s="1565"/>
      <c r="F169" s="1565"/>
      <c r="G169" s="1565"/>
      <c r="H169" s="1565"/>
      <c r="I169" s="1565"/>
      <c r="J169" s="1565"/>
      <c r="K169" s="1565"/>
      <c r="L169" s="46"/>
      <c r="M169" s="46"/>
      <c r="N169" s="46"/>
      <c r="O169" s="46"/>
      <c r="P169" s="46"/>
      <c r="Q169" s="46"/>
      <c r="T169" s="44" t="str">
        <f t="shared" si="1"/>
        <v/>
      </c>
      <c r="U169" s="44"/>
      <c r="V169" s="45"/>
    </row>
    <row r="170" spans="1:22" hidden="1">
      <c r="A170" s="46"/>
      <c r="B170" s="46"/>
      <c r="C170" s="46"/>
      <c r="D170" s="70"/>
      <c r="E170" s="1565"/>
      <c r="F170" s="1565"/>
      <c r="G170" s="1565"/>
      <c r="H170" s="1565"/>
      <c r="I170" s="1565"/>
      <c r="J170" s="1565"/>
      <c r="K170" s="1565"/>
      <c r="L170" s="46"/>
      <c r="M170" s="46"/>
      <c r="N170" s="46"/>
      <c r="O170" s="46"/>
      <c r="P170" s="46"/>
      <c r="Q170" s="46"/>
      <c r="T170" s="44" t="str">
        <f t="shared" si="1"/>
        <v/>
      </c>
      <c r="U170" s="44"/>
      <c r="V170" s="45"/>
    </row>
    <row r="171" spans="1:22" hidden="1">
      <c r="A171" s="46"/>
      <c r="B171" s="46"/>
      <c r="C171" s="46"/>
      <c r="D171" s="70"/>
      <c r="E171" s="1565"/>
      <c r="F171" s="1565"/>
      <c r="G171" s="1565"/>
      <c r="H171" s="1565"/>
      <c r="I171" s="1565"/>
      <c r="J171" s="1565"/>
      <c r="K171" s="1565"/>
      <c r="L171" s="46"/>
      <c r="M171" s="46"/>
      <c r="N171" s="46"/>
      <c r="O171" s="46"/>
      <c r="P171" s="46"/>
      <c r="Q171" s="46"/>
      <c r="T171" s="44" t="str">
        <f t="shared" si="1"/>
        <v/>
      </c>
      <c r="U171" s="44"/>
      <c r="V171" s="45"/>
    </row>
    <row r="172" spans="1:22" hidden="1">
      <c r="A172" s="46"/>
      <c r="B172" s="46"/>
      <c r="C172" s="46"/>
      <c r="D172" s="70"/>
      <c r="E172" s="1565"/>
      <c r="F172" s="1565"/>
      <c r="G172" s="1565"/>
      <c r="H172" s="1565"/>
      <c r="I172" s="1565"/>
      <c r="J172" s="1565"/>
      <c r="K172" s="1565"/>
      <c r="L172" s="46"/>
      <c r="M172" s="46"/>
      <c r="N172" s="46"/>
      <c r="O172" s="46"/>
      <c r="P172" s="46"/>
      <c r="Q172" s="46"/>
      <c r="T172" s="44" t="str">
        <f t="shared" si="1"/>
        <v/>
      </c>
      <c r="U172" s="45"/>
      <c r="V172" s="45"/>
    </row>
    <row r="173" spans="1:22" ht="39" customHeight="1">
      <c r="A173" s="46"/>
      <c r="B173" s="46"/>
      <c r="C173" s="46"/>
      <c r="D173" s="70"/>
      <c r="E173" s="1454" t="s">
        <v>4355</v>
      </c>
      <c r="F173" s="1455"/>
      <c r="G173" s="1455"/>
      <c r="H173" s="1455"/>
      <c r="I173" s="1455"/>
      <c r="J173" s="1455"/>
      <c r="K173" s="1455"/>
      <c r="L173" s="46"/>
      <c r="M173" s="46"/>
      <c r="N173" s="46"/>
      <c r="O173" s="46"/>
      <c r="P173" s="46"/>
      <c r="Q173" s="46"/>
      <c r="T173" s="44"/>
      <c r="U173" s="45"/>
      <c r="V173" s="45"/>
    </row>
    <row r="174" spans="1:22" ht="20.100000000000001" customHeight="1">
      <c r="A174" s="46"/>
      <c r="B174" s="46"/>
      <c r="C174" s="46"/>
      <c r="D174" s="70"/>
      <c r="E174" s="1614" t="s">
        <v>4339</v>
      </c>
      <c r="F174" s="1524"/>
      <c r="G174" s="1524"/>
      <c r="H174" s="1524"/>
      <c r="I174" s="1524"/>
      <c r="J174" s="1524"/>
      <c r="K174" s="1524"/>
      <c r="L174" s="46"/>
      <c r="M174" s="46"/>
      <c r="N174" s="46"/>
      <c r="O174" s="46"/>
      <c r="P174" s="46"/>
      <c r="Q174" s="46"/>
      <c r="T174" s="44">
        <f>IF(E174&lt;&gt;"",ROW(),"")</f>
        <v>174</v>
      </c>
      <c r="U174" s="44"/>
      <c r="V174" s="45"/>
    </row>
    <row r="175" spans="1:22">
      <c r="A175" s="46"/>
      <c r="B175" s="46"/>
      <c r="C175" s="46"/>
      <c r="D175" s="70"/>
      <c r="E175" s="1532" t="s">
        <v>253</v>
      </c>
      <c r="F175" s="1532"/>
      <c r="G175" s="1532"/>
      <c r="H175" s="1532"/>
      <c r="I175" s="1532"/>
      <c r="J175" s="1532"/>
      <c r="K175" s="1532"/>
      <c r="L175" s="46"/>
      <c r="M175" s="46"/>
      <c r="N175" s="46"/>
      <c r="O175" s="46"/>
      <c r="P175" s="46"/>
      <c r="Q175" s="46"/>
      <c r="T175" s="44"/>
      <c r="U175" s="44"/>
      <c r="V175" s="45"/>
    </row>
    <row r="176" spans="1:22" ht="36.75" customHeight="1">
      <c r="A176" s="46"/>
      <c r="B176" s="46"/>
      <c r="C176" s="46"/>
      <c r="D176" s="70"/>
      <c r="E176" s="611" t="s">
        <v>168</v>
      </c>
      <c r="F176" s="612" t="s">
        <v>23</v>
      </c>
      <c r="G176" s="612" t="s">
        <v>3932</v>
      </c>
      <c r="H176" s="612" t="s">
        <v>3909</v>
      </c>
      <c r="I176" s="612" t="s">
        <v>4259</v>
      </c>
      <c r="J176" s="612" t="s">
        <v>4251</v>
      </c>
      <c r="K176" s="613" t="s">
        <v>20</v>
      </c>
      <c r="L176" s="46"/>
      <c r="M176" s="46"/>
      <c r="N176" s="46"/>
      <c r="O176" s="46"/>
      <c r="P176" s="46"/>
      <c r="Q176" s="46"/>
      <c r="T176" s="44"/>
      <c r="U176" s="44"/>
      <c r="V176" s="45"/>
    </row>
    <row r="177" spans="1:22">
      <c r="A177" s="46"/>
      <c r="B177" s="46"/>
      <c r="C177" s="46"/>
      <c r="D177" s="70"/>
      <c r="E177" s="705">
        <v>1</v>
      </c>
      <c r="F177" s="615" t="s">
        <v>4348</v>
      </c>
      <c r="G177" s="614" t="s">
        <v>3663</v>
      </c>
      <c r="H177" s="707">
        <v>12</v>
      </c>
      <c r="I177" s="616" t="s">
        <v>4349</v>
      </c>
      <c r="J177" s="617" t="str">
        <f>IF(E177&lt;&gt;"","Đạt","")</f>
        <v>Đạt</v>
      </c>
      <c r="K177" s="617"/>
      <c r="L177" s="46"/>
      <c r="M177" s="46"/>
      <c r="N177" s="46"/>
      <c r="O177" s="46"/>
      <c r="P177" s="46"/>
      <c r="Q177" s="46"/>
      <c r="T177" s="44"/>
      <c r="U177" s="44"/>
      <c r="V177" s="45"/>
    </row>
    <row r="178" spans="1:22">
      <c r="A178" s="46"/>
      <c r="B178" s="46"/>
      <c r="C178" s="46"/>
      <c r="D178" s="70"/>
      <c r="E178" s="614">
        <v>2</v>
      </c>
      <c r="F178" s="615" t="s">
        <v>4253</v>
      </c>
      <c r="G178" s="614" t="s">
        <v>3483</v>
      </c>
      <c r="H178" s="707">
        <v>50</v>
      </c>
      <c r="I178" s="616" t="s">
        <v>4350</v>
      </c>
      <c r="J178" s="617" t="str">
        <f t="shared" ref="J178:J241" si="2">IF(E178&lt;&gt;"","Đạt","")</f>
        <v>Đạt</v>
      </c>
      <c r="K178" s="617"/>
      <c r="L178" s="46"/>
      <c r="M178" s="46"/>
      <c r="N178" s="46"/>
      <c r="O178" s="46"/>
      <c r="P178" s="46"/>
      <c r="Q178" s="46"/>
      <c r="T178" s="44"/>
      <c r="U178" s="44"/>
      <c r="V178" s="45"/>
    </row>
    <row r="179" spans="1:22">
      <c r="A179" s="46"/>
      <c r="B179" s="46"/>
      <c r="C179" s="46"/>
      <c r="D179" s="70"/>
      <c r="E179" s="614">
        <v>3</v>
      </c>
      <c r="F179" s="615" t="s">
        <v>4254</v>
      </c>
      <c r="G179" s="614" t="s">
        <v>3483</v>
      </c>
      <c r="H179" s="707">
        <v>110</v>
      </c>
      <c r="I179" s="616" t="s">
        <v>6004</v>
      </c>
      <c r="J179" s="617" t="str">
        <f t="shared" si="2"/>
        <v>Đạt</v>
      </c>
      <c r="K179" s="617"/>
      <c r="L179" s="46"/>
      <c r="M179" s="46"/>
      <c r="N179" s="46"/>
      <c r="O179" s="46"/>
      <c r="P179" s="46"/>
      <c r="Q179" s="46"/>
      <c r="T179" s="44"/>
      <c r="U179" s="44"/>
      <c r="V179" s="45"/>
    </row>
    <row r="180" spans="1:22">
      <c r="A180" s="46"/>
      <c r="B180" s="46"/>
      <c r="C180" s="46"/>
      <c r="D180" s="70"/>
      <c r="E180" s="614">
        <v>4</v>
      </c>
      <c r="F180" s="615" t="s">
        <v>4255</v>
      </c>
      <c r="G180" s="614" t="s">
        <v>3486</v>
      </c>
      <c r="H180" s="707">
        <v>35</v>
      </c>
      <c r="I180" s="616" t="s">
        <v>6005</v>
      </c>
      <c r="J180" s="617" t="str">
        <f t="shared" si="2"/>
        <v>Đạt</v>
      </c>
      <c r="K180" s="617"/>
      <c r="L180" s="46"/>
      <c r="M180" s="46"/>
      <c r="N180" s="46"/>
      <c r="O180" s="46"/>
      <c r="P180" s="46"/>
      <c r="Q180" s="46"/>
      <c r="T180" s="44"/>
      <c r="U180" s="44"/>
      <c r="V180" s="45"/>
    </row>
    <row r="181" spans="1:22">
      <c r="A181" s="46"/>
      <c r="B181" s="46"/>
      <c r="C181" s="46"/>
      <c r="D181" s="70"/>
      <c r="E181" s="614">
        <v>5</v>
      </c>
      <c r="F181" s="615" t="s">
        <v>4352</v>
      </c>
      <c r="G181" s="614" t="s">
        <v>4351</v>
      </c>
      <c r="H181" s="707">
        <v>5.9</v>
      </c>
      <c r="I181" s="616" t="s">
        <v>5865</v>
      </c>
      <c r="J181" s="617" t="str">
        <f t="shared" si="2"/>
        <v>Đạt</v>
      </c>
      <c r="K181" s="618"/>
      <c r="L181" s="46"/>
      <c r="M181" s="46"/>
      <c r="N181" s="46"/>
      <c r="O181" s="46"/>
      <c r="P181" s="46"/>
      <c r="Q181" s="46"/>
      <c r="T181" s="44"/>
      <c r="U181" s="44"/>
      <c r="V181" s="45"/>
    </row>
    <row r="182" spans="1:22">
      <c r="A182" s="46"/>
      <c r="B182" s="46"/>
      <c r="C182" s="46"/>
      <c r="D182" s="70"/>
      <c r="E182" s="614">
        <v>6</v>
      </c>
      <c r="F182" s="615" t="s">
        <v>4353</v>
      </c>
      <c r="G182" s="614" t="s">
        <v>3486</v>
      </c>
      <c r="H182" s="707">
        <v>0.9</v>
      </c>
      <c r="I182" s="616" t="s">
        <v>5865</v>
      </c>
      <c r="J182" s="617" t="str">
        <f t="shared" si="2"/>
        <v>Đạt</v>
      </c>
      <c r="K182" s="619"/>
      <c r="L182" s="46"/>
      <c r="M182" s="46"/>
      <c r="N182" s="46"/>
      <c r="O182" s="46"/>
      <c r="P182" s="46"/>
      <c r="Q182" s="46"/>
      <c r="T182" s="44"/>
      <c r="U182" s="44"/>
      <c r="V182" s="45"/>
    </row>
    <row r="183" spans="1:22" hidden="1">
      <c r="A183" s="46"/>
      <c r="B183" s="46"/>
      <c r="C183" s="46"/>
      <c r="D183" s="70"/>
      <c r="E183" s="614"/>
      <c r="F183" s="615"/>
      <c r="G183" s="615"/>
      <c r="H183" s="707"/>
      <c r="I183" s="616"/>
      <c r="J183" s="617" t="str">
        <f t="shared" si="2"/>
        <v/>
      </c>
      <c r="K183" s="619"/>
      <c r="L183" s="46"/>
      <c r="M183" s="46"/>
      <c r="N183" s="46"/>
      <c r="O183" s="46"/>
      <c r="P183" s="46"/>
      <c r="Q183" s="46"/>
      <c r="T183" s="44"/>
      <c r="U183" s="44"/>
      <c r="V183" s="45"/>
    </row>
    <row r="184" spans="1:22" hidden="1">
      <c r="A184" s="46"/>
      <c r="B184" s="46"/>
      <c r="C184" s="46"/>
      <c r="D184" s="70"/>
      <c r="E184" s="614"/>
      <c r="F184" s="615"/>
      <c r="G184" s="615"/>
      <c r="H184" s="707"/>
      <c r="I184" s="616"/>
      <c r="J184" s="617" t="str">
        <f t="shared" si="2"/>
        <v/>
      </c>
      <c r="K184" s="619"/>
      <c r="L184" s="46"/>
      <c r="M184" s="46"/>
      <c r="N184" s="46"/>
      <c r="O184" s="46"/>
      <c r="P184" s="46"/>
      <c r="Q184" s="46"/>
      <c r="T184" s="44"/>
      <c r="U184" s="44"/>
      <c r="V184" s="45"/>
    </row>
    <row r="185" spans="1:22" hidden="1">
      <c r="A185" s="46"/>
      <c r="B185" s="46"/>
      <c r="C185" s="46"/>
      <c r="D185" s="70"/>
      <c r="E185" s="614"/>
      <c r="F185" s="615"/>
      <c r="G185" s="615"/>
      <c r="H185" s="707"/>
      <c r="I185" s="616"/>
      <c r="J185" s="617" t="str">
        <f t="shared" si="2"/>
        <v/>
      </c>
      <c r="K185" s="619"/>
      <c r="L185" s="46"/>
      <c r="M185" s="46"/>
      <c r="N185" s="46"/>
      <c r="O185" s="46"/>
      <c r="P185" s="46"/>
      <c r="Q185" s="46"/>
      <c r="T185" s="44"/>
      <c r="U185" s="44"/>
      <c r="V185" s="45"/>
    </row>
    <row r="186" spans="1:22" hidden="1">
      <c r="A186" s="46"/>
      <c r="B186" s="46"/>
      <c r="C186" s="46"/>
      <c r="D186" s="70"/>
      <c r="E186" s="614"/>
      <c r="F186" s="615"/>
      <c r="G186" s="615"/>
      <c r="H186" s="707"/>
      <c r="I186" s="616"/>
      <c r="J186" s="617" t="str">
        <f t="shared" si="2"/>
        <v/>
      </c>
      <c r="K186" s="619"/>
      <c r="L186" s="46"/>
      <c r="M186" s="46"/>
      <c r="N186" s="46"/>
      <c r="O186" s="46"/>
      <c r="P186" s="46"/>
      <c r="Q186" s="46"/>
      <c r="T186" s="44"/>
      <c r="U186" s="44"/>
      <c r="V186" s="45"/>
    </row>
    <row r="187" spans="1:22" hidden="1">
      <c r="A187" s="46"/>
      <c r="B187" s="46"/>
      <c r="C187" s="46"/>
      <c r="D187" s="70"/>
      <c r="E187" s="614"/>
      <c r="F187" s="615"/>
      <c r="G187" s="615"/>
      <c r="H187" s="707"/>
      <c r="I187" s="616"/>
      <c r="J187" s="617" t="str">
        <f t="shared" si="2"/>
        <v/>
      </c>
      <c r="K187" s="619"/>
      <c r="L187" s="46"/>
      <c r="M187" s="46"/>
      <c r="N187" s="46"/>
      <c r="O187" s="46"/>
      <c r="P187" s="46"/>
      <c r="Q187" s="46"/>
      <c r="T187" s="44"/>
      <c r="U187" s="44"/>
      <c r="V187" s="45"/>
    </row>
    <row r="188" spans="1:22" hidden="1">
      <c r="A188" s="46"/>
      <c r="B188" s="46"/>
      <c r="C188" s="46"/>
      <c r="D188" s="70"/>
      <c r="E188" s="614"/>
      <c r="F188" s="615"/>
      <c r="G188" s="615"/>
      <c r="H188" s="707"/>
      <c r="I188" s="616"/>
      <c r="J188" s="617" t="str">
        <f t="shared" si="2"/>
        <v/>
      </c>
      <c r="K188" s="619"/>
      <c r="L188" s="46"/>
      <c r="M188" s="46"/>
      <c r="N188" s="46"/>
      <c r="O188" s="46"/>
      <c r="P188" s="46"/>
      <c r="Q188" s="46"/>
      <c r="T188" s="44"/>
      <c r="U188" s="44"/>
      <c r="V188" s="45"/>
    </row>
    <row r="189" spans="1:22" hidden="1">
      <c r="A189" s="46"/>
      <c r="B189" s="46"/>
      <c r="C189" s="46"/>
      <c r="D189" s="70"/>
      <c r="E189" s="614"/>
      <c r="F189" s="615"/>
      <c r="G189" s="615"/>
      <c r="H189" s="707"/>
      <c r="I189" s="616"/>
      <c r="J189" s="617" t="str">
        <f t="shared" si="2"/>
        <v/>
      </c>
      <c r="K189" s="619"/>
      <c r="L189" s="46"/>
      <c r="M189" s="46"/>
      <c r="N189" s="46"/>
      <c r="O189" s="46"/>
      <c r="P189" s="46"/>
      <c r="Q189" s="46"/>
      <c r="T189" s="44"/>
      <c r="U189" s="44"/>
      <c r="V189" s="45"/>
    </row>
    <row r="190" spans="1:22" hidden="1">
      <c r="A190" s="46"/>
      <c r="B190" s="46"/>
      <c r="C190" s="46"/>
      <c r="D190" s="70"/>
      <c r="E190" s="614"/>
      <c r="F190" s="615"/>
      <c r="G190" s="615"/>
      <c r="H190" s="707"/>
      <c r="I190" s="616"/>
      <c r="J190" s="617" t="str">
        <f t="shared" si="2"/>
        <v/>
      </c>
      <c r="K190" s="619"/>
      <c r="L190" s="46"/>
      <c r="M190" s="46"/>
      <c r="N190" s="46"/>
      <c r="O190" s="46"/>
      <c r="P190" s="46"/>
      <c r="Q190" s="46"/>
      <c r="T190" s="44"/>
      <c r="U190" s="44"/>
      <c r="V190" s="45"/>
    </row>
    <row r="191" spans="1:22" hidden="1">
      <c r="A191" s="46"/>
      <c r="B191" s="46"/>
      <c r="C191" s="46"/>
      <c r="D191" s="70"/>
      <c r="E191" s="614"/>
      <c r="F191" s="615"/>
      <c r="G191" s="615"/>
      <c r="H191" s="707"/>
      <c r="I191" s="616"/>
      <c r="J191" s="617" t="str">
        <f t="shared" si="2"/>
        <v/>
      </c>
      <c r="K191" s="619"/>
      <c r="L191" s="46"/>
      <c r="M191" s="46"/>
      <c r="N191" s="46"/>
      <c r="O191" s="46"/>
      <c r="P191" s="46"/>
      <c r="Q191" s="46"/>
      <c r="T191" s="44"/>
      <c r="U191" s="44"/>
      <c r="V191" s="45"/>
    </row>
    <row r="192" spans="1:22" hidden="1">
      <c r="A192" s="46"/>
      <c r="B192" s="46"/>
      <c r="C192" s="46"/>
      <c r="D192" s="70"/>
      <c r="E192" s="614"/>
      <c r="F192" s="615"/>
      <c r="G192" s="615"/>
      <c r="H192" s="707"/>
      <c r="I192" s="616"/>
      <c r="J192" s="617" t="str">
        <f t="shared" si="2"/>
        <v/>
      </c>
      <c r="K192" s="619"/>
      <c r="L192" s="46"/>
      <c r="M192" s="46"/>
      <c r="N192" s="46"/>
      <c r="O192" s="46"/>
      <c r="P192" s="46"/>
      <c r="Q192" s="46"/>
      <c r="T192" s="44"/>
      <c r="U192" s="44"/>
      <c r="V192" s="45"/>
    </row>
    <row r="193" spans="1:22" hidden="1">
      <c r="A193" s="46"/>
      <c r="B193" s="46"/>
      <c r="C193" s="46"/>
      <c r="D193" s="70"/>
      <c r="E193" s="614"/>
      <c r="F193" s="615"/>
      <c r="G193" s="615"/>
      <c r="H193" s="707"/>
      <c r="I193" s="616"/>
      <c r="J193" s="617" t="str">
        <f t="shared" si="2"/>
        <v/>
      </c>
      <c r="K193" s="619"/>
      <c r="L193" s="46"/>
      <c r="M193" s="46"/>
      <c r="N193" s="46"/>
      <c r="O193" s="46"/>
      <c r="P193" s="46"/>
      <c r="Q193" s="46"/>
      <c r="T193" s="44"/>
      <c r="U193" s="44"/>
      <c r="V193" s="45"/>
    </row>
    <row r="194" spans="1:22" hidden="1">
      <c r="A194" s="46"/>
      <c r="B194" s="46"/>
      <c r="C194" s="46"/>
      <c r="D194" s="70"/>
      <c r="E194" s="614"/>
      <c r="F194" s="615"/>
      <c r="G194" s="615"/>
      <c r="H194" s="707"/>
      <c r="I194" s="616"/>
      <c r="J194" s="617" t="str">
        <f t="shared" si="2"/>
        <v/>
      </c>
      <c r="K194" s="619"/>
      <c r="L194" s="46"/>
      <c r="M194" s="46"/>
      <c r="N194" s="46"/>
      <c r="O194" s="46"/>
      <c r="P194" s="46"/>
      <c r="Q194" s="46"/>
      <c r="T194" s="44"/>
      <c r="U194" s="44"/>
      <c r="V194" s="45"/>
    </row>
    <row r="195" spans="1:22" hidden="1">
      <c r="A195" s="46"/>
      <c r="B195" s="46"/>
      <c r="C195" s="46"/>
      <c r="D195" s="70"/>
      <c r="E195" s="614"/>
      <c r="F195" s="615"/>
      <c r="G195" s="615"/>
      <c r="H195" s="707"/>
      <c r="I195" s="616"/>
      <c r="J195" s="617" t="str">
        <f t="shared" si="2"/>
        <v/>
      </c>
      <c r="K195" s="619"/>
      <c r="L195" s="46"/>
      <c r="M195" s="46"/>
      <c r="N195" s="46"/>
      <c r="O195" s="46"/>
      <c r="P195" s="46"/>
      <c r="Q195" s="46"/>
      <c r="T195" s="44"/>
      <c r="U195" s="44"/>
      <c r="V195" s="45"/>
    </row>
    <row r="196" spans="1:22" hidden="1">
      <c r="A196" s="46"/>
      <c r="B196" s="46"/>
      <c r="C196" s="46"/>
      <c r="D196" s="70"/>
      <c r="E196" s="614"/>
      <c r="F196" s="615"/>
      <c r="G196" s="615"/>
      <c r="H196" s="707"/>
      <c r="I196" s="616"/>
      <c r="J196" s="617" t="str">
        <f t="shared" si="2"/>
        <v/>
      </c>
      <c r="K196" s="619"/>
      <c r="L196" s="46"/>
      <c r="M196" s="46"/>
      <c r="N196" s="46"/>
      <c r="O196" s="46"/>
      <c r="P196" s="46"/>
      <c r="Q196" s="46"/>
      <c r="T196" s="44"/>
      <c r="U196" s="44"/>
      <c r="V196" s="45"/>
    </row>
    <row r="197" spans="1:22" hidden="1">
      <c r="A197" s="46"/>
      <c r="B197" s="46"/>
      <c r="C197" s="46"/>
      <c r="D197" s="70"/>
      <c r="E197" s="614"/>
      <c r="F197" s="615"/>
      <c r="G197" s="615"/>
      <c r="H197" s="707"/>
      <c r="I197" s="616"/>
      <c r="J197" s="617" t="str">
        <f t="shared" si="2"/>
        <v/>
      </c>
      <c r="K197" s="619"/>
      <c r="L197" s="46"/>
      <c r="M197" s="46"/>
      <c r="N197" s="46"/>
      <c r="O197" s="46"/>
      <c r="P197" s="46"/>
      <c r="Q197" s="46"/>
      <c r="T197" s="44"/>
      <c r="U197" s="44"/>
      <c r="V197" s="45"/>
    </row>
    <row r="198" spans="1:22" hidden="1">
      <c r="A198" s="46"/>
      <c r="B198" s="46"/>
      <c r="C198" s="46"/>
      <c r="D198" s="70"/>
      <c r="E198" s="614"/>
      <c r="F198" s="615"/>
      <c r="G198" s="615"/>
      <c r="H198" s="707"/>
      <c r="I198" s="616"/>
      <c r="J198" s="617" t="str">
        <f t="shared" si="2"/>
        <v/>
      </c>
      <c r="K198" s="619"/>
      <c r="L198" s="46"/>
      <c r="M198" s="46"/>
      <c r="N198" s="46"/>
      <c r="O198" s="46"/>
      <c r="P198" s="46"/>
      <c r="Q198" s="46"/>
      <c r="T198" s="44"/>
      <c r="U198" s="44"/>
      <c r="V198" s="45"/>
    </row>
    <row r="199" spans="1:22" hidden="1">
      <c r="A199" s="46"/>
      <c r="B199" s="46"/>
      <c r="C199" s="46"/>
      <c r="D199" s="70"/>
      <c r="E199" s="614"/>
      <c r="F199" s="615"/>
      <c r="G199" s="615"/>
      <c r="H199" s="707"/>
      <c r="I199" s="616"/>
      <c r="J199" s="617" t="str">
        <f t="shared" si="2"/>
        <v/>
      </c>
      <c r="K199" s="619"/>
      <c r="L199" s="46"/>
      <c r="M199" s="46"/>
      <c r="N199" s="46"/>
      <c r="O199" s="46"/>
      <c r="P199" s="46"/>
      <c r="Q199" s="46"/>
      <c r="T199" s="44"/>
      <c r="U199" s="44"/>
      <c r="V199" s="45"/>
    </row>
    <row r="200" spans="1:22" hidden="1">
      <c r="A200" s="46"/>
      <c r="B200" s="46"/>
      <c r="C200" s="46"/>
      <c r="D200" s="70"/>
      <c r="E200" s="614"/>
      <c r="F200" s="615"/>
      <c r="G200" s="615"/>
      <c r="H200" s="707"/>
      <c r="I200" s="616"/>
      <c r="J200" s="617" t="str">
        <f t="shared" si="2"/>
        <v/>
      </c>
      <c r="K200" s="619"/>
      <c r="L200" s="46"/>
      <c r="M200" s="46"/>
      <c r="N200" s="46"/>
      <c r="O200" s="46"/>
      <c r="P200" s="46"/>
      <c r="Q200" s="46"/>
      <c r="T200" s="44"/>
      <c r="U200" s="44"/>
      <c r="V200" s="45"/>
    </row>
    <row r="201" spans="1:22" hidden="1">
      <c r="A201" s="46"/>
      <c r="B201" s="46"/>
      <c r="C201" s="46"/>
      <c r="D201" s="70"/>
      <c r="E201" s="614"/>
      <c r="F201" s="615"/>
      <c r="G201" s="615"/>
      <c r="H201" s="707"/>
      <c r="I201" s="616"/>
      <c r="J201" s="617" t="str">
        <f t="shared" si="2"/>
        <v/>
      </c>
      <c r="K201" s="619"/>
      <c r="L201" s="46"/>
      <c r="M201" s="46"/>
      <c r="N201" s="46"/>
      <c r="O201" s="46"/>
      <c r="P201" s="46"/>
      <c r="Q201" s="46"/>
      <c r="T201" s="44"/>
      <c r="U201" s="44"/>
      <c r="V201" s="45"/>
    </row>
    <row r="202" spans="1:22" hidden="1">
      <c r="A202" s="46"/>
      <c r="B202" s="46"/>
      <c r="C202" s="46"/>
      <c r="D202" s="70"/>
      <c r="E202" s="614"/>
      <c r="F202" s="615"/>
      <c r="G202" s="615"/>
      <c r="H202" s="707"/>
      <c r="I202" s="616"/>
      <c r="J202" s="617" t="str">
        <f t="shared" si="2"/>
        <v/>
      </c>
      <c r="K202" s="619"/>
      <c r="L202" s="46"/>
      <c r="M202" s="46"/>
      <c r="N202" s="46"/>
      <c r="O202" s="46"/>
      <c r="P202" s="46"/>
      <c r="Q202" s="46"/>
      <c r="T202" s="44"/>
      <c r="U202" s="44"/>
      <c r="V202" s="45"/>
    </row>
    <row r="203" spans="1:22" hidden="1">
      <c r="A203" s="46"/>
      <c r="B203" s="46"/>
      <c r="C203" s="46"/>
      <c r="D203" s="70"/>
      <c r="E203" s="614"/>
      <c r="F203" s="615"/>
      <c r="G203" s="615"/>
      <c r="H203" s="707"/>
      <c r="I203" s="616"/>
      <c r="J203" s="617" t="str">
        <f t="shared" si="2"/>
        <v/>
      </c>
      <c r="K203" s="619"/>
      <c r="L203" s="46"/>
      <c r="M203" s="46"/>
      <c r="N203" s="46"/>
      <c r="O203" s="46"/>
      <c r="P203" s="46"/>
      <c r="Q203" s="46"/>
      <c r="T203" s="44"/>
      <c r="U203" s="44"/>
      <c r="V203" s="45"/>
    </row>
    <row r="204" spans="1:22" hidden="1">
      <c r="A204" s="46"/>
      <c r="B204" s="46"/>
      <c r="C204" s="46"/>
      <c r="D204" s="70"/>
      <c r="E204" s="614"/>
      <c r="F204" s="615"/>
      <c r="G204" s="615"/>
      <c r="H204" s="707"/>
      <c r="I204" s="616"/>
      <c r="J204" s="617" t="str">
        <f t="shared" si="2"/>
        <v/>
      </c>
      <c r="K204" s="619"/>
      <c r="L204" s="46"/>
      <c r="M204" s="46"/>
      <c r="N204" s="46"/>
      <c r="O204" s="46"/>
      <c r="P204" s="46"/>
      <c r="Q204" s="46"/>
      <c r="T204" s="44"/>
      <c r="U204" s="44"/>
      <c r="V204" s="45"/>
    </row>
    <row r="205" spans="1:22" hidden="1">
      <c r="A205" s="46"/>
      <c r="B205" s="46"/>
      <c r="C205" s="46"/>
      <c r="D205" s="70"/>
      <c r="E205" s="614"/>
      <c r="F205" s="615"/>
      <c r="G205" s="615"/>
      <c r="H205" s="707"/>
      <c r="I205" s="616"/>
      <c r="J205" s="617" t="str">
        <f t="shared" si="2"/>
        <v/>
      </c>
      <c r="K205" s="619"/>
      <c r="L205" s="46"/>
      <c r="M205" s="46"/>
      <c r="N205" s="46"/>
      <c r="O205" s="46"/>
      <c r="P205" s="46"/>
      <c r="Q205" s="46"/>
      <c r="T205" s="44"/>
      <c r="U205" s="44"/>
      <c r="V205" s="45"/>
    </row>
    <row r="206" spans="1:22" hidden="1">
      <c r="A206" s="46"/>
      <c r="B206" s="46"/>
      <c r="C206" s="46"/>
      <c r="D206" s="70"/>
      <c r="E206" s="614"/>
      <c r="F206" s="615"/>
      <c r="G206" s="615"/>
      <c r="H206" s="707"/>
      <c r="I206" s="616"/>
      <c r="J206" s="617" t="str">
        <f t="shared" si="2"/>
        <v/>
      </c>
      <c r="K206" s="619"/>
      <c r="L206" s="46"/>
      <c r="M206" s="46"/>
      <c r="N206" s="46"/>
      <c r="O206" s="46"/>
      <c r="P206" s="46"/>
      <c r="Q206" s="46"/>
      <c r="T206" s="44"/>
      <c r="U206" s="44"/>
      <c r="V206" s="45"/>
    </row>
    <row r="207" spans="1:22" hidden="1">
      <c r="A207" s="46"/>
      <c r="B207" s="46"/>
      <c r="C207" s="46"/>
      <c r="D207" s="70"/>
      <c r="E207" s="614"/>
      <c r="F207" s="615"/>
      <c r="G207" s="615"/>
      <c r="H207" s="707"/>
      <c r="I207" s="616"/>
      <c r="J207" s="617" t="str">
        <f t="shared" si="2"/>
        <v/>
      </c>
      <c r="K207" s="619"/>
      <c r="L207" s="46"/>
      <c r="M207" s="46"/>
      <c r="N207" s="46"/>
      <c r="O207" s="46"/>
      <c r="P207" s="46"/>
      <c r="Q207" s="46"/>
      <c r="T207" s="44"/>
      <c r="U207" s="44"/>
      <c r="V207" s="45"/>
    </row>
    <row r="208" spans="1:22" hidden="1">
      <c r="A208" s="46"/>
      <c r="B208" s="46"/>
      <c r="C208" s="46"/>
      <c r="D208" s="70"/>
      <c r="E208" s="614"/>
      <c r="F208" s="615"/>
      <c r="G208" s="615"/>
      <c r="H208" s="707"/>
      <c r="I208" s="616"/>
      <c r="J208" s="617" t="str">
        <f t="shared" si="2"/>
        <v/>
      </c>
      <c r="K208" s="619"/>
      <c r="L208" s="46"/>
      <c r="M208" s="46"/>
      <c r="N208" s="46"/>
      <c r="O208" s="46"/>
      <c r="P208" s="46"/>
      <c r="Q208" s="46"/>
      <c r="T208" s="44"/>
      <c r="U208" s="44"/>
      <c r="V208" s="45"/>
    </row>
    <row r="209" spans="1:22" hidden="1">
      <c r="A209" s="46"/>
      <c r="B209" s="46"/>
      <c r="C209" s="46"/>
      <c r="D209" s="70"/>
      <c r="E209" s="614"/>
      <c r="F209" s="615"/>
      <c r="G209" s="615"/>
      <c r="H209" s="707"/>
      <c r="I209" s="616"/>
      <c r="J209" s="617" t="str">
        <f t="shared" si="2"/>
        <v/>
      </c>
      <c r="K209" s="619"/>
      <c r="L209" s="46"/>
      <c r="M209" s="46"/>
      <c r="N209" s="46"/>
      <c r="O209" s="46"/>
      <c r="P209" s="46"/>
      <c r="Q209" s="46"/>
      <c r="T209" s="44"/>
      <c r="U209" s="44"/>
      <c r="V209" s="45"/>
    </row>
    <row r="210" spans="1:22" hidden="1">
      <c r="A210" s="46"/>
      <c r="B210" s="46"/>
      <c r="C210" s="46"/>
      <c r="D210" s="70"/>
      <c r="E210" s="614"/>
      <c r="F210" s="615"/>
      <c r="G210" s="615"/>
      <c r="H210" s="707"/>
      <c r="I210" s="616"/>
      <c r="J210" s="617" t="str">
        <f t="shared" si="2"/>
        <v/>
      </c>
      <c r="K210" s="619"/>
      <c r="L210" s="46"/>
      <c r="M210" s="46"/>
      <c r="N210" s="46"/>
      <c r="O210" s="46"/>
      <c r="P210" s="46"/>
      <c r="Q210" s="46"/>
      <c r="T210" s="44"/>
      <c r="U210" s="44"/>
      <c r="V210" s="45"/>
    </row>
    <row r="211" spans="1:22" hidden="1">
      <c r="A211" s="46"/>
      <c r="B211" s="46"/>
      <c r="C211" s="46"/>
      <c r="D211" s="70"/>
      <c r="E211" s="614"/>
      <c r="F211" s="615"/>
      <c r="G211" s="615"/>
      <c r="H211" s="707"/>
      <c r="I211" s="616"/>
      <c r="J211" s="617" t="str">
        <f t="shared" si="2"/>
        <v/>
      </c>
      <c r="K211" s="619"/>
      <c r="L211" s="46"/>
      <c r="M211" s="46"/>
      <c r="N211" s="46"/>
      <c r="O211" s="46"/>
      <c r="P211" s="46"/>
      <c r="Q211" s="46"/>
      <c r="T211" s="44"/>
      <c r="U211" s="44"/>
      <c r="V211" s="45"/>
    </row>
    <row r="212" spans="1:22" hidden="1">
      <c r="A212" s="46"/>
      <c r="B212" s="46"/>
      <c r="C212" s="46"/>
      <c r="D212" s="70"/>
      <c r="E212" s="614"/>
      <c r="F212" s="615"/>
      <c r="G212" s="615"/>
      <c r="H212" s="707"/>
      <c r="I212" s="616"/>
      <c r="J212" s="617" t="str">
        <f t="shared" si="2"/>
        <v/>
      </c>
      <c r="K212" s="619"/>
      <c r="L212" s="46"/>
      <c r="M212" s="46"/>
      <c r="N212" s="46"/>
      <c r="O212" s="46"/>
      <c r="P212" s="46"/>
      <c r="Q212" s="46"/>
      <c r="T212" s="44"/>
      <c r="U212" s="44"/>
      <c r="V212" s="45"/>
    </row>
    <row r="213" spans="1:22" hidden="1">
      <c r="A213" s="46"/>
      <c r="B213" s="46"/>
      <c r="C213" s="46"/>
      <c r="D213" s="70"/>
      <c r="E213" s="614"/>
      <c r="F213" s="615"/>
      <c r="G213" s="615"/>
      <c r="H213" s="707"/>
      <c r="I213" s="616"/>
      <c r="J213" s="617" t="str">
        <f t="shared" si="2"/>
        <v/>
      </c>
      <c r="K213" s="619"/>
      <c r="L213" s="46"/>
      <c r="M213" s="46"/>
      <c r="N213" s="46"/>
      <c r="O213" s="46"/>
      <c r="P213" s="46"/>
      <c r="Q213" s="46"/>
      <c r="T213" s="44"/>
      <c r="U213" s="44"/>
      <c r="V213" s="45"/>
    </row>
    <row r="214" spans="1:22" hidden="1">
      <c r="A214" s="46"/>
      <c r="B214" s="46"/>
      <c r="C214" s="46"/>
      <c r="D214" s="70"/>
      <c r="E214" s="614"/>
      <c r="F214" s="615"/>
      <c r="G214" s="615"/>
      <c r="H214" s="707"/>
      <c r="I214" s="616"/>
      <c r="J214" s="617" t="str">
        <f t="shared" si="2"/>
        <v/>
      </c>
      <c r="K214" s="619"/>
      <c r="L214" s="46"/>
      <c r="M214" s="46"/>
      <c r="N214" s="46"/>
      <c r="O214" s="46"/>
      <c r="P214" s="46"/>
      <c r="Q214" s="46"/>
      <c r="T214" s="44"/>
      <c r="U214" s="44"/>
      <c r="V214" s="45"/>
    </row>
    <row r="215" spans="1:22" hidden="1">
      <c r="A215" s="46"/>
      <c r="B215" s="46"/>
      <c r="C215" s="46"/>
      <c r="D215" s="70"/>
      <c r="E215" s="614"/>
      <c r="F215" s="615"/>
      <c r="G215" s="615"/>
      <c r="H215" s="707"/>
      <c r="I215" s="616"/>
      <c r="J215" s="617" t="str">
        <f t="shared" si="2"/>
        <v/>
      </c>
      <c r="K215" s="619"/>
      <c r="L215" s="46"/>
      <c r="M215" s="46"/>
      <c r="N215" s="46"/>
      <c r="O215" s="46"/>
      <c r="P215" s="46"/>
      <c r="Q215" s="46"/>
      <c r="T215" s="44"/>
      <c r="U215" s="44"/>
      <c r="V215" s="45"/>
    </row>
    <row r="216" spans="1:22" hidden="1">
      <c r="A216" s="46"/>
      <c r="B216" s="46"/>
      <c r="C216" s="46"/>
      <c r="D216" s="70"/>
      <c r="E216" s="614"/>
      <c r="F216" s="615"/>
      <c r="G216" s="615"/>
      <c r="H216" s="707"/>
      <c r="I216" s="616"/>
      <c r="J216" s="617" t="str">
        <f t="shared" si="2"/>
        <v/>
      </c>
      <c r="K216" s="619"/>
      <c r="L216" s="46"/>
      <c r="M216" s="46"/>
      <c r="N216" s="46"/>
      <c r="O216" s="46"/>
      <c r="P216" s="46"/>
      <c r="Q216" s="46"/>
      <c r="T216" s="44"/>
      <c r="U216" s="44"/>
      <c r="V216" s="45"/>
    </row>
    <row r="217" spans="1:22" hidden="1">
      <c r="A217" s="46"/>
      <c r="B217" s="46"/>
      <c r="C217" s="46"/>
      <c r="D217" s="70"/>
      <c r="E217" s="614"/>
      <c r="F217" s="615"/>
      <c r="G217" s="615"/>
      <c r="H217" s="707"/>
      <c r="I217" s="616"/>
      <c r="J217" s="617" t="str">
        <f t="shared" si="2"/>
        <v/>
      </c>
      <c r="K217" s="619"/>
      <c r="L217" s="46"/>
      <c r="M217" s="46"/>
      <c r="N217" s="46"/>
      <c r="O217" s="46"/>
      <c r="P217" s="46"/>
      <c r="Q217" s="46"/>
      <c r="T217" s="44"/>
      <c r="U217" s="44"/>
      <c r="V217" s="45"/>
    </row>
    <row r="218" spans="1:22" hidden="1">
      <c r="A218" s="46"/>
      <c r="B218" s="46"/>
      <c r="C218" s="46"/>
      <c r="D218" s="70"/>
      <c r="E218" s="614"/>
      <c r="F218" s="615"/>
      <c r="G218" s="615"/>
      <c r="H218" s="707"/>
      <c r="I218" s="616"/>
      <c r="J218" s="617" t="str">
        <f t="shared" si="2"/>
        <v/>
      </c>
      <c r="K218" s="619"/>
      <c r="L218" s="46"/>
      <c r="M218" s="46"/>
      <c r="N218" s="46"/>
      <c r="O218" s="46"/>
      <c r="P218" s="46"/>
      <c r="Q218" s="46"/>
      <c r="T218" s="44"/>
      <c r="U218" s="44"/>
      <c r="V218" s="45"/>
    </row>
    <row r="219" spans="1:22" hidden="1">
      <c r="A219" s="46"/>
      <c r="B219" s="46"/>
      <c r="C219" s="46"/>
      <c r="D219" s="70"/>
      <c r="E219" s="614"/>
      <c r="F219" s="615"/>
      <c r="G219" s="615"/>
      <c r="H219" s="707"/>
      <c r="I219" s="616"/>
      <c r="J219" s="617" t="str">
        <f t="shared" si="2"/>
        <v/>
      </c>
      <c r="K219" s="619"/>
      <c r="L219" s="46"/>
      <c r="M219" s="46"/>
      <c r="N219" s="46"/>
      <c r="O219" s="46"/>
      <c r="P219" s="46"/>
      <c r="Q219" s="46"/>
      <c r="T219" s="44"/>
      <c r="U219" s="44"/>
      <c r="V219" s="45"/>
    </row>
    <row r="220" spans="1:22" hidden="1">
      <c r="A220" s="46"/>
      <c r="B220" s="46"/>
      <c r="C220" s="46"/>
      <c r="D220" s="70"/>
      <c r="E220" s="614"/>
      <c r="F220" s="615"/>
      <c r="G220" s="615"/>
      <c r="H220" s="707"/>
      <c r="I220" s="616"/>
      <c r="J220" s="617" t="str">
        <f t="shared" si="2"/>
        <v/>
      </c>
      <c r="K220" s="619"/>
      <c r="L220" s="46"/>
      <c r="M220" s="46"/>
      <c r="N220" s="46"/>
      <c r="O220" s="46"/>
      <c r="P220" s="46"/>
      <c r="Q220" s="46"/>
      <c r="T220" s="44"/>
      <c r="U220" s="44"/>
      <c r="V220" s="45"/>
    </row>
    <row r="221" spans="1:22" hidden="1">
      <c r="A221" s="46"/>
      <c r="B221" s="46"/>
      <c r="C221" s="46"/>
      <c r="D221" s="70"/>
      <c r="E221" s="614"/>
      <c r="F221" s="615"/>
      <c r="G221" s="615"/>
      <c r="H221" s="707"/>
      <c r="I221" s="616"/>
      <c r="J221" s="617" t="str">
        <f t="shared" si="2"/>
        <v/>
      </c>
      <c r="K221" s="619"/>
      <c r="L221" s="46"/>
      <c r="M221" s="46"/>
      <c r="N221" s="46"/>
      <c r="O221" s="46"/>
      <c r="P221" s="46"/>
      <c r="Q221" s="46"/>
      <c r="T221" s="44"/>
      <c r="U221" s="44"/>
      <c r="V221" s="45"/>
    </row>
    <row r="222" spans="1:22" hidden="1">
      <c r="A222" s="46"/>
      <c r="B222" s="46"/>
      <c r="C222" s="46"/>
      <c r="D222" s="70"/>
      <c r="E222" s="614"/>
      <c r="F222" s="615"/>
      <c r="G222" s="615"/>
      <c r="H222" s="707"/>
      <c r="I222" s="616"/>
      <c r="J222" s="617" t="str">
        <f t="shared" si="2"/>
        <v/>
      </c>
      <c r="K222" s="619"/>
      <c r="L222" s="46"/>
      <c r="M222" s="46"/>
      <c r="N222" s="46"/>
      <c r="O222" s="46"/>
      <c r="P222" s="46"/>
      <c r="Q222" s="46"/>
      <c r="T222" s="44"/>
      <c r="U222" s="44"/>
      <c r="V222" s="45"/>
    </row>
    <row r="223" spans="1:22" hidden="1">
      <c r="A223" s="46"/>
      <c r="B223" s="46"/>
      <c r="C223" s="46"/>
      <c r="D223" s="70"/>
      <c r="E223" s="614"/>
      <c r="F223" s="615"/>
      <c r="G223" s="615"/>
      <c r="H223" s="707"/>
      <c r="I223" s="616"/>
      <c r="J223" s="617" t="str">
        <f t="shared" si="2"/>
        <v/>
      </c>
      <c r="K223" s="619"/>
      <c r="L223" s="46"/>
      <c r="M223" s="46"/>
      <c r="N223" s="46"/>
      <c r="O223" s="46"/>
      <c r="P223" s="46"/>
      <c r="Q223" s="46"/>
      <c r="T223" s="44"/>
      <c r="U223" s="44"/>
      <c r="V223" s="45"/>
    </row>
    <row r="224" spans="1:22" hidden="1">
      <c r="A224" s="46"/>
      <c r="B224" s="46"/>
      <c r="C224" s="46"/>
      <c r="D224" s="70"/>
      <c r="E224" s="614"/>
      <c r="F224" s="615"/>
      <c r="G224" s="615"/>
      <c r="H224" s="707"/>
      <c r="I224" s="616"/>
      <c r="J224" s="617" t="str">
        <f t="shared" si="2"/>
        <v/>
      </c>
      <c r="K224" s="619"/>
      <c r="L224" s="46"/>
      <c r="M224" s="46"/>
      <c r="N224" s="46"/>
      <c r="O224" s="46"/>
      <c r="P224" s="46"/>
      <c r="Q224" s="46"/>
      <c r="T224" s="44"/>
      <c r="U224" s="44"/>
      <c r="V224" s="45"/>
    </row>
    <row r="225" spans="1:22" hidden="1">
      <c r="A225" s="46"/>
      <c r="B225" s="46"/>
      <c r="C225" s="46"/>
      <c r="D225" s="70"/>
      <c r="E225" s="614"/>
      <c r="F225" s="615"/>
      <c r="G225" s="615"/>
      <c r="H225" s="707"/>
      <c r="I225" s="616"/>
      <c r="J225" s="617" t="str">
        <f t="shared" si="2"/>
        <v/>
      </c>
      <c r="K225" s="619"/>
      <c r="L225" s="46"/>
      <c r="M225" s="46"/>
      <c r="N225" s="46"/>
      <c r="O225" s="46"/>
      <c r="P225" s="46"/>
      <c r="Q225" s="46"/>
      <c r="T225" s="44"/>
      <c r="U225" s="44"/>
      <c r="V225" s="45"/>
    </row>
    <row r="226" spans="1:22" hidden="1">
      <c r="A226" s="46"/>
      <c r="B226" s="46"/>
      <c r="C226" s="46"/>
      <c r="D226" s="70"/>
      <c r="E226" s="614"/>
      <c r="F226" s="615"/>
      <c r="G226" s="615"/>
      <c r="H226" s="707"/>
      <c r="I226" s="616"/>
      <c r="J226" s="617" t="str">
        <f t="shared" si="2"/>
        <v/>
      </c>
      <c r="K226" s="619"/>
      <c r="L226" s="46"/>
      <c r="M226" s="46"/>
      <c r="N226" s="46"/>
      <c r="O226" s="46"/>
      <c r="P226" s="46"/>
      <c r="Q226" s="46"/>
      <c r="T226" s="44"/>
      <c r="U226" s="44"/>
      <c r="V226" s="45"/>
    </row>
    <row r="227" spans="1:22" hidden="1">
      <c r="A227" s="46"/>
      <c r="B227" s="46"/>
      <c r="C227" s="46"/>
      <c r="D227" s="70"/>
      <c r="E227" s="614"/>
      <c r="F227" s="615"/>
      <c r="G227" s="615"/>
      <c r="H227" s="707"/>
      <c r="I227" s="616"/>
      <c r="J227" s="617" t="str">
        <f t="shared" si="2"/>
        <v/>
      </c>
      <c r="K227" s="619"/>
      <c r="L227" s="46"/>
      <c r="M227" s="46"/>
      <c r="N227" s="46"/>
      <c r="O227" s="46"/>
      <c r="P227" s="46"/>
      <c r="Q227" s="46"/>
      <c r="T227" s="44"/>
      <c r="U227" s="44"/>
      <c r="V227" s="45"/>
    </row>
    <row r="228" spans="1:22" hidden="1">
      <c r="A228" s="46"/>
      <c r="B228" s="46"/>
      <c r="C228" s="46"/>
      <c r="D228" s="70"/>
      <c r="E228" s="614"/>
      <c r="F228" s="615"/>
      <c r="G228" s="615"/>
      <c r="H228" s="707"/>
      <c r="I228" s="616"/>
      <c r="J228" s="617" t="str">
        <f t="shared" si="2"/>
        <v/>
      </c>
      <c r="K228" s="619"/>
      <c r="L228" s="46"/>
      <c r="M228" s="46"/>
      <c r="N228" s="46"/>
      <c r="O228" s="46"/>
      <c r="P228" s="46"/>
      <c r="Q228" s="46"/>
      <c r="T228" s="44"/>
      <c r="U228" s="44"/>
      <c r="V228" s="45"/>
    </row>
    <row r="229" spans="1:22" hidden="1">
      <c r="A229" s="46"/>
      <c r="B229" s="46"/>
      <c r="C229" s="46"/>
      <c r="D229" s="70"/>
      <c r="E229" s="614"/>
      <c r="F229" s="615"/>
      <c r="G229" s="615"/>
      <c r="H229" s="707"/>
      <c r="I229" s="616"/>
      <c r="J229" s="617" t="str">
        <f t="shared" si="2"/>
        <v/>
      </c>
      <c r="K229" s="619"/>
      <c r="L229" s="46"/>
      <c r="M229" s="46"/>
      <c r="N229" s="46"/>
      <c r="O229" s="46"/>
      <c r="P229" s="46"/>
      <c r="Q229" s="46"/>
      <c r="T229" s="44"/>
      <c r="U229" s="44"/>
      <c r="V229" s="45"/>
    </row>
    <row r="230" spans="1:22" hidden="1">
      <c r="A230" s="46"/>
      <c r="B230" s="46"/>
      <c r="C230" s="46"/>
      <c r="D230" s="70"/>
      <c r="E230" s="614"/>
      <c r="F230" s="615"/>
      <c r="G230" s="615"/>
      <c r="H230" s="707"/>
      <c r="I230" s="616"/>
      <c r="J230" s="617" t="str">
        <f t="shared" si="2"/>
        <v/>
      </c>
      <c r="K230" s="619"/>
      <c r="L230" s="46"/>
      <c r="M230" s="46"/>
      <c r="N230" s="46"/>
      <c r="O230" s="46"/>
      <c r="P230" s="46"/>
      <c r="Q230" s="46"/>
      <c r="T230" s="44"/>
      <c r="U230" s="44"/>
      <c r="V230" s="45"/>
    </row>
    <row r="231" spans="1:22" hidden="1">
      <c r="A231" s="46"/>
      <c r="B231" s="46"/>
      <c r="C231" s="46"/>
      <c r="D231" s="70"/>
      <c r="E231" s="614"/>
      <c r="F231" s="615"/>
      <c r="G231" s="615"/>
      <c r="H231" s="707"/>
      <c r="I231" s="616"/>
      <c r="J231" s="617" t="str">
        <f t="shared" si="2"/>
        <v/>
      </c>
      <c r="K231" s="619"/>
      <c r="L231" s="46"/>
      <c r="M231" s="46"/>
      <c r="N231" s="46"/>
      <c r="O231" s="46"/>
      <c r="P231" s="46"/>
      <c r="Q231" s="46"/>
      <c r="T231" s="44"/>
      <c r="U231" s="44"/>
      <c r="V231" s="45"/>
    </row>
    <row r="232" spans="1:22" hidden="1">
      <c r="A232" s="46"/>
      <c r="B232" s="46"/>
      <c r="C232" s="46"/>
      <c r="D232" s="70"/>
      <c r="E232" s="614"/>
      <c r="F232" s="615"/>
      <c r="G232" s="615"/>
      <c r="H232" s="707"/>
      <c r="I232" s="616"/>
      <c r="J232" s="617" t="str">
        <f t="shared" si="2"/>
        <v/>
      </c>
      <c r="K232" s="619"/>
      <c r="L232" s="46"/>
      <c r="M232" s="46"/>
      <c r="N232" s="46"/>
      <c r="O232" s="46"/>
      <c r="P232" s="46"/>
      <c r="Q232" s="46"/>
      <c r="T232" s="44"/>
      <c r="U232" s="44"/>
      <c r="V232" s="45"/>
    </row>
    <row r="233" spans="1:22" hidden="1">
      <c r="A233" s="46"/>
      <c r="B233" s="46"/>
      <c r="C233" s="46"/>
      <c r="D233" s="70"/>
      <c r="E233" s="614"/>
      <c r="F233" s="615"/>
      <c r="G233" s="615"/>
      <c r="H233" s="707"/>
      <c r="I233" s="616"/>
      <c r="J233" s="617" t="str">
        <f t="shared" si="2"/>
        <v/>
      </c>
      <c r="K233" s="619"/>
      <c r="L233" s="46"/>
      <c r="M233" s="46"/>
      <c r="N233" s="46"/>
      <c r="O233" s="46"/>
      <c r="P233" s="46"/>
      <c r="Q233" s="46"/>
      <c r="T233" s="44"/>
      <c r="U233" s="44"/>
      <c r="V233" s="45"/>
    </row>
    <row r="234" spans="1:22" hidden="1">
      <c r="A234" s="46"/>
      <c r="B234" s="46"/>
      <c r="C234" s="46"/>
      <c r="D234" s="70"/>
      <c r="E234" s="614"/>
      <c r="F234" s="615"/>
      <c r="G234" s="615"/>
      <c r="H234" s="707"/>
      <c r="I234" s="616"/>
      <c r="J234" s="617" t="str">
        <f t="shared" si="2"/>
        <v/>
      </c>
      <c r="K234" s="619"/>
      <c r="L234" s="46"/>
      <c r="M234" s="46"/>
      <c r="N234" s="46"/>
      <c r="O234" s="46"/>
      <c r="P234" s="46"/>
      <c r="Q234" s="46"/>
      <c r="T234" s="44"/>
      <c r="U234" s="44"/>
      <c r="V234" s="45"/>
    </row>
    <row r="235" spans="1:22" hidden="1">
      <c r="A235" s="46"/>
      <c r="B235" s="46"/>
      <c r="C235" s="46"/>
      <c r="D235" s="70"/>
      <c r="E235" s="614"/>
      <c r="F235" s="615"/>
      <c r="G235" s="615"/>
      <c r="H235" s="707"/>
      <c r="I235" s="616"/>
      <c r="J235" s="617" t="str">
        <f t="shared" si="2"/>
        <v/>
      </c>
      <c r="K235" s="619"/>
      <c r="L235" s="46"/>
      <c r="M235" s="46"/>
      <c r="N235" s="46"/>
      <c r="O235" s="46"/>
      <c r="P235" s="46"/>
      <c r="Q235" s="46"/>
      <c r="T235" s="44"/>
      <c r="U235" s="44"/>
      <c r="V235" s="45"/>
    </row>
    <row r="236" spans="1:22" hidden="1">
      <c r="A236" s="46"/>
      <c r="B236" s="46"/>
      <c r="C236" s="46"/>
      <c r="D236" s="70"/>
      <c r="E236" s="614"/>
      <c r="F236" s="615"/>
      <c r="G236" s="615"/>
      <c r="H236" s="707"/>
      <c r="I236" s="616"/>
      <c r="J236" s="617" t="str">
        <f t="shared" si="2"/>
        <v/>
      </c>
      <c r="K236" s="619"/>
      <c r="L236" s="46"/>
      <c r="M236" s="46"/>
      <c r="N236" s="46"/>
      <c r="O236" s="46"/>
      <c r="P236" s="46"/>
      <c r="Q236" s="46"/>
      <c r="T236" s="44"/>
      <c r="U236" s="44"/>
      <c r="V236" s="45"/>
    </row>
    <row r="237" spans="1:22" hidden="1">
      <c r="A237" s="46"/>
      <c r="B237" s="46"/>
      <c r="C237" s="46"/>
      <c r="D237" s="70"/>
      <c r="E237" s="614"/>
      <c r="F237" s="615"/>
      <c r="G237" s="615"/>
      <c r="H237" s="707"/>
      <c r="I237" s="616"/>
      <c r="J237" s="617" t="str">
        <f t="shared" si="2"/>
        <v/>
      </c>
      <c r="K237" s="619"/>
      <c r="L237" s="46"/>
      <c r="M237" s="46"/>
      <c r="N237" s="46"/>
      <c r="O237" s="46"/>
      <c r="P237" s="46"/>
      <c r="Q237" s="46"/>
      <c r="T237" s="44"/>
      <c r="U237" s="44"/>
      <c r="V237" s="45"/>
    </row>
    <row r="238" spans="1:22" hidden="1">
      <c r="A238" s="46"/>
      <c r="B238" s="46"/>
      <c r="C238" s="46"/>
      <c r="D238" s="70"/>
      <c r="E238" s="614"/>
      <c r="F238" s="615"/>
      <c r="G238" s="615"/>
      <c r="H238" s="707"/>
      <c r="I238" s="616"/>
      <c r="J238" s="617" t="str">
        <f t="shared" si="2"/>
        <v/>
      </c>
      <c r="K238" s="619"/>
      <c r="L238" s="46"/>
      <c r="M238" s="46"/>
      <c r="N238" s="46"/>
      <c r="O238" s="46"/>
      <c r="P238" s="46"/>
      <c r="Q238" s="46"/>
      <c r="T238" s="44"/>
      <c r="U238" s="44"/>
      <c r="V238" s="45"/>
    </row>
    <row r="239" spans="1:22" hidden="1">
      <c r="A239" s="46"/>
      <c r="B239" s="46"/>
      <c r="C239" s="46"/>
      <c r="D239" s="70"/>
      <c r="E239" s="614"/>
      <c r="F239" s="615"/>
      <c r="G239" s="615"/>
      <c r="H239" s="707"/>
      <c r="I239" s="616"/>
      <c r="J239" s="617" t="str">
        <f t="shared" si="2"/>
        <v/>
      </c>
      <c r="K239" s="619"/>
      <c r="L239" s="46"/>
      <c r="M239" s="46"/>
      <c r="N239" s="46"/>
      <c r="O239" s="46"/>
      <c r="P239" s="46"/>
      <c r="Q239" s="46"/>
      <c r="T239" s="44"/>
      <c r="U239" s="44"/>
      <c r="V239" s="45"/>
    </row>
    <row r="240" spans="1:22" hidden="1">
      <c r="A240" s="46"/>
      <c r="B240" s="46"/>
      <c r="C240" s="46"/>
      <c r="D240" s="70"/>
      <c r="E240" s="614"/>
      <c r="F240" s="615"/>
      <c r="G240" s="615"/>
      <c r="H240" s="707"/>
      <c r="I240" s="616"/>
      <c r="J240" s="617" t="str">
        <f t="shared" si="2"/>
        <v/>
      </c>
      <c r="K240" s="619"/>
      <c r="L240" s="46"/>
      <c r="M240" s="46"/>
      <c r="N240" s="46"/>
      <c r="O240" s="46"/>
      <c r="P240" s="46"/>
      <c r="Q240" s="46"/>
      <c r="T240" s="44"/>
      <c r="U240" s="44"/>
      <c r="V240" s="45"/>
    </row>
    <row r="241" spans="1:22" hidden="1">
      <c r="A241" s="46"/>
      <c r="B241" s="46"/>
      <c r="C241" s="46"/>
      <c r="D241" s="70"/>
      <c r="E241" s="614"/>
      <c r="F241" s="615"/>
      <c r="G241" s="615"/>
      <c r="H241" s="707"/>
      <c r="I241" s="616"/>
      <c r="J241" s="617" t="str">
        <f t="shared" si="2"/>
        <v/>
      </c>
      <c r="K241" s="619"/>
      <c r="L241" s="46"/>
      <c r="M241" s="46"/>
      <c r="N241" s="46"/>
      <c r="O241" s="46"/>
      <c r="P241" s="46"/>
      <c r="Q241" s="46"/>
      <c r="T241" s="44"/>
      <c r="U241" s="44"/>
      <c r="V241" s="45"/>
    </row>
    <row r="242" spans="1:22" hidden="1">
      <c r="A242" s="46"/>
      <c r="B242" s="46"/>
      <c r="C242" s="46"/>
      <c r="D242" s="70"/>
      <c r="E242" s="614"/>
      <c r="F242" s="615"/>
      <c r="G242" s="615"/>
      <c r="H242" s="707"/>
      <c r="I242" s="616"/>
      <c r="J242" s="617" t="str">
        <f t="shared" ref="J242:J250" si="3">IF(E242&lt;&gt;"","Đạt","")</f>
        <v/>
      </c>
      <c r="K242" s="619"/>
      <c r="L242" s="46"/>
      <c r="M242" s="46"/>
      <c r="N242" s="46"/>
      <c r="O242" s="46"/>
      <c r="P242" s="46"/>
      <c r="Q242" s="46"/>
      <c r="T242" s="44"/>
      <c r="U242" s="44"/>
      <c r="V242" s="45"/>
    </row>
    <row r="243" spans="1:22" hidden="1">
      <c r="A243" s="46"/>
      <c r="B243" s="46"/>
      <c r="C243" s="46"/>
      <c r="D243" s="70"/>
      <c r="E243" s="614"/>
      <c r="F243" s="615"/>
      <c r="G243" s="615"/>
      <c r="H243" s="707"/>
      <c r="I243" s="616"/>
      <c r="J243" s="617" t="str">
        <f t="shared" si="3"/>
        <v/>
      </c>
      <c r="K243" s="619"/>
      <c r="L243" s="46"/>
      <c r="M243" s="46"/>
      <c r="N243" s="46"/>
      <c r="O243" s="46"/>
      <c r="P243" s="46"/>
      <c r="Q243" s="46"/>
      <c r="T243" s="44"/>
      <c r="U243" s="44"/>
      <c r="V243" s="45"/>
    </row>
    <row r="244" spans="1:22" hidden="1">
      <c r="A244" s="46"/>
      <c r="B244" s="46"/>
      <c r="C244" s="46"/>
      <c r="D244" s="70"/>
      <c r="E244" s="614"/>
      <c r="F244" s="615"/>
      <c r="G244" s="615"/>
      <c r="H244" s="707"/>
      <c r="I244" s="616"/>
      <c r="J244" s="617" t="str">
        <f t="shared" si="3"/>
        <v/>
      </c>
      <c r="K244" s="619"/>
      <c r="L244" s="46"/>
      <c r="M244" s="46"/>
      <c r="N244" s="46"/>
      <c r="O244" s="46"/>
      <c r="P244" s="46"/>
      <c r="Q244" s="46"/>
      <c r="T244" s="44"/>
      <c r="U244" s="44"/>
      <c r="V244" s="45"/>
    </row>
    <row r="245" spans="1:22" hidden="1">
      <c r="A245" s="46"/>
      <c r="B245" s="46"/>
      <c r="C245" s="46"/>
      <c r="D245" s="70"/>
      <c r="E245" s="614"/>
      <c r="F245" s="615"/>
      <c r="G245" s="615"/>
      <c r="H245" s="707"/>
      <c r="I245" s="616"/>
      <c r="J245" s="617" t="str">
        <f t="shared" si="3"/>
        <v/>
      </c>
      <c r="K245" s="619"/>
      <c r="L245" s="46"/>
      <c r="M245" s="46"/>
      <c r="N245" s="46"/>
      <c r="O245" s="46"/>
      <c r="P245" s="46"/>
      <c r="Q245" s="46"/>
      <c r="T245" s="44"/>
      <c r="U245" s="44"/>
      <c r="V245" s="45"/>
    </row>
    <row r="246" spans="1:22" hidden="1">
      <c r="A246" s="46"/>
      <c r="B246" s="46"/>
      <c r="C246" s="46"/>
      <c r="D246" s="70"/>
      <c r="E246" s="614"/>
      <c r="F246" s="615"/>
      <c r="G246" s="615"/>
      <c r="H246" s="707"/>
      <c r="I246" s="616"/>
      <c r="J246" s="617" t="str">
        <f t="shared" si="3"/>
        <v/>
      </c>
      <c r="K246" s="619"/>
      <c r="L246" s="46"/>
      <c r="M246" s="46"/>
      <c r="N246" s="46"/>
      <c r="O246" s="46"/>
      <c r="P246" s="46"/>
      <c r="Q246" s="46"/>
      <c r="T246" s="44"/>
      <c r="U246" s="44"/>
      <c r="V246" s="45"/>
    </row>
    <row r="247" spans="1:22" hidden="1">
      <c r="A247" s="46"/>
      <c r="B247" s="46"/>
      <c r="C247" s="46"/>
      <c r="D247" s="70"/>
      <c r="E247" s="614"/>
      <c r="F247" s="615"/>
      <c r="G247" s="615"/>
      <c r="H247" s="707"/>
      <c r="I247" s="616"/>
      <c r="J247" s="617" t="str">
        <f t="shared" si="3"/>
        <v/>
      </c>
      <c r="K247" s="619"/>
      <c r="L247" s="46"/>
      <c r="M247" s="46"/>
      <c r="N247" s="46"/>
      <c r="O247" s="46"/>
      <c r="P247" s="46"/>
      <c r="Q247" s="46"/>
      <c r="T247" s="44"/>
      <c r="U247" s="44"/>
      <c r="V247" s="45"/>
    </row>
    <row r="248" spans="1:22" hidden="1">
      <c r="A248" s="46"/>
      <c r="B248" s="46"/>
      <c r="C248" s="46"/>
      <c r="D248" s="70"/>
      <c r="E248" s="614"/>
      <c r="F248" s="615"/>
      <c r="G248" s="615"/>
      <c r="H248" s="707"/>
      <c r="I248" s="616"/>
      <c r="J248" s="617" t="str">
        <f t="shared" si="3"/>
        <v/>
      </c>
      <c r="K248" s="619"/>
      <c r="L248" s="46"/>
      <c r="M248" s="46"/>
      <c r="N248" s="46"/>
      <c r="O248" s="46"/>
      <c r="P248" s="46"/>
      <c r="Q248" s="46"/>
      <c r="T248" s="44"/>
      <c r="U248" s="44"/>
      <c r="V248" s="45"/>
    </row>
    <row r="249" spans="1:22" hidden="1">
      <c r="A249" s="46"/>
      <c r="B249" s="46"/>
      <c r="C249" s="46"/>
      <c r="D249" s="70"/>
      <c r="E249" s="614"/>
      <c r="F249" s="615"/>
      <c r="G249" s="615"/>
      <c r="H249" s="707"/>
      <c r="I249" s="616"/>
      <c r="J249" s="617" t="str">
        <f t="shared" si="3"/>
        <v/>
      </c>
      <c r="K249" s="619"/>
      <c r="L249" s="46"/>
      <c r="M249" s="46"/>
      <c r="N249" s="46"/>
      <c r="O249" s="46"/>
      <c r="P249" s="46"/>
      <c r="Q249" s="46"/>
      <c r="T249" s="44"/>
      <c r="U249" s="44"/>
      <c r="V249" s="45"/>
    </row>
    <row r="250" spans="1:22" hidden="1">
      <c r="A250" s="46"/>
      <c r="B250" s="46"/>
      <c r="C250" s="46"/>
      <c r="D250" s="70"/>
      <c r="E250" s="614"/>
      <c r="F250" s="615"/>
      <c r="G250" s="615"/>
      <c r="H250" s="707"/>
      <c r="I250" s="616"/>
      <c r="J250" s="617" t="str">
        <f t="shared" si="3"/>
        <v/>
      </c>
      <c r="K250" s="619"/>
      <c r="L250" s="46"/>
      <c r="M250" s="46"/>
      <c r="N250" s="46"/>
      <c r="O250" s="46"/>
      <c r="P250" s="46"/>
      <c r="Q250" s="46"/>
      <c r="T250" s="44"/>
      <c r="U250" s="44"/>
      <c r="V250" s="45"/>
    </row>
    <row r="251" spans="1:22" ht="39.75" customHeight="1">
      <c r="A251" s="46"/>
      <c r="B251" s="46"/>
      <c r="C251" s="46"/>
      <c r="D251" s="70"/>
      <c r="E251" s="1619" t="s">
        <v>4294</v>
      </c>
      <c r="F251" s="1580"/>
      <c r="G251" s="1580"/>
      <c r="H251" s="1580"/>
      <c r="I251" s="1580"/>
      <c r="J251" s="1580"/>
      <c r="K251" s="1580"/>
      <c r="L251" s="46"/>
      <c r="M251" s="46"/>
      <c r="N251" s="46"/>
      <c r="O251" s="46"/>
      <c r="P251" s="46"/>
      <c r="Q251" s="46"/>
      <c r="T251" s="45"/>
      <c r="U251" s="45"/>
      <c r="V251" s="45"/>
    </row>
    <row r="252" spans="1:22" ht="17.25">
      <c r="A252" s="46"/>
      <c r="B252" s="46"/>
      <c r="C252" s="46"/>
      <c r="D252" s="70"/>
      <c r="E252" s="1533" t="s">
        <v>4292</v>
      </c>
      <c r="F252" s="1533"/>
      <c r="G252" s="1533"/>
      <c r="H252" s="1533"/>
      <c r="I252" s="1533"/>
      <c r="J252" s="1533"/>
      <c r="K252" s="1533"/>
      <c r="L252" s="46"/>
      <c r="M252" s="46"/>
      <c r="N252" s="46"/>
      <c r="O252" s="46"/>
      <c r="P252" s="46"/>
      <c r="Q252" s="46"/>
      <c r="T252" s="44"/>
      <c r="U252" s="44"/>
      <c r="V252" s="45"/>
    </row>
    <row r="253" spans="1:22">
      <c r="A253" s="46"/>
      <c r="B253" s="46"/>
      <c r="C253" s="46"/>
      <c r="D253" s="70"/>
      <c r="E253" s="1532" t="s">
        <v>4293</v>
      </c>
      <c r="F253" s="1532"/>
      <c r="G253" s="1532"/>
      <c r="H253" s="1532"/>
      <c r="I253" s="1532"/>
      <c r="J253" s="1532"/>
      <c r="K253" s="1532"/>
      <c r="L253" s="46"/>
      <c r="M253" s="46"/>
      <c r="N253" s="46"/>
      <c r="O253" s="46"/>
      <c r="P253" s="46"/>
      <c r="Q253" s="46"/>
      <c r="T253" s="44"/>
      <c r="U253" s="44"/>
      <c r="V253" s="45"/>
    </row>
    <row r="254" spans="1:22">
      <c r="A254" s="46"/>
      <c r="B254" s="46"/>
      <c r="C254" s="46"/>
      <c r="D254" s="70"/>
      <c r="E254" s="1575" t="s">
        <v>201</v>
      </c>
      <c r="F254" s="1580"/>
      <c r="G254" s="1580"/>
      <c r="H254" s="1580"/>
      <c r="I254" s="1580"/>
      <c r="J254" s="1580"/>
      <c r="K254" s="1580"/>
      <c r="L254" s="46"/>
      <c r="M254" s="46"/>
      <c r="N254" s="46"/>
      <c r="O254" s="46"/>
      <c r="P254" s="46"/>
      <c r="Q254" s="46"/>
      <c r="T254" s="45"/>
      <c r="U254" s="45"/>
      <c r="V254" s="45"/>
    </row>
    <row r="255" spans="1:22">
      <c r="A255" s="46"/>
      <c r="B255" s="46"/>
      <c r="C255" s="46"/>
      <c r="D255" s="70"/>
      <c r="E255" s="45"/>
      <c r="F255" s="609"/>
      <c r="G255" s="45"/>
      <c r="H255" s="45"/>
      <c r="I255" s="45"/>
      <c r="J255" s="45"/>
      <c r="K255" s="45"/>
      <c r="L255" s="46"/>
      <c r="M255" s="46"/>
      <c r="N255" s="46"/>
      <c r="O255" s="46"/>
      <c r="P255" s="46"/>
      <c r="Q255" s="46"/>
      <c r="T255" s="45"/>
      <c r="U255" s="45"/>
      <c r="V255" s="45"/>
    </row>
    <row r="256" spans="1:22" ht="16.5" customHeight="1">
      <c r="A256" s="46"/>
      <c r="B256" s="46"/>
      <c r="C256" s="46"/>
      <c r="D256" s="70"/>
      <c r="E256" s="1536" t="s">
        <v>166</v>
      </c>
      <c r="F256" s="1536"/>
      <c r="G256" s="1536"/>
      <c r="H256" s="1536"/>
      <c r="I256" s="1537" t="s">
        <v>167</v>
      </c>
      <c r="J256" s="1537"/>
      <c r="K256" s="1537"/>
      <c r="L256" s="46"/>
      <c r="M256" s="46"/>
      <c r="N256" s="46"/>
      <c r="O256" s="46"/>
      <c r="P256" s="46"/>
      <c r="Q256" s="46"/>
      <c r="T256" s="45"/>
      <c r="U256" s="45"/>
      <c r="V256" s="45"/>
    </row>
    <row r="257" spans="1:22">
      <c r="A257" s="46"/>
      <c r="B257" s="46"/>
      <c r="C257" s="46"/>
      <c r="D257" s="70"/>
      <c r="E257" s="45"/>
      <c r="F257" s="45"/>
      <c r="G257" s="45"/>
      <c r="H257" s="45"/>
      <c r="I257" s="45"/>
      <c r="J257" s="45"/>
      <c r="K257" s="45"/>
      <c r="L257" s="46"/>
      <c r="M257" s="46"/>
      <c r="N257" s="46"/>
      <c r="O257" s="46"/>
      <c r="P257" s="46"/>
      <c r="Q257" s="46"/>
      <c r="T257" s="45"/>
      <c r="U257" s="45"/>
      <c r="V257" s="45"/>
    </row>
    <row r="258" spans="1:22">
      <c r="A258" s="46"/>
      <c r="B258" s="46"/>
      <c r="C258" s="46"/>
      <c r="D258" s="70"/>
      <c r="E258" s="45"/>
      <c r="F258" s="45"/>
      <c r="G258" s="45"/>
      <c r="H258" s="45"/>
      <c r="I258" s="45"/>
      <c r="J258" s="45"/>
      <c r="K258" s="45"/>
      <c r="L258" s="46"/>
      <c r="M258" s="46"/>
      <c r="N258" s="46"/>
      <c r="O258" s="46"/>
      <c r="P258" s="46"/>
      <c r="Q258" s="46"/>
      <c r="T258" s="45"/>
      <c r="U258" s="45"/>
      <c r="V258" s="45"/>
    </row>
    <row r="259" spans="1:22">
      <c r="A259" s="46"/>
      <c r="B259" s="46"/>
      <c r="C259" s="46"/>
      <c r="D259" s="70"/>
      <c r="E259" s="45"/>
      <c r="F259" s="45"/>
      <c r="G259" s="45"/>
      <c r="H259" s="45"/>
      <c r="I259" s="45"/>
      <c r="J259" s="45"/>
      <c r="K259" s="45"/>
      <c r="L259" s="46"/>
      <c r="M259" s="46"/>
      <c r="N259" s="46"/>
      <c r="O259" s="46"/>
      <c r="P259" s="46"/>
      <c r="Q259" s="46"/>
      <c r="T259" s="45"/>
      <c r="U259" s="45"/>
      <c r="V259" s="45"/>
    </row>
    <row r="260" spans="1:22">
      <c r="A260" s="46"/>
      <c r="B260" s="46"/>
      <c r="C260" s="46"/>
      <c r="D260" s="70"/>
      <c r="E260" s="45"/>
      <c r="F260" s="45"/>
      <c r="G260" s="45"/>
      <c r="H260" s="45"/>
      <c r="I260" s="45"/>
      <c r="J260" s="45"/>
      <c r="K260" s="45"/>
      <c r="L260" s="46"/>
      <c r="M260" s="46"/>
      <c r="N260" s="46"/>
      <c r="O260" s="46"/>
      <c r="P260" s="46"/>
      <c r="Q260" s="46"/>
      <c r="T260" s="45"/>
      <c r="U260" s="45"/>
      <c r="V260" s="45"/>
    </row>
    <row r="261" spans="1:22">
      <c r="A261" s="46"/>
      <c r="B261" s="46"/>
      <c r="C261" s="46"/>
      <c r="D261" s="70"/>
      <c r="E261" s="45"/>
      <c r="F261" s="45"/>
      <c r="G261" s="45"/>
      <c r="H261" s="45"/>
      <c r="I261" s="45"/>
      <c r="J261" s="45"/>
      <c r="K261" s="45"/>
      <c r="L261" s="46"/>
      <c r="M261" s="46"/>
      <c r="N261" s="46"/>
      <c r="O261" s="46"/>
      <c r="P261" s="46"/>
      <c r="Q261" s="46"/>
      <c r="T261" s="45"/>
      <c r="U261" s="45"/>
      <c r="V261" s="45"/>
    </row>
    <row r="262" spans="1:22" ht="16.5" customHeight="1">
      <c r="A262" s="46"/>
      <c r="B262" s="46"/>
      <c r="C262" s="46"/>
      <c r="D262" s="70"/>
      <c r="E262" s="1536" t="str">
        <f>CBGS1</f>
        <v>Trần Trọng Liêm</v>
      </c>
      <c r="F262" s="1536"/>
      <c r="G262" s="1536"/>
      <c r="H262" s="1536"/>
      <c r="I262" s="1537" t="str">
        <f>CBKT1</f>
        <v>Hoàng Đình Tảng</v>
      </c>
      <c r="J262" s="1537"/>
      <c r="K262" s="1537"/>
      <c r="L262" s="46"/>
      <c r="M262" s="46"/>
      <c r="N262" s="46"/>
      <c r="O262" s="46"/>
      <c r="P262" s="46"/>
      <c r="Q262" s="46"/>
      <c r="T262" s="45"/>
      <c r="U262" s="45"/>
      <c r="V262" s="45"/>
    </row>
    <row r="263" spans="1:22">
      <c r="A263" s="46"/>
      <c r="B263" s="46"/>
      <c r="C263" s="46"/>
      <c r="D263" s="70"/>
      <c r="E263" s="46"/>
      <c r="F263" s="46"/>
      <c r="G263" s="46"/>
      <c r="H263" s="46"/>
      <c r="I263" s="46"/>
      <c r="J263" s="46"/>
      <c r="K263" s="46"/>
      <c r="L263" s="46"/>
      <c r="M263" s="46"/>
      <c r="N263" s="46"/>
      <c r="O263" s="46"/>
      <c r="P263" s="46"/>
      <c r="Q263" s="46"/>
      <c r="T263" s="45"/>
      <c r="U263" s="45"/>
      <c r="V263" s="45"/>
    </row>
    <row r="264" spans="1:22">
      <c r="A264" s="46"/>
      <c r="B264" s="46"/>
      <c r="C264" s="46"/>
      <c r="D264" s="70"/>
      <c r="E264" s="46"/>
      <c r="F264" s="46"/>
      <c r="G264" s="46"/>
      <c r="H264" s="46"/>
      <c r="I264" s="46"/>
      <c r="J264" s="46"/>
      <c r="K264" s="46"/>
      <c r="L264" s="46"/>
      <c r="M264" s="46"/>
      <c r="N264" s="46"/>
      <c r="O264" s="46"/>
      <c r="P264" s="46"/>
      <c r="Q264" s="46"/>
      <c r="T264" s="45"/>
      <c r="U264" s="45"/>
      <c r="V264" s="45"/>
    </row>
    <row r="265" spans="1:22">
      <c r="A265" s="46"/>
      <c r="B265" s="46"/>
      <c r="C265" s="46"/>
      <c r="D265" s="70"/>
      <c r="E265" s="46"/>
      <c r="F265" s="46"/>
      <c r="G265" s="46"/>
      <c r="H265" s="46"/>
      <c r="I265" s="46"/>
      <c r="J265" s="46"/>
      <c r="K265" s="46"/>
      <c r="L265" s="46"/>
      <c r="M265" s="46"/>
      <c r="N265" s="46"/>
      <c r="O265" s="46"/>
      <c r="P265" s="46"/>
      <c r="Q265" s="46"/>
      <c r="T265" s="45"/>
      <c r="U265" s="45"/>
      <c r="V265" s="45"/>
    </row>
    <row r="266" spans="1:22">
      <c r="A266" s="46"/>
      <c r="B266" s="46"/>
      <c r="C266" s="46"/>
      <c r="D266" s="70"/>
      <c r="E266" s="46"/>
      <c r="F266" s="46"/>
      <c r="G266" s="46"/>
      <c r="H266" s="46"/>
      <c r="I266" s="46"/>
      <c r="J266" s="46"/>
      <c r="K266" s="46"/>
      <c r="L266" s="46"/>
      <c r="M266" s="46"/>
      <c r="N266" s="46"/>
      <c r="O266" s="46"/>
      <c r="P266" s="46"/>
      <c r="Q266" s="46"/>
      <c r="T266" s="45"/>
      <c r="U266" s="45"/>
      <c r="V266" s="45"/>
    </row>
    <row r="267" spans="1:22">
      <c r="A267" s="46"/>
      <c r="B267" s="46"/>
      <c r="C267" s="46"/>
      <c r="D267" s="70"/>
      <c r="E267" s="46"/>
      <c r="F267" s="46"/>
      <c r="G267" s="46"/>
      <c r="H267" s="46"/>
      <c r="I267" s="46"/>
      <c r="J267" s="46"/>
      <c r="K267" s="46"/>
      <c r="L267" s="46"/>
      <c r="M267" s="46"/>
      <c r="N267" s="46"/>
      <c r="O267" s="46"/>
      <c r="P267" s="46"/>
      <c r="Q267" s="46"/>
      <c r="T267" s="45"/>
      <c r="U267" s="45"/>
      <c r="V267" s="45"/>
    </row>
    <row r="268" spans="1:22">
      <c r="A268" s="46"/>
      <c r="B268" s="46"/>
      <c r="C268" s="46"/>
      <c r="D268" s="70"/>
      <c r="E268" s="46"/>
      <c r="F268" s="46"/>
      <c r="G268" s="46"/>
      <c r="H268" s="46"/>
      <c r="I268" s="46"/>
      <c r="J268" s="46"/>
      <c r="K268" s="46"/>
      <c r="L268" s="46"/>
      <c r="M268" s="46"/>
      <c r="N268" s="46"/>
      <c r="O268" s="46"/>
      <c r="P268" s="46"/>
      <c r="Q268" s="46"/>
      <c r="T268" s="45"/>
      <c r="U268" s="45"/>
      <c r="V268" s="45"/>
    </row>
    <row r="269" spans="1:22">
      <c r="A269" s="46"/>
      <c r="B269" s="46"/>
      <c r="C269" s="46"/>
      <c r="D269" s="70"/>
      <c r="E269" s="46"/>
      <c r="F269" s="46"/>
      <c r="G269" s="46"/>
      <c r="H269" s="46"/>
      <c r="I269" s="46"/>
      <c r="J269" s="46"/>
      <c r="K269" s="46"/>
      <c r="L269" s="46"/>
      <c r="M269" s="46"/>
      <c r="N269" s="46"/>
      <c r="O269" s="46"/>
      <c r="P269" s="46"/>
      <c r="Q269" s="46"/>
      <c r="T269" s="45"/>
      <c r="U269" s="45"/>
      <c r="V269" s="45"/>
    </row>
    <row r="270" spans="1:22">
      <c r="A270" s="46"/>
      <c r="B270" s="46"/>
      <c r="C270" s="46"/>
      <c r="D270" s="70"/>
      <c r="E270" s="46"/>
      <c r="F270" s="46"/>
      <c r="G270" s="46"/>
      <c r="H270" s="46"/>
      <c r="I270" s="46"/>
      <c r="J270" s="46"/>
      <c r="K270" s="46"/>
      <c r="L270" s="46"/>
      <c r="M270" s="46"/>
      <c r="N270" s="46"/>
      <c r="O270" s="46"/>
      <c r="P270" s="46"/>
      <c r="Q270" s="46"/>
      <c r="R270" s="45"/>
      <c r="S270" s="45"/>
      <c r="T270" s="45"/>
      <c r="U270" s="45"/>
      <c r="V270" s="45"/>
    </row>
  </sheetData>
  <mergeCells count="148">
    <mergeCell ref="E75:K75"/>
    <mergeCell ref="E262:H262"/>
    <mergeCell ref="I256:K256"/>
    <mergeCell ref="I262:K262"/>
    <mergeCell ref="E254:K254"/>
    <mergeCell ref="E256:H256"/>
    <mergeCell ref="E158:K158"/>
    <mergeCell ref="E159:K159"/>
    <mergeCell ref="E160:K160"/>
    <mergeCell ref="E161:K161"/>
    <mergeCell ref="E252:K252"/>
    <mergeCell ref="E253:K253"/>
    <mergeCell ref="E251:K251"/>
    <mergeCell ref="E175:K175"/>
    <mergeCell ref="E168:K168"/>
    <mergeCell ref="E169:K169"/>
    <mergeCell ref="E170:K170"/>
    <mergeCell ref="E171:K171"/>
    <mergeCell ref="E172:K172"/>
    <mergeCell ref="E174:K174"/>
    <mergeCell ref="E163:K163"/>
    <mergeCell ref="E164:K164"/>
    <mergeCell ref="E165:K165"/>
    <mergeCell ref="E166:K166"/>
    <mergeCell ref="E167:K167"/>
    <mergeCell ref="E148:K148"/>
    <mergeCell ref="E149:K149"/>
    <mergeCell ref="E129:K129"/>
    <mergeCell ref="E130:K130"/>
    <mergeCell ref="E135:K135"/>
    <mergeCell ref="E139:K139"/>
    <mergeCell ref="F142:K142"/>
    <mergeCell ref="E143:K143"/>
    <mergeCell ref="E162:K162"/>
    <mergeCell ref="E144:K144"/>
    <mergeCell ref="E145:K145"/>
    <mergeCell ref="E146:K146"/>
    <mergeCell ref="E147:K147"/>
    <mergeCell ref="E156:K156"/>
    <mergeCell ref="E157:K157"/>
    <mergeCell ref="E150:K150"/>
    <mergeCell ref="E151:K151"/>
    <mergeCell ref="E152:K152"/>
    <mergeCell ref="E153:K153"/>
    <mergeCell ref="E154:K154"/>
    <mergeCell ref="E155:K155"/>
    <mergeCell ref="E134:K134"/>
    <mergeCell ref="E122:K122"/>
    <mergeCell ref="E123:K123"/>
    <mergeCell ref="E124:K124"/>
    <mergeCell ref="E126:K126"/>
    <mergeCell ref="E127:K127"/>
    <mergeCell ref="E128:K128"/>
    <mergeCell ref="E114:K114"/>
    <mergeCell ref="E115:K115"/>
    <mergeCell ref="E116:K116"/>
    <mergeCell ref="E118:K118"/>
    <mergeCell ref="E119:K119"/>
    <mergeCell ref="E121:K121"/>
    <mergeCell ref="E105:H105"/>
    <mergeCell ref="E106:H106"/>
    <mergeCell ref="E112:K112"/>
    <mergeCell ref="E113:K113"/>
    <mergeCell ref="E109:F109"/>
    <mergeCell ref="H109:K109"/>
    <mergeCell ref="E103:F103"/>
    <mergeCell ref="E104:F104"/>
    <mergeCell ref="H102:K102"/>
    <mergeCell ref="H103:K103"/>
    <mergeCell ref="E93:K93"/>
    <mergeCell ref="E95:K95"/>
    <mergeCell ref="E99:K99"/>
    <mergeCell ref="E100:K100"/>
    <mergeCell ref="E102:F102"/>
    <mergeCell ref="E77:K77"/>
    <mergeCell ref="E91:K91"/>
    <mergeCell ref="E92:K92"/>
    <mergeCell ref="E88:K88"/>
    <mergeCell ref="E89:K89"/>
    <mergeCell ref="E96:K96"/>
    <mergeCell ref="E97:K97"/>
    <mergeCell ref="E78:K78"/>
    <mergeCell ref="E85:K85"/>
    <mergeCell ref="E86:K86"/>
    <mergeCell ref="E87:K87"/>
    <mergeCell ref="E81:K81"/>
    <mergeCell ref="E82:K82"/>
    <mergeCell ref="E83:K83"/>
    <mergeCell ref="E73:K73"/>
    <mergeCell ref="E74:K74"/>
    <mergeCell ref="E55:K55"/>
    <mergeCell ref="E56:K56"/>
    <mergeCell ref="E57:K57"/>
    <mergeCell ref="E58:K58"/>
    <mergeCell ref="E59:K59"/>
    <mergeCell ref="E60:K60"/>
    <mergeCell ref="E49:K49"/>
    <mergeCell ref="E50:K50"/>
    <mergeCell ref="E51:K51"/>
    <mergeCell ref="E52:K52"/>
    <mergeCell ref="E53:K53"/>
    <mergeCell ref="E54:K54"/>
    <mergeCell ref="E71:K71"/>
    <mergeCell ref="E61:K61"/>
    <mergeCell ref="E63:K63"/>
    <mergeCell ref="E64:G64"/>
    <mergeCell ref="E70:G70"/>
    <mergeCell ref="I64:K64"/>
    <mergeCell ref="I70:K70"/>
    <mergeCell ref="E62:K62"/>
    <mergeCell ref="E72:K72"/>
    <mergeCell ref="E25:K25"/>
    <mergeCell ref="E43:K43"/>
    <mergeCell ref="E44:K44"/>
    <mergeCell ref="E45:K45"/>
    <mergeCell ref="E46:K46"/>
    <mergeCell ref="E47:K47"/>
    <mergeCell ref="E48:K48"/>
    <mergeCell ref="E37:K37"/>
    <mergeCell ref="E38:K38"/>
    <mergeCell ref="E39:K39"/>
    <mergeCell ref="E40:K40"/>
    <mergeCell ref="E41:K41"/>
    <mergeCell ref="E42:K42"/>
    <mergeCell ref="E173:K173"/>
    <mergeCell ref="E8:K8"/>
    <mergeCell ref="E10:K10"/>
    <mergeCell ref="E11:K11"/>
    <mergeCell ref="E13:K13"/>
    <mergeCell ref="E14:K14"/>
    <mergeCell ref="E15:K15"/>
    <mergeCell ref="E1:K1"/>
    <mergeCell ref="E2:K2"/>
    <mergeCell ref="E3:K3"/>
    <mergeCell ref="E5:K5"/>
    <mergeCell ref="E6:K6"/>
    <mergeCell ref="E7:K7"/>
    <mergeCell ref="E29:K29"/>
    <mergeCell ref="E32:K32"/>
    <mergeCell ref="E33:K33"/>
    <mergeCell ref="E34:K34"/>
    <mergeCell ref="E35:K35"/>
    <mergeCell ref="E36:K36"/>
    <mergeCell ref="E18:K18"/>
    <mergeCell ref="E19:K19"/>
    <mergeCell ref="E20:K20"/>
    <mergeCell ref="E21:K21"/>
    <mergeCell ref="E22:K22"/>
  </mergeCells>
  <dataValidations count="5">
    <dataValidation allowBlank="1" showInputMessage="1" showErrorMessage="1" promptTitle="Không xoá công thức" prompt="Ô chứa dòng tiêu đề" sqref="B1" xr:uid="{00000000-0002-0000-2A00-000000000000}"/>
    <dataValidation allowBlank="1" showInputMessage="1" showErrorMessage="1" prompt="Không xoá công thức trong ô này" sqref="A1" xr:uid="{00000000-0002-0000-2A00-000001000000}"/>
    <dataValidation allowBlank="1" showInputMessage="1" showErrorMessage="1" prompt="Không xoá công thức trong ô này: _x000a_Tên bảng vật liệu" sqref="A2" xr:uid="{00000000-0002-0000-2A00-000002000000}"/>
    <dataValidation allowBlank="1" showInputMessage="1" showErrorMessage="1" promptTitle="Không xoá công thức" prompt="Ô đầu tiên của bảng dữ liệu" sqref="B2" xr:uid="{00000000-0002-0000-2A00-000003000000}"/>
    <dataValidation allowBlank="1" showInputMessage="1" showErrorMessage="1" promptTitle="Không xoá công thức" prompt="Ô cuối cùng của bảng" sqref="B3" xr:uid="{00000000-0002-0000-2A00-000004000000}"/>
  </dataValidations>
  <pageMargins left="0.70866141732283472" right="0.39370078740157483" top="0.39370078740157483" bottom="0.3149606299212598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1329" r:id="rId4" name="Spinner 1">
              <controlPr defaultSize="0" autoPict="0" macro="[0]!BienbanVatlieu_Spinner1_Change">
                <anchor moveWithCells="1" sizeWithCells="1">
                  <from>
                    <xdr:col>14</xdr:col>
                    <xdr:colOff>104775</xdr:colOff>
                    <xdr:row>0</xdr:row>
                    <xdr:rowOff>0</xdr:rowOff>
                  </from>
                  <to>
                    <xdr:col>14</xdr:col>
                    <xdr:colOff>485775</xdr:colOff>
                    <xdr:row>2</xdr:row>
                    <xdr:rowOff>142875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8"/>
  <dimension ref="A1:XFA306"/>
  <sheetViews>
    <sheetView showGridLines="0" showZeros="0" zoomScaleNormal="100" workbookViewId="0">
      <pane xSplit="22" ySplit="4" topLeftCell="W5" activePane="bottomRight" state="frozen"/>
      <selection pane="topRight" activeCell="W1" sqref="W1"/>
      <selection pane="bottomLeft" activeCell="A5" sqref="A5"/>
      <selection pane="bottomRight" activeCell="E19" sqref="E19:L19"/>
    </sheetView>
  </sheetViews>
  <sheetFormatPr defaultRowHeight="15.75"/>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30.5546875" style="202" customWidth="1"/>
    <col min="8" max="8" width="7.44140625" style="202" customWidth="1"/>
    <col min="9" max="9" width="10.21875" style="202" customWidth="1"/>
    <col min="10" max="10" width="9.88671875" style="202" customWidth="1"/>
    <col min="11" max="11" width="11.44140625" style="202" customWidth="1"/>
    <col min="12" max="12" width="1.77734375" style="202" customWidth="1"/>
    <col min="13" max="13" width="4.21875" style="202" customWidth="1"/>
    <col min="14" max="14" width="4.5546875" style="202" customWidth="1"/>
    <col min="15" max="22" width="8.88671875" style="202"/>
    <col min="23" max="23" width="9.44140625" style="202" customWidth="1"/>
    <col min="24" max="256" width="8.88671875" style="202"/>
    <col min="257" max="257" width="3" style="202" customWidth="1"/>
    <col min="258" max="258" width="4.88671875" style="202" customWidth="1"/>
    <col min="259" max="259" width="7.6640625" style="202" customWidth="1"/>
    <col min="260" max="260" width="7.44140625" style="202" customWidth="1"/>
    <col min="261" max="261" width="5.5546875" style="202" customWidth="1"/>
    <col min="262" max="262" width="4.5546875" style="202" customWidth="1"/>
    <col min="263" max="263" width="8.5546875" style="202" customWidth="1"/>
    <col min="264" max="264" width="5.5546875" style="202" customWidth="1"/>
    <col min="265" max="265" width="6.6640625" style="202" bestFit="1" customWidth="1"/>
    <col min="266" max="266" width="6.88671875" style="202" customWidth="1"/>
    <col min="267" max="267" width="8.33203125" style="202" customWidth="1"/>
    <col min="268" max="268" width="9.44140625" style="202" customWidth="1"/>
    <col min="269" max="269" width="4.88671875" style="202" customWidth="1"/>
    <col min="270" max="278" width="8.88671875" style="202"/>
    <col min="279" max="279" width="9.44140625" style="202" customWidth="1"/>
    <col min="280" max="512" width="8.88671875" style="202"/>
    <col min="513" max="513" width="3" style="202" customWidth="1"/>
    <col min="514" max="514" width="4.88671875" style="202" customWidth="1"/>
    <col min="515" max="515" width="7.6640625" style="202" customWidth="1"/>
    <col min="516" max="516" width="7.44140625" style="202" customWidth="1"/>
    <col min="517" max="517" width="5.5546875" style="202" customWidth="1"/>
    <col min="518" max="518" width="4.5546875" style="202" customWidth="1"/>
    <col min="519" max="519" width="8.5546875" style="202" customWidth="1"/>
    <col min="520" max="520" width="5.5546875" style="202" customWidth="1"/>
    <col min="521" max="521" width="6.6640625" style="202" bestFit="1" customWidth="1"/>
    <col min="522" max="522" width="6.88671875" style="202" customWidth="1"/>
    <col min="523" max="523" width="8.33203125" style="202" customWidth="1"/>
    <col min="524" max="524" width="9.44140625" style="202" customWidth="1"/>
    <col min="525" max="525" width="4.88671875" style="202" customWidth="1"/>
    <col min="526" max="534" width="8.88671875" style="202"/>
    <col min="535" max="535" width="9.44140625" style="202" customWidth="1"/>
    <col min="536" max="768" width="8.88671875" style="202"/>
    <col min="769" max="769" width="3" style="202" customWidth="1"/>
    <col min="770" max="770" width="4.88671875" style="202" customWidth="1"/>
    <col min="771" max="771" width="7.6640625" style="202" customWidth="1"/>
    <col min="772" max="772" width="7.44140625" style="202" customWidth="1"/>
    <col min="773" max="773" width="5.5546875" style="202" customWidth="1"/>
    <col min="774" max="774" width="4.5546875" style="202" customWidth="1"/>
    <col min="775" max="775" width="8.5546875" style="202" customWidth="1"/>
    <col min="776" max="776" width="5.5546875" style="202" customWidth="1"/>
    <col min="777" max="777" width="6.6640625" style="202" bestFit="1" customWidth="1"/>
    <col min="778" max="778" width="6.88671875" style="202" customWidth="1"/>
    <col min="779" max="779" width="8.33203125" style="202" customWidth="1"/>
    <col min="780" max="780" width="9.44140625" style="202" customWidth="1"/>
    <col min="781" max="781" width="4.88671875" style="202" customWidth="1"/>
    <col min="782" max="790" width="8.88671875" style="202"/>
    <col min="791" max="791" width="9.44140625" style="202" customWidth="1"/>
    <col min="792" max="1024" width="8.88671875" style="202"/>
    <col min="1025" max="1025" width="3" style="202" customWidth="1"/>
    <col min="1026" max="1026" width="4.88671875" style="202" customWidth="1"/>
    <col min="1027" max="1027" width="7.6640625" style="202" customWidth="1"/>
    <col min="1028" max="1028" width="7.44140625" style="202" customWidth="1"/>
    <col min="1029" max="1029" width="5.5546875" style="202" customWidth="1"/>
    <col min="1030" max="1030" width="4.5546875" style="202" customWidth="1"/>
    <col min="1031" max="1031" width="8.5546875" style="202" customWidth="1"/>
    <col min="1032" max="1032" width="5.5546875" style="202" customWidth="1"/>
    <col min="1033" max="1033" width="6.6640625" style="202" bestFit="1" customWidth="1"/>
    <col min="1034" max="1034" width="6.88671875" style="202" customWidth="1"/>
    <col min="1035" max="1035" width="8.33203125" style="202" customWidth="1"/>
    <col min="1036" max="1036" width="9.44140625" style="202" customWidth="1"/>
    <col min="1037" max="1037" width="4.88671875" style="202" customWidth="1"/>
    <col min="1038" max="1046" width="8.88671875" style="202"/>
    <col min="1047" max="1047" width="9.44140625" style="202" customWidth="1"/>
    <col min="1048" max="1280" width="8.88671875" style="202"/>
    <col min="1281" max="1281" width="3" style="202" customWidth="1"/>
    <col min="1282" max="1282" width="4.88671875" style="202" customWidth="1"/>
    <col min="1283" max="1283" width="7.6640625" style="202" customWidth="1"/>
    <col min="1284" max="1284" width="7.44140625" style="202" customWidth="1"/>
    <col min="1285" max="1285" width="5.5546875" style="202" customWidth="1"/>
    <col min="1286" max="1286" width="4.5546875" style="202" customWidth="1"/>
    <col min="1287" max="1287" width="8.5546875" style="202" customWidth="1"/>
    <col min="1288" max="1288" width="5.5546875" style="202" customWidth="1"/>
    <col min="1289" max="1289" width="6.6640625" style="202" bestFit="1" customWidth="1"/>
    <col min="1290" max="1290" width="6.88671875" style="202" customWidth="1"/>
    <col min="1291" max="1291" width="8.33203125" style="202" customWidth="1"/>
    <col min="1292" max="1292" width="9.44140625" style="202" customWidth="1"/>
    <col min="1293" max="1293" width="4.88671875" style="202" customWidth="1"/>
    <col min="1294" max="1302" width="8.88671875" style="202"/>
    <col min="1303" max="1303" width="9.44140625" style="202" customWidth="1"/>
    <col min="1304" max="1536" width="8.88671875" style="202"/>
    <col min="1537" max="1537" width="3" style="202" customWidth="1"/>
    <col min="1538" max="1538" width="4.88671875" style="202" customWidth="1"/>
    <col min="1539" max="1539" width="7.6640625" style="202" customWidth="1"/>
    <col min="1540" max="1540" width="7.44140625" style="202" customWidth="1"/>
    <col min="1541" max="1541" width="5.5546875" style="202" customWidth="1"/>
    <col min="1542" max="1542" width="4.5546875" style="202" customWidth="1"/>
    <col min="1543" max="1543" width="8.5546875" style="202" customWidth="1"/>
    <col min="1544" max="1544" width="5.5546875" style="202" customWidth="1"/>
    <col min="1545" max="1545" width="6.6640625" style="202" bestFit="1" customWidth="1"/>
    <col min="1546" max="1546" width="6.88671875" style="202" customWidth="1"/>
    <col min="1547" max="1547" width="8.33203125" style="202" customWidth="1"/>
    <col min="1548" max="1548" width="9.44140625" style="202" customWidth="1"/>
    <col min="1549" max="1549" width="4.88671875" style="202" customWidth="1"/>
    <col min="1550" max="1558" width="8.88671875" style="202"/>
    <col min="1559" max="1559" width="9.44140625" style="202" customWidth="1"/>
    <col min="1560" max="1792" width="8.88671875" style="202"/>
    <col min="1793" max="1793" width="3" style="202" customWidth="1"/>
    <col min="1794" max="1794" width="4.88671875" style="202" customWidth="1"/>
    <col min="1795" max="1795" width="7.6640625" style="202" customWidth="1"/>
    <col min="1796" max="1796" width="7.44140625" style="202" customWidth="1"/>
    <col min="1797" max="1797" width="5.5546875" style="202" customWidth="1"/>
    <col min="1798" max="1798" width="4.5546875" style="202" customWidth="1"/>
    <col min="1799" max="1799" width="8.5546875" style="202" customWidth="1"/>
    <col min="1800" max="1800" width="5.5546875" style="202" customWidth="1"/>
    <col min="1801" max="1801" width="6.6640625" style="202" bestFit="1" customWidth="1"/>
    <col min="1802" max="1802" width="6.88671875" style="202" customWidth="1"/>
    <col min="1803" max="1803" width="8.33203125" style="202" customWidth="1"/>
    <col min="1804" max="1804" width="9.44140625" style="202" customWidth="1"/>
    <col min="1805" max="1805" width="4.88671875" style="202" customWidth="1"/>
    <col min="1806" max="1814" width="8.88671875" style="202"/>
    <col min="1815" max="1815" width="9.44140625" style="202" customWidth="1"/>
    <col min="1816" max="2048" width="8.88671875" style="202"/>
    <col min="2049" max="2049" width="3" style="202" customWidth="1"/>
    <col min="2050" max="2050" width="4.88671875" style="202" customWidth="1"/>
    <col min="2051" max="2051" width="7.6640625" style="202" customWidth="1"/>
    <col min="2052" max="2052" width="7.44140625" style="202" customWidth="1"/>
    <col min="2053" max="2053" width="5.5546875" style="202" customWidth="1"/>
    <col min="2054" max="2054" width="4.5546875" style="202" customWidth="1"/>
    <col min="2055" max="2055" width="8.5546875" style="202" customWidth="1"/>
    <col min="2056" max="2056" width="5.5546875" style="202" customWidth="1"/>
    <col min="2057" max="2057" width="6.6640625" style="202" bestFit="1" customWidth="1"/>
    <col min="2058" max="2058" width="6.88671875" style="202" customWidth="1"/>
    <col min="2059" max="2059" width="8.33203125" style="202" customWidth="1"/>
    <col min="2060" max="2060" width="9.44140625" style="202" customWidth="1"/>
    <col min="2061" max="2061" width="4.88671875" style="202" customWidth="1"/>
    <col min="2062" max="2070" width="8.88671875" style="202"/>
    <col min="2071" max="2071" width="9.44140625" style="202" customWidth="1"/>
    <col min="2072" max="2304" width="8.88671875" style="202"/>
    <col min="2305" max="2305" width="3" style="202" customWidth="1"/>
    <col min="2306" max="2306" width="4.88671875" style="202" customWidth="1"/>
    <col min="2307" max="2307" width="7.6640625" style="202" customWidth="1"/>
    <col min="2308" max="2308" width="7.44140625" style="202" customWidth="1"/>
    <col min="2309" max="2309" width="5.5546875" style="202" customWidth="1"/>
    <col min="2310" max="2310" width="4.5546875" style="202" customWidth="1"/>
    <col min="2311" max="2311" width="8.5546875" style="202" customWidth="1"/>
    <col min="2312" max="2312" width="5.5546875" style="202" customWidth="1"/>
    <col min="2313" max="2313" width="6.6640625" style="202" bestFit="1" customWidth="1"/>
    <col min="2314" max="2314" width="6.88671875" style="202" customWidth="1"/>
    <col min="2315" max="2315" width="8.33203125" style="202" customWidth="1"/>
    <col min="2316" max="2316" width="9.44140625" style="202" customWidth="1"/>
    <col min="2317" max="2317" width="4.88671875" style="202" customWidth="1"/>
    <col min="2318" max="2326" width="8.88671875" style="202"/>
    <col min="2327" max="2327" width="9.44140625" style="202" customWidth="1"/>
    <col min="2328" max="2560" width="8.88671875" style="202"/>
    <col min="2561" max="2561" width="3" style="202" customWidth="1"/>
    <col min="2562" max="2562" width="4.88671875" style="202" customWidth="1"/>
    <col min="2563" max="2563" width="7.6640625" style="202" customWidth="1"/>
    <col min="2564" max="2564" width="7.44140625" style="202" customWidth="1"/>
    <col min="2565" max="2565" width="5.5546875" style="202" customWidth="1"/>
    <col min="2566" max="2566" width="4.5546875" style="202" customWidth="1"/>
    <col min="2567" max="2567" width="8.5546875" style="202" customWidth="1"/>
    <col min="2568" max="2568" width="5.5546875" style="202" customWidth="1"/>
    <col min="2569" max="2569" width="6.6640625" style="202" bestFit="1" customWidth="1"/>
    <col min="2570" max="2570" width="6.88671875" style="202" customWidth="1"/>
    <col min="2571" max="2571" width="8.33203125" style="202" customWidth="1"/>
    <col min="2572" max="2572" width="9.44140625" style="202" customWidth="1"/>
    <col min="2573" max="2573" width="4.88671875" style="202" customWidth="1"/>
    <col min="2574" max="2582" width="8.88671875" style="202"/>
    <col min="2583" max="2583" width="9.44140625" style="202" customWidth="1"/>
    <col min="2584" max="2816" width="8.88671875" style="202"/>
    <col min="2817" max="2817" width="3" style="202" customWidth="1"/>
    <col min="2818" max="2818" width="4.88671875" style="202" customWidth="1"/>
    <col min="2819" max="2819" width="7.6640625" style="202" customWidth="1"/>
    <col min="2820" max="2820" width="7.44140625" style="202" customWidth="1"/>
    <col min="2821" max="2821" width="5.5546875" style="202" customWidth="1"/>
    <col min="2822" max="2822" width="4.5546875" style="202" customWidth="1"/>
    <col min="2823" max="2823" width="8.5546875" style="202" customWidth="1"/>
    <col min="2824" max="2824" width="5.5546875" style="202" customWidth="1"/>
    <col min="2825" max="2825" width="6.6640625" style="202" bestFit="1" customWidth="1"/>
    <col min="2826" max="2826" width="6.88671875" style="202" customWidth="1"/>
    <col min="2827" max="2827" width="8.33203125" style="202" customWidth="1"/>
    <col min="2828" max="2828" width="9.44140625" style="202" customWidth="1"/>
    <col min="2829" max="2829" width="4.88671875" style="202" customWidth="1"/>
    <col min="2830" max="2838" width="8.88671875" style="202"/>
    <col min="2839" max="2839" width="9.44140625" style="202" customWidth="1"/>
    <col min="2840" max="3072" width="8.88671875" style="202"/>
    <col min="3073" max="3073" width="3" style="202" customWidth="1"/>
    <col min="3074" max="3074" width="4.88671875" style="202" customWidth="1"/>
    <col min="3075" max="3075" width="7.6640625" style="202" customWidth="1"/>
    <col min="3076" max="3076" width="7.44140625" style="202" customWidth="1"/>
    <col min="3077" max="3077" width="5.5546875" style="202" customWidth="1"/>
    <col min="3078" max="3078" width="4.5546875" style="202" customWidth="1"/>
    <col min="3079" max="3079" width="8.5546875" style="202" customWidth="1"/>
    <col min="3080" max="3080" width="5.5546875" style="202" customWidth="1"/>
    <col min="3081" max="3081" width="6.6640625" style="202" bestFit="1" customWidth="1"/>
    <col min="3082" max="3082" width="6.88671875" style="202" customWidth="1"/>
    <col min="3083" max="3083" width="8.33203125" style="202" customWidth="1"/>
    <col min="3084" max="3084" width="9.44140625" style="202" customWidth="1"/>
    <col min="3085" max="3085" width="4.88671875" style="202" customWidth="1"/>
    <col min="3086" max="3094" width="8.88671875" style="202"/>
    <col min="3095" max="3095" width="9.44140625" style="202" customWidth="1"/>
    <col min="3096" max="3328" width="8.88671875" style="202"/>
    <col min="3329" max="3329" width="3" style="202" customWidth="1"/>
    <col min="3330" max="3330" width="4.88671875" style="202" customWidth="1"/>
    <col min="3331" max="3331" width="7.6640625" style="202" customWidth="1"/>
    <col min="3332" max="3332" width="7.44140625" style="202" customWidth="1"/>
    <col min="3333" max="3333" width="5.5546875" style="202" customWidth="1"/>
    <col min="3334" max="3334" width="4.5546875" style="202" customWidth="1"/>
    <col min="3335" max="3335" width="8.5546875" style="202" customWidth="1"/>
    <col min="3336" max="3336" width="5.5546875" style="202" customWidth="1"/>
    <col min="3337" max="3337" width="6.6640625" style="202" bestFit="1" customWidth="1"/>
    <col min="3338" max="3338" width="6.88671875" style="202" customWidth="1"/>
    <col min="3339" max="3339" width="8.33203125" style="202" customWidth="1"/>
    <col min="3340" max="3340" width="9.44140625" style="202" customWidth="1"/>
    <col min="3341" max="3341" width="4.88671875" style="202" customWidth="1"/>
    <col min="3342" max="3350" width="8.88671875" style="202"/>
    <col min="3351" max="3351" width="9.44140625" style="202" customWidth="1"/>
    <col min="3352" max="3584" width="8.88671875" style="202"/>
    <col min="3585" max="3585" width="3" style="202" customWidth="1"/>
    <col min="3586" max="3586" width="4.88671875" style="202" customWidth="1"/>
    <col min="3587" max="3587" width="7.6640625" style="202" customWidth="1"/>
    <col min="3588" max="3588" width="7.44140625" style="202" customWidth="1"/>
    <col min="3589" max="3589" width="5.5546875" style="202" customWidth="1"/>
    <col min="3590" max="3590" width="4.5546875" style="202" customWidth="1"/>
    <col min="3591" max="3591" width="8.5546875" style="202" customWidth="1"/>
    <col min="3592" max="3592" width="5.5546875" style="202" customWidth="1"/>
    <col min="3593" max="3593" width="6.6640625" style="202" bestFit="1" customWidth="1"/>
    <col min="3594" max="3594" width="6.88671875" style="202" customWidth="1"/>
    <col min="3595" max="3595" width="8.33203125" style="202" customWidth="1"/>
    <col min="3596" max="3596" width="9.44140625" style="202" customWidth="1"/>
    <col min="3597" max="3597" width="4.88671875" style="202" customWidth="1"/>
    <col min="3598" max="3606" width="8.88671875" style="202"/>
    <col min="3607" max="3607" width="9.44140625" style="202" customWidth="1"/>
    <col min="3608" max="3840" width="8.88671875" style="202"/>
    <col min="3841" max="3841" width="3" style="202" customWidth="1"/>
    <col min="3842" max="3842" width="4.88671875" style="202" customWidth="1"/>
    <col min="3843" max="3843" width="7.6640625" style="202" customWidth="1"/>
    <col min="3844" max="3844" width="7.44140625" style="202" customWidth="1"/>
    <col min="3845" max="3845" width="5.5546875" style="202" customWidth="1"/>
    <col min="3846" max="3846" width="4.5546875" style="202" customWidth="1"/>
    <col min="3847" max="3847" width="8.5546875" style="202" customWidth="1"/>
    <col min="3848" max="3848" width="5.5546875" style="202" customWidth="1"/>
    <col min="3849" max="3849" width="6.6640625" style="202" bestFit="1" customWidth="1"/>
    <col min="3850" max="3850" width="6.88671875" style="202" customWidth="1"/>
    <col min="3851" max="3851" width="8.33203125" style="202" customWidth="1"/>
    <col min="3852" max="3852" width="9.44140625" style="202" customWidth="1"/>
    <col min="3853" max="3853" width="4.88671875" style="202" customWidth="1"/>
    <col min="3854" max="3862" width="8.88671875" style="202"/>
    <col min="3863" max="3863" width="9.44140625" style="202" customWidth="1"/>
    <col min="3864" max="4096" width="8.88671875" style="202"/>
    <col min="4097" max="4097" width="3" style="202" customWidth="1"/>
    <col min="4098" max="4098" width="4.88671875" style="202" customWidth="1"/>
    <col min="4099" max="4099" width="7.6640625" style="202" customWidth="1"/>
    <col min="4100" max="4100" width="7.44140625" style="202" customWidth="1"/>
    <col min="4101" max="4101" width="5.5546875" style="202" customWidth="1"/>
    <col min="4102" max="4102" width="4.5546875" style="202" customWidth="1"/>
    <col min="4103" max="4103" width="8.5546875" style="202" customWidth="1"/>
    <col min="4104" max="4104" width="5.5546875" style="202" customWidth="1"/>
    <col min="4105" max="4105" width="6.6640625" style="202" bestFit="1" customWidth="1"/>
    <col min="4106" max="4106" width="6.88671875" style="202" customWidth="1"/>
    <col min="4107" max="4107" width="8.33203125" style="202" customWidth="1"/>
    <col min="4108" max="4108" width="9.44140625" style="202" customWidth="1"/>
    <col min="4109" max="4109" width="4.88671875" style="202" customWidth="1"/>
    <col min="4110" max="4118" width="8.88671875" style="202"/>
    <col min="4119" max="4119" width="9.44140625" style="202" customWidth="1"/>
    <col min="4120" max="4352" width="8.88671875" style="202"/>
    <col min="4353" max="4353" width="3" style="202" customWidth="1"/>
    <col min="4354" max="4354" width="4.88671875" style="202" customWidth="1"/>
    <col min="4355" max="4355" width="7.6640625" style="202" customWidth="1"/>
    <col min="4356" max="4356" width="7.44140625" style="202" customWidth="1"/>
    <col min="4357" max="4357" width="5.5546875" style="202" customWidth="1"/>
    <col min="4358" max="4358" width="4.5546875" style="202" customWidth="1"/>
    <col min="4359" max="4359" width="8.5546875" style="202" customWidth="1"/>
    <col min="4360" max="4360" width="5.5546875" style="202" customWidth="1"/>
    <col min="4361" max="4361" width="6.6640625" style="202" bestFit="1" customWidth="1"/>
    <col min="4362" max="4362" width="6.88671875" style="202" customWidth="1"/>
    <col min="4363" max="4363" width="8.33203125" style="202" customWidth="1"/>
    <col min="4364" max="4364" width="9.44140625" style="202" customWidth="1"/>
    <col min="4365" max="4365" width="4.88671875" style="202" customWidth="1"/>
    <col min="4366" max="4374" width="8.88671875" style="202"/>
    <col min="4375" max="4375" width="9.44140625" style="202" customWidth="1"/>
    <col min="4376" max="4608" width="8.88671875" style="202"/>
    <col min="4609" max="4609" width="3" style="202" customWidth="1"/>
    <col min="4610" max="4610" width="4.88671875" style="202" customWidth="1"/>
    <col min="4611" max="4611" width="7.6640625" style="202" customWidth="1"/>
    <col min="4612" max="4612" width="7.44140625" style="202" customWidth="1"/>
    <col min="4613" max="4613" width="5.5546875" style="202" customWidth="1"/>
    <col min="4614" max="4614" width="4.5546875" style="202" customWidth="1"/>
    <col min="4615" max="4615" width="8.5546875" style="202" customWidth="1"/>
    <col min="4616" max="4616" width="5.5546875" style="202" customWidth="1"/>
    <col min="4617" max="4617" width="6.6640625" style="202" bestFit="1" customWidth="1"/>
    <col min="4618" max="4618" width="6.88671875" style="202" customWidth="1"/>
    <col min="4619" max="4619" width="8.33203125" style="202" customWidth="1"/>
    <col min="4620" max="4620" width="9.44140625" style="202" customWidth="1"/>
    <col min="4621" max="4621" width="4.88671875" style="202" customWidth="1"/>
    <col min="4622" max="4630" width="8.88671875" style="202"/>
    <col min="4631" max="4631" width="9.44140625" style="202" customWidth="1"/>
    <col min="4632" max="4864" width="8.88671875" style="202"/>
    <col min="4865" max="4865" width="3" style="202" customWidth="1"/>
    <col min="4866" max="4866" width="4.88671875" style="202" customWidth="1"/>
    <col min="4867" max="4867" width="7.6640625" style="202" customWidth="1"/>
    <col min="4868" max="4868" width="7.44140625" style="202" customWidth="1"/>
    <col min="4869" max="4869" width="5.5546875" style="202" customWidth="1"/>
    <col min="4870" max="4870" width="4.5546875" style="202" customWidth="1"/>
    <col min="4871" max="4871" width="8.5546875" style="202" customWidth="1"/>
    <col min="4872" max="4872" width="5.5546875" style="202" customWidth="1"/>
    <col min="4873" max="4873" width="6.6640625" style="202" bestFit="1" customWidth="1"/>
    <col min="4874" max="4874" width="6.88671875" style="202" customWidth="1"/>
    <col min="4875" max="4875" width="8.33203125" style="202" customWidth="1"/>
    <col min="4876" max="4876" width="9.44140625" style="202" customWidth="1"/>
    <col min="4877" max="4877" width="4.88671875" style="202" customWidth="1"/>
    <col min="4878" max="4886" width="8.88671875" style="202"/>
    <col min="4887" max="4887" width="9.44140625" style="202" customWidth="1"/>
    <col min="4888" max="5120" width="8.88671875" style="202"/>
    <col min="5121" max="5121" width="3" style="202" customWidth="1"/>
    <col min="5122" max="5122" width="4.88671875" style="202" customWidth="1"/>
    <col min="5123" max="5123" width="7.6640625" style="202" customWidth="1"/>
    <col min="5124" max="5124" width="7.44140625" style="202" customWidth="1"/>
    <col min="5125" max="5125" width="5.5546875" style="202" customWidth="1"/>
    <col min="5126" max="5126" width="4.5546875" style="202" customWidth="1"/>
    <col min="5127" max="5127" width="8.5546875" style="202" customWidth="1"/>
    <col min="5128" max="5128" width="5.5546875" style="202" customWidth="1"/>
    <col min="5129" max="5129" width="6.6640625" style="202" bestFit="1" customWidth="1"/>
    <col min="5130" max="5130" width="6.88671875" style="202" customWidth="1"/>
    <col min="5131" max="5131" width="8.33203125" style="202" customWidth="1"/>
    <col min="5132" max="5132" width="9.44140625" style="202" customWidth="1"/>
    <col min="5133" max="5133" width="4.88671875" style="202" customWidth="1"/>
    <col min="5134" max="5142" width="8.88671875" style="202"/>
    <col min="5143" max="5143" width="9.44140625" style="202" customWidth="1"/>
    <col min="5144" max="5376" width="8.88671875" style="202"/>
    <col min="5377" max="5377" width="3" style="202" customWidth="1"/>
    <col min="5378" max="5378" width="4.88671875" style="202" customWidth="1"/>
    <col min="5379" max="5379" width="7.6640625" style="202" customWidth="1"/>
    <col min="5380" max="5380" width="7.44140625" style="202" customWidth="1"/>
    <col min="5381" max="5381" width="5.5546875" style="202" customWidth="1"/>
    <col min="5382" max="5382" width="4.5546875" style="202" customWidth="1"/>
    <col min="5383" max="5383" width="8.5546875" style="202" customWidth="1"/>
    <col min="5384" max="5384" width="5.5546875" style="202" customWidth="1"/>
    <col min="5385" max="5385" width="6.6640625" style="202" bestFit="1" customWidth="1"/>
    <col min="5386" max="5386" width="6.88671875" style="202" customWidth="1"/>
    <col min="5387" max="5387" width="8.33203125" style="202" customWidth="1"/>
    <col min="5388" max="5388" width="9.44140625" style="202" customWidth="1"/>
    <col min="5389" max="5389" width="4.88671875" style="202" customWidth="1"/>
    <col min="5390" max="5398" width="8.88671875" style="202"/>
    <col min="5399" max="5399" width="9.44140625" style="202" customWidth="1"/>
    <col min="5400" max="5632" width="8.88671875" style="202"/>
    <col min="5633" max="5633" width="3" style="202" customWidth="1"/>
    <col min="5634" max="5634" width="4.88671875" style="202" customWidth="1"/>
    <col min="5635" max="5635" width="7.6640625" style="202" customWidth="1"/>
    <col min="5636" max="5636" width="7.44140625" style="202" customWidth="1"/>
    <col min="5637" max="5637" width="5.5546875" style="202" customWidth="1"/>
    <col min="5638" max="5638" width="4.5546875" style="202" customWidth="1"/>
    <col min="5639" max="5639" width="8.5546875" style="202" customWidth="1"/>
    <col min="5640" max="5640" width="5.5546875" style="202" customWidth="1"/>
    <col min="5641" max="5641" width="6.6640625" style="202" bestFit="1" customWidth="1"/>
    <col min="5642" max="5642" width="6.88671875" style="202" customWidth="1"/>
    <col min="5643" max="5643" width="8.33203125" style="202" customWidth="1"/>
    <col min="5644" max="5644" width="9.44140625" style="202" customWidth="1"/>
    <col min="5645" max="5645" width="4.88671875" style="202" customWidth="1"/>
    <col min="5646" max="5654" width="8.88671875" style="202"/>
    <col min="5655" max="5655" width="9.44140625" style="202" customWidth="1"/>
    <col min="5656" max="5888" width="8.88671875" style="202"/>
    <col min="5889" max="5889" width="3" style="202" customWidth="1"/>
    <col min="5890" max="5890" width="4.88671875" style="202" customWidth="1"/>
    <col min="5891" max="5891" width="7.6640625" style="202" customWidth="1"/>
    <col min="5892" max="5892" width="7.44140625" style="202" customWidth="1"/>
    <col min="5893" max="5893" width="5.5546875" style="202" customWidth="1"/>
    <col min="5894" max="5894" width="4.5546875" style="202" customWidth="1"/>
    <col min="5895" max="5895" width="8.5546875" style="202" customWidth="1"/>
    <col min="5896" max="5896" width="5.5546875" style="202" customWidth="1"/>
    <col min="5897" max="5897" width="6.6640625" style="202" bestFit="1" customWidth="1"/>
    <col min="5898" max="5898" width="6.88671875" style="202" customWidth="1"/>
    <col min="5899" max="5899" width="8.33203125" style="202" customWidth="1"/>
    <col min="5900" max="5900" width="9.44140625" style="202" customWidth="1"/>
    <col min="5901" max="5901" width="4.88671875" style="202" customWidth="1"/>
    <col min="5902" max="5910" width="8.88671875" style="202"/>
    <col min="5911" max="5911" width="9.44140625" style="202" customWidth="1"/>
    <col min="5912" max="6144" width="8.88671875" style="202"/>
    <col min="6145" max="6145" width="3" style="202" customWidth="1"/>
    <col min="6146" max="6146" width="4.88671875" style="202" customWidth="1"/>
    <col min="6147" max="6147" width="7.6640625" style="202" customWidth="1"/>
    <col min="6148" max="6148" width="7.44140625" style="202" customWidth="1"/>
    <col min="6149" max="6149" width="5.5546875" style="202" customWidth="1"/>
    <col min="6150" max="6150" width="4.5546875" style="202" customWidth="1"/>
    <col min="6151" max="6151" width="8.5546875" style="202" customWidth="1"/>
    <col min="6152" max="6152" width="5.5546875" style="202" customWidth="1"/>
    <col min="6153" max="6153" width="6.6640625" style="202" bestFit="1" customWidth="1"/>
    <col min="6154" max="6154" width="6.88671875" style="202" customWidth="1"/>
    <col min="6155" max="6155" width="8.33203125" style="202" customWidth="1"/>
    <col min="6156" max="6156" width="9.44140625" style="202" customWidth="1"/>
    <col min="6157" max="6157" width="4.88671875" style="202" customWidth="1"/>
    <col min="6158" max="6166" width="8.88671875" style="202"/>
    <col min="6167" max="6167" width="9.44140625" style="202" customWidth="1"/>
    <col min="6168" max="6400" width="8.88671875" style="202"/>
    <col min="6401" max="6401" width="3" style="202" customWidth="1"/>
    <col min="6402" max="6402" width="4.88671875" style="202" customWidth="1"/>
    <col min="6403" max="6403" width="7.6640625" style="202" customWidth="1"/>
    <col min="6404" max="6404" width="7.44140625" style="202" customWidth="1"/>
    <col min="6405" max="6405" width="5.5546875" style="202" customWidth="1"/>
    <col min="6406" max="6406" width="4.5546875" style="202" customWidth="1"/>
    <col min="6407" max="6407" width="8.5546875" style="202" customWidth="1"/>
    <col min="6408" max="6408" width="5.5546875" style="202" customWidth="1"/>
    <col min="6409" max="6409" width="6.6640625" style="202" bestFit="1" customWidth="1"/>
    <col min="6410" max="6410" width="6.88671875" style="202" customWidth="1"/>
    <col min="6411" max="6411" width="8.33203125" style="202" customWidth="1"/>
    <col min="6412" max="6412" width="9.44140625" style="202" customWidth="1"/>
    <col min="6413" max="6413" width="4.88671875" style="202" customWidth="1"/>
    <col min="6414" max="6422" width="8.88671875" style="202"/>
    <col min="6423" max="6423" width="9.44140625" style="202" customWidth="1"/>
    <col min="6424" max="6656" width="8.88671875" style="202"/>
    <col min="6657" max="6657" width="3" style="202" customWidth="1"/>
    <col min="6658" max="6658" width="4.88671875" style="202" customWidth="1"/>
    <col min="6659" max="6659" width="7.6640625" style="202" customWidth="1"/>
    <col min="6660" max="6660" width="7.44140625" style="202" customWidth="1"/>
    <col min="6661" max="6661" width="5.5546875" style="202" customWidth="1"/>
    <col min="6662" max="6662" width="4.5546875" style="202" customWidth="1"/>
    <col min="6663" max="6663" width="8.5546875" style="202" customWidth="1"/>
    <col min="6664" max="6664" width="5.5546875" style="202" customWidth="1"/>
    <col min="6665" max="6665" width="6.6640625" style="202" bestFit="1" customWidth="1"/>
    <col min="6666" max="6666" width="6.88671875" style="202" customWidth="1"/>
    <col min="6667" max="6667" width="8.33203125" style="202" customWidth="1"/>
    <col min="6668" max="6668" width="9.44140625" style="202" customWidth="1"/>
    <col min="6669" max="6669" width="4.88671875" style="202" customWidth="1"/>
    <col min="6670" max="6678" width="8.88671875" style="202"/>
    <col min="6679" max="6679" width="9.44140625" style="202" customWidth="1"/>
    <col min="6680" max="6912" width="8.88671875" style="202"/>
    <col min="6913" max="6913" width="3" style="202" customWidth="1"/>
    <col min="6914" max="6914" width="4.88671875" style="202" customWidth="1"/>
    <col min="6915" max="6915" width="7.6640625" style="202" customWidth="1"/>
    <col min="6916" max="6916" width="7.44140625" style="202" customWidth="1"/>
    <col min="6917" max="6917" width="5.5546875" style="202" customWidth="1"/>
    <col min="6918" max="6918" width="4.5546875" style="202" customWidth="1"/>
    <col min="6919" max="6919" width="8.5546875" style="202" customWidth="1"/>
    <col min="6920" max="6920" width="5.5546875" style="202" customWidth="1"/>
    <col min="6921" max="6921" width="6.6640625" style="202" bestFit="1" customWidth="1"/>
    <col min="6922" max="6922" width="6.88671875" style="202" customWidth="1"/>
    <col min="6923" max="6923" width="8.33203125" style="202" customWidth="1"/>
    <col min="6924" max="6924" width="9.44140625" style="202" customWidth="1"/>
    <col min="6925" max="6925" width="4.88671875" style="202" customWidth="1"/>
    <col min="6926" max="6934" width="8.88671875" style="202"/>
    <col min="6935" max="6935" width="9.44140625" style="202" customWidth="1"/>
    <col min="6936" max="7168" width="8.88671875" style="202"/>
    <col min="7169" max="7169" width="3" style="202" customWidth="1"/>
    <col min="7170" max="7170" width="4.88671875" style="202" customWidth="1"/>
    <col min="7171" max="7171" width="7.6640625" style="202" customWidth="1"/>
    <col min="7172" max="7172" width="7.44140625" style="202" customWidth="1"/>
    <col min="7173" max="7173" width="5.5546875" style="202" customWidth="1"/>
    <col min="7174" max="7174" width="4.5546875" style="202" customWidth="1"/>
    <col min="7175" max="7175" width="8.5546875" style="202" customWidth="1"/>
    <col min="7176" max="7176" width="5.5546875" style="202" customWidth="1"/>
    <col min="7177" max="7177" width="6.6640625" style="202" bestFit="1" customWidth="1"/>
    <col min="7178" max="7178" width="6.88671875" style="202" customWidth="1"/>
    <col min="7179" max="7179" width="8.33203125" style="202" customWidth="1"/>
    <col min="7180" max="7180" width="9.44140625" style="202" customWidth="1"/>
    <col min="7181" max="7181" width="4.88671875" style="202" customWidth="1"/>
    <col min="7182" max="7190" width="8.88671875" style="202"/>
    <col min="7191" max="7191" width="9.44140625" style="202" customWidth="1"/>
    <col min="7192" max="7424" width="8.88671875" style="202"/>
    <col min="7425" max="7425" width="3" style="202" customWidth="1"/>
    <col min="7426" max="7426" width="4.88671875" style="202" customWidth="1"/>
    <col min="7427" max="7427" width="7.6640625" style="202" customWidth="1"/>
    <col min="7428" max="7428" width="7.44140625" style="202" customWidth="1"/>
    <col min="7429" max="7429" width="5.5546875" style="202" customWidth="1"/>
    <col min="7430" max="7430" width="4.5546875" style="202" customWidth="1"/>
    <col min="7431" max="7431" width="8.5546875" style="202" customWidth="1"/>
    <col min="7432" max="7432" width="5.5546875" style="202" customWidth="1"/>
    <col min="7433" max="7433" width="6.6640625" style="202" bestFit="1" customWidth="1"/>
    <col min="7434" max="7434" width="6.88671875" style="202" customWidth="1"/>
    <col min="7435" max="7435" width="8.33203125" style="202" customWidth="1"/>
    <col min="7436" max="7436" width="9.44140625" style="202" customWidth="1"/>
    <col min="7437" max="7437" width="4.88671875" style="202" customWidth="1"/>
    <col min="7438" max="7446" width="8.88671875" style="202"/>
    <col min="7447" max="7447" width="9.44140625" style="202" customWidth="1"/>
    <col min="7448" max="7680" width="8.88671875" style="202"/>
    <col min="7681" max="7681" width="3" style="202" customWidth="1"/>
    <col min="7682" max="7682" width="4.88671875" style="202" customWidth="1"/>
    <col min="7683" max="7683" width="7.6640625" style="202" customWidth="1"/>
    <col min="7684" max="7684" width="7.44140625" style="202" customWidth="1"/>
    <col min="7685" max="7685" width="5.5546875" style="202" customWidth="1"/>
    <col min="7686" max="7686" width="4.5546875" style="202" customWidth="1"/>
    <col min="7687" max="7687" width="8.5546875" style="202" customWidth="1"/>
    <col min="7688" max="7688" width="5.5546875" style="202" customWidth="1"/>
    <col min="7689" max="7689" width="6.6640625" style="202" bestFit="1" customWidth="1"/>
    <col min="7690" max="7690" width="6.88671875" style="202" customWidth="1"/>
    <col min="7691" max="7691" width="8.33203125" style="202" customWidth="1"/>
    <col min="7692" max="7692" width="9.44140625" style="202" customWidth="1"/>
    <col min="7693" max="7693" width="4.88671875" style="202" customWidth="1"/>
    <col min="7694" max="7702" width="8.88671875" style="202"/>
    <col min="7703" max="7703" width="9.44140625" style="202" customWidth="1"/>
    <col min="7704" max="7936" width="8.88671875" style="202"/>
    <col min="7937" max="7937" width="3" style="202" customWidth="1"/>
    <col min="7938" max="7938" width="4.88671875" style="202" customWidth="1"/>
    <col min="7939" max="7939" width="7.6640625" style="202" customWidth="1"/>
    <col min="7940" max="7940" width="7.44140625" style="202" customWidth="1"/>
    <col min="7941" max="7941" width="5.5546875" style="202" customWidth="1"/>
    <col min="7942" max="7942" width="4.5546875" style="202" customWidth="1"/>
    <col min="7943" max="7943" width="8.5546875" style="202" customWidth="1"/>
    <col min="7944" max="7944" width="5.5546875" style="202" customWidth="1"/>
    <col min="7945" max="7945" width="6.6640625" style="202" bestFit="1" customWidth="1"/>
    <col min="7946" max="7946" width="6.88671875" style="202" customWidth="1"/>
    <col min="7947" max="7947" width="8.33203125" style="202" customWidth="1"/>
    <col min="7948" max="7948" width="9.44140625" style="202" customWidth="1"/>
    <col min="7949" max="7949" width="4.88671875" style="202" customWidth="1"/>
    <col min="7950" max="7958" width="8.88671875" style="202"/>
    <col min="7959" max="7959" width="9.44140625" style="202" customWidth="1"/>
    <col min="7960" max="8192" width="8.88671875" style="202"/>
    <col min="8193" max="8193" width="3" style="202" customWidth="1"/>
    <col min="8194" max="8194" width="4.88671875" style="202" customWidth="1"/>
    <col min="8195" max="8195" width="7.6640625" style="202" customWidth="1"/>
    <col min="8196" max="8196" width="7.44140625" style="202" customWidth="1"/>
    <col min="8197" max="8197" width="5.5546875" style="202" customWidth="1"/>
    <col min="8198" max="8198" width="4.5546875" style="202" customWidth="1"/>
    <col min="8199" max="8199" width="8.5546875" style="202" customWidth="1"/>
    <col min="8200" max="8200" width="5.5546875" style="202" customWidth="1"/>
    <col min="8201" max="8201" width="6.6640625" style="202" bestFit="1" customWidth="1"/>
    <col min="8202" max="8202" width="6.88671875" style="202" customWidth="1"/>
    <col min="8203" max="8203" width="8.33203125" style="202" customWidth="1"/>
    <col min="8204" max="8204" width="9.44140625" style="202" customWidth="1"/>
    <col min="8205" max="8205" width="4.88671875" style="202" customWidth="1"/>
    <col min="8206" max="8214" width="8.88671875" style="202"/>
    <col min="8215" max="8215" width="9.44140625" style="202" customWidth="1"/>
    <col min="8216" max="8448" width="8.88671875" style="202"/>
    <col min="8449" max="8449" width="3" style="202" customWidth="1"/>
    <col min="8450" max="8450" width="4.88671875" style="202" customWidth="1"/>
    <col min="8451" max="8451" width="7.6640625" style="202" customWidth="1"/>
    <col min="8452" max="8452" width="7.44140625" style="202" customWidth="1"/>
    <col min="8453" max="8453" width="5.5546875" style="202" customWidth="1"/>
    <col min="8454" max="8454" width="4.5546875" style="202" customWidth="1"/>
    <col min="8455" max="8455" width="8.5546875" style="202" customWidth="1"/>
    <col min="8456" max="8456" width="5.5546875" style="202" customWidth="1"/>
    <col min="8457" max="8457" width="6.6640625" style="202" bestFit="1" customWidth="1"/>
    <col min="8458" max="8458" width="6.88671875" style="202" customWidth="1"/>
    <col min="8459" max="8459" width="8.33203125" style="202" customWidth="1"/>
    <col min="8460" max="8460" width="9.44140625" style="202" customWidth="1"/>
    <col min="8461" max="8461" width="4.88671875" style="202" customWidth="1"/>
    <col min="8462" max="8470" width="8.88671875" style="202"/>
    <col min="8471" max="8471" width="9.44140625" style="202" customWidth="1"/>
    <col min="8472" max="8704" width="8.88671875" style="202"/>
    <col min="8705" max="8705" width="3" style="202" customWidth="1"/>
    <col min="8706" max="8706" width="4.88671875" style="202" customWidth="1"/>
    <col min="8707" max="8707" width="7.6640625" style="202" customWidth="1"/>
    <col min="8708" max="8708" width="7.44140625" style="202" customWidth="1"/>
    <col min="8709" max="8709" width="5.5546875" style="202" customWidth="1"/>
    <col min="8710" max="8710" width="4.5546875" style="202" customWidth="1"/>
    <col min="8711" max="8711" width="8.5546875" style="202" customWidth="1"/>
    <col min="8712" max="8712" width="5.5546875" style="202" customWidth="1"/>
    <col min="8713" max="8713" width="6.6640625" style="202" bestFit="1" customWidth="1"/>
    <col min="8714" max="8714" width="6.88671875" style="202" customWidth="1"/>
    <col min="8715" max="8715" width="8.33203125" style="202" customWidth="1"/>
    <col min="8716" max="8716" width="9.44140625" style="202" customWidth="1"/>
    <col min="8717" max="8717" width="4.88671875" style="202" customWidth="1"/>
    <col min="8718" max="8726" width="8.88671875" style="202"/>
    <col min="8727" max="8727" width="9.44140625" style="202" customWidth="1"/>
    <col min="8728" max="8960" width="8.88671875" style="202"/>
    <col min="8961" max="8961" width="3" style="202" customWidth="1"/>
    <col min="8962" max="8962" width="4.88671875" style="202" customWidth="1"/>
    <col min="8963" max="8963" width="7.6640625" style="202" customWidth="1"/>
    <col min="8964" max="8964" width="7.44140625" style="202" customWidth="1"/>
    <col min="8965" max="8965" width="5.5546875" style="202" customWidth="1"/>
    <col min="8966" max="8966" width="4.5546875" style="202" customWidth="1"/>
    <col min="8967" max="8967" width="8.5546875" style="202" customWidth="1"/>
    <col min="8968" max="8968" width="5.5546875" style="202" customWidth="1"/>
    <col min="8969" max="8969" width="6.6640625" style="202" bestFit="1" customWidth="1"/>
    <col min="8970" max="8970" width="6.88671875" style="202" customWidth="1"/>
    <col min="8971" max="8971" width="8.33203125" style="202" customWidth="1"/>
    <col min="8972" max="8972" width="9.44140625" style="202" customWidth="1"/>
    <col min="8973" max="8973" width="4.88671875" style="202" customWidth="1"/>
    <col min="8974" max="8982" width="8.88671875" style="202"/>
    <col min="8983" max="8983" width="9.44140625" style="202" customWidth="1"/>
    <col min="8984" max="9216" width="8.88671875" style="202"/>
    <col min="9217" max="9217" width="3" style="202" customWidth="1"/>
    <col min="9218" max="9218" width="4.88671875" style="202" customWidth="1"/>
    <col min="9219" max="9219" width="7.6640625" style="202" customWidth="1"/>
    <col min="9220" max="9220" width="7.44140625" style="202" customWidth="1"/>
    <col min="9221" max="9221" width="5.5546875" style="202" customWidth="1"/>
    <col min="9222" max="9222" width="4.5546875" style="202" customWidth="1"/>
    <col min="9223" max="9223" width="8.5546875" style="202" customWidth="1"/>
    <col min="9224" max="9224" width="5.5546875" style="202" customWidth="1"/>
    <col min="9225" max="9225" width="6.6640625" style="202" bestFit="1" customWidth="1"/>
    <col min="9226" max="9226" width="6.88671875" style="202" customWidth="1"/>
    <col min="9227" max="9227" width="8.33203125" style="202" customWidth="1"/>
    <col min="9228" max="9228" width="9.44140625" style="202" customWidth="1"/>
    <col min="9229" max="9229" width="4.88671875" style="202" customWidth="1"/>
    <col min="9230" max="9238" width="8.88671875" style="202"/>
    <col min="9239" max="9239" width="9.44140625" style="202" customWidth="1"/>
    <col min="9240" max="9472" width="8.88671875" style="202"/>
    <col min="9473" max="9473" width="3" style="202" customWidth="1"/>
    <col min="9474" max="9474" width="4.88671875" style="202" customWidth="1"/>
    <col min="9475" max="9475" width="7.6640625" style="202" customWidth="1"/>
    <col min="9476" max="9476" width="7.44140625" style="202" customWidth="1"/>
    <col min="9477" max="9477" width="5.5546875" style="202" customWidth="1"/>
    <col min="9478" max="9478" width="4.5546875" style="202" customWidth="1"/>
    <col min="9479" max="9479" width="8.5546875" style="202" customWidth="1"/>
    <col min="9480" max="9480" width="5.5546875" style="202" customWidth="1"/>
    <col min="9481" max="9481" width="6.6640625" style="202" bestFit="1" customWidth="1"/>
    <col min="9482" max="9482" width="6.88671875" style="202" customWidth="1"/>
    <col min="9483" max="9483" width="8.33203125" style="202" customWidth="1"/>
    <col min="9484" max="9484" width="9.44140625" style="202" customWidth="1"/>
    <col min="9485" max="9485" width="4.88671875" style="202" customWidth="1"/>
    <col min="9486" max="9494" width="8.88671875" style="202"/>
    <col min="9495" max="9495" width="9.44140625" style="202" customWidth="1"/>
    <col min="9496" max="9728" width="8.88671875" style="202"/>
    <col min="9729" max="9729" width="3" style="202" customWidth="1"/>
    <col min="9730" max="9730" width="4.88671875" style="202" customWidth="1"/>
    <col min="9731" max="9731" width="7.6640625" style="202" customWidth="1"/>
    <col min="9732" max="9732" width="7.44140625" style="202" customWidth="1"/>
    <col min="9733" max="9733" width="5.5546875" style="202" customWidth="1"/>
    <col min="9734" max="9734" width="4.5546875" style="202" customWidth="1"/>
    <col min="9735" max="9735" width="8.5546875" style="202" customWidth="1"/>
    <col min="9736" max="9736" width="5.5546875" style="202" customWidth="1"/>
    <col min="9737" max="9737" width="6.6640625" style="202" bestFit="1" customWidth="1"/>
    <col min="9738" max="9738" width="6.88671875" style="202" customWidth="1"/>
    <col min="9739" max="9739" width="8.33203125" style="202" customWidth="1"/>
    <col min="9740" max="9740" width="9.44140625" style="202" customWidth="1"/>
    <col min="9741" max="9741" width="4.88671875" style="202" customWidth="1"/>
    <col min="9742" max="9750" width="8.88671875" style="202"/>
    <col min="9751" max="9751" width="9.44140625" style="202" customWidth="1"/>
    <col min="9752" max="9984" width="8.88671875" style="202"/>
    <col min="9985" max="9985" width="3" style="202" customWidth="1"/>
    <col min="9986" max="9986" width="4.88671875" style="202" customWidth="1"/>
    <col min="9987" max="9987" width="7.6640625" style="202" customWidth="1"/>
    <col min="9988" max="9988" width="7.44140625" style="202" customWidth="1"/>
    <col min="9989" max="9989" width="5.5546875" style="202" customWidth="1"/>
    <col min="9990" max="9990" width="4.5546875" style="202" customWidth="1"/>
    <col min="9991" max="9991" width="8.5546875" style="202" customWidth="1"/>
    <col min="9992" max="9992" width="5.5546875" style="202" customWidth="1"/>
    <col min="9993" max="9993" width="6.6640625" style="202" bestFit="1" customWidth="1"/>
    <col min="9994" max="9994" width="6.88671875" style="202" customWidth="1"/>
    <col min="9995" max="9995" width="8.33203125" style="202" customWidth="1"/>
    <col min="9996" max="9996" width="9.44140625" style="202" customWidth="1"/>
    <col min="9997" max="9997" width="4.88671875" style="202" customWidth="1"/>
    <col min="9998" max="10006" width="8.88671875" style="202"/>
    <col min="10007" max="10007" width="9.44140625" style="202" customWidth="1"/>
    <col min="10008" max="10240" width="8.88671875" style="202"/>
    <col min="10241" max="10241" width="3" style="202" customWidth="1"/>
    <col min="10242" max="10242" width="4.88671875" style="202" customWidth="1"/>
    <col min="10243" max="10243" width="7.6640625" style="202" customWidth="1"/>
    <col min="10244" max="10244" width="7.44140625" style="202" customWidth="1"/>
    <col min="10245" max="10245" width="5.5546875" style="202" customWidth="1"/>
    <col min="10246" max="10246" width="4.5546875" style="202" customWidth="1"/>
    <col min="10247" max="10247" width="8.5546875" style="202" customWidth="1"/>
    <col min="10248" max="10248" width="5.5546875" style="202" customWidth="1"/>
    <col min="10249" max="10249" width="6.6640625" style="202" bestFit="1" customWidth="1"/>
    <col min="10250" max="10250" width="6.88671875" style="202" customWidth="1"/>
    <col min="10251" max="10251" width="8.33203125" style="202" customWidth="1"/>
    <col min="10252" max="10252" width="9.44140625" style="202" customWidth="1"/>
    <col min="10253" max="10253" width="4.88671875" style="202" customWidth="1"/>
    <col min="10254" max="10262" width="8.88671875" style="202"/>
    <col min="10263" max="10263" width="9.44140625" style="202" customWidth="1"/>
    <col min="10264" max="10496" width="8.88671875" style="202"/>
    <col min="10497" max="10497" width="3" style="202" customWidth="1"/>
    <col min="10498" max="10498" width="4.88671875" style="202" customWidth="1"/>
    <col min="10499" max="10499" width="7.6640625" style="202" customWidth="1"/>
    <col min="10500" max="10500" width="7.44140625" style="202" customWidth="1"/>
    <col min="10501" max="10501" width="5.5546875" style="202" customWidth="1"/>
    <col min="10502" max="10502" width="4.5546875" style="202" customWidth="1"/>
    <col min="10503" max="10503" width="8.5546875" style="202" customWidth="1"/>
    <col min="10504" max="10504" width="5.5546875" style="202" customWidth="1"/>
    <col min="10505" max="10505" width="6.6640625" style="202" bestFit="1" customWidth="1"/>
    <col min="10506" max="10506" width="6.88671875" style="202" customWidth="1"/>
    <col min="10507" max="10507" width="8.33203125" style="202" customWidth="1"/>
    <col min="10508" max="10508" width="9.44140625" style="202" customWidth="1"/>
    <col min="10509" max="10509" width="4.88671875" style="202" customWidth="1"/>
    <col min="10510" max="10518" width="8.88671875" style="202"/>
    <col min="10519" max="10519" width="9.44140625" style="202" customWidth="1"/>
    <col min="10520" max="10752" width="8.88671875" style="202"/>
    <col min="10753" max="10753" width="3" style="202" customWidth="1"/>
    <col min="10754" max="10754" width="4.88671875" style="202" customWidth="1"/>
    <col min="10755" max="10755" width="7.6640625" style="202" customWidth="1"/>
    <col min="10756" max="10756" width="7.44140625" style="202" customWidth="1"/>
    <col min="10757" max="10757" width="5.5546875" style="202" customWidth="1"/>
    <col min="10758" max="10758" width="4.5546875" style="202" customWidth="1"/>
    <col min="10759" max="10759" width="8.5546875" style="202" customWidth="1"/>
    <col min="10760" max="10760" width="5.5546875" style="202" customWidth="1"/>
    <col min="10761" max="10761" width="6.6640625" style="202" bestFit="1" customWidth="1"/>
    <col min="10762" max="10762" width="6.88671875" style="202" customWidth="1"/>
    <col min="10763" max="10763" width="8.33203125" style="202" customWidth="1"/>
    <col min="10764" max="10764" width="9.44140625" style="202" customWidth="1"/>
    <col min="10765" max="10765" width="4.88671875" style="202" customWidth="1"/>
    <col min="10766" max="10774" width="8.88671875" style="202"/>
    <col min="10775" max="10775" width="9.44140625" style="202" customWidth="1"/>
    <col min="10776" max="11008" width="8.88671875" style="202"/>
    <col min="11009" max="11009" width="3" style="202" customWidth="1"/>
    <col min="11010" max="11010" width="4.88671875" style="202" customWidth="1"/>
    <col min="11011" max="11011" width="7.6640625" style="202" customWidth="1"/>
    <col min="11012" max="11012" width="7.44140625" style="202" customWidth="1"/>
    <col min="11013" max="11013" width="5.5546875" style="202" customWidth="1"/>
    <col min="11014" max="11014" width="4.5546875" style="202" customWidth="1"/>
    <col min="11015" max="11015" width="8.5546875" style="202" customWidth="1"/>
    <col min="11016" max="11016" width="5.5546875" style="202" customWidth="1"/>
    <col min="11017" max="11017" width="6.6640625" style="202" bestFit="1" customWidth="1"/>
    <col min="11018" max="11018" width="6.88671875" style="202" customWidth="1"/>
    <col min="11019" max="11019" width="8.33203125" style="202" customWidth="1"/>
    <col min="11020" max="11020" width="9.44140625" style="202" customWidth="1"/>
    <col min="11021" max="11021" width="4.88671875" style="202" customWidth="1"/>
    <col min="11022" max="11030" width="8.88671875" style="202"/>
    <col min="11031" max="11031" width="9.44140625" style="202" customWidth="1"/>
    <col min="11032" max="11264" width="8.88671875" style="202"/>
    <col min="11265" max="11265" width="3" style="202" customWidth="1"/>
    <col min="11266" max="11266" width="4.88671875" style="202" customWidth="1"/>
    <col min="11267" max="11267" width="7.6640625" style="202" customWidth="1"/>
    <col min="11268" max="11268" width="7.44140625" style="202" customWidth="1"/>
    <col min="11269" max="11269" width="5.5546875" style="202" customWidth="1"/>
    <col min="11270" max="11270" width="4.5546875" style="202" customWidth="1"/>
    <col min="11271" max="11271" width="8.5546875" style="202" customWidth="1"/>
    <col min="11272" max="11272" width="5.5546875" style="202" customWidth="1"/>
    <col min="11273" max="11273" width="6.6640625" style="202" bestFit="1" customWidth="1"/>
    <col min="11274" max="11274" width="6.88671875" style="202" customWidth="1"/>
    <col min="11275" max="11275" width="8.33203125" style="202" customWidth="1"/>
    <col min="11276" max="11276" width="9.44140625" style="202" customWidth="1"/>
    <col min="11277" max="11277" width="4.88671875" style="202" customWidth="1"/>
    <col min="11278" max="11286" width="8.88671875" style="202"/>
    <col min="11287" max="11287" width="9.44140625" style="202" customWidth="1"/>
    <col min="11288" max="11520" width="8.88671875" style="202"/>
    <col min="11521" max="11521" width="3" style="202" customWidth="1"/>
    <col min="11522" max="11522" width="4.88671875" style="202" customWidth="1"/>
    <col min="11523" max="11523" width="7.6640625" style="202" customWidth="1"/>
    <col min="11524" max="11524" width="7.44140625" style="202" customWidth="1"/>
    <col min="11525" max="11525" width="5.5546875" style="202" customWidth="1"/>
    <col min="11526" max="11526" width="4.5546875" style="202" customWidth="1"/>
    <col min="11527" max="11527" width="8.5546875" style="202" customWidth="1"/>
    <col min="11528" max="11528" width="5.5546875" style="202" customWidth="1"/>
    <col min="11529" max="11529" width="6.6640625" style="202" bestFit="1" customWidth="1"/>
    <col min="11530" max="11530" width="6.88671875" style="202" customWidth="1"/>
    <col min="11531" max="11531" width="8.33203125" style="202" customWidth="1"/>
    <col min="11532" max="11532" width="9.44140625" style="202" customWidth="1"/>
    <col min="11533" max="11533" width="4.88671875" style="202" customWidth="1"/>
    <col min="11534" max="11542" width="8.88671875" style="202"/>
    <col min="11543" max="11543" width="9.44140625" style="202" customWidth="1"/>
    <col min="11544" max="11776" width="8.88671875" style="202"/>
    <col min="11777" max="11777" width="3" style="202" customWidth="1"/>
    <col min="11778" max="11778" width="4.88671875" style="202" customWidth="1"/>
    <col min="11779" max="11779" width="7.6640625" style="202" customWidth="1"/>
    <col min="11780" max="11780" width="7.44140625" style="202" customWidth="1"/>
    <col min="11781" max="11781" width="5.5546875" style="202" customWidth="1"/>
    <col min="11782" max="11782" width="4.5546875" style="202" customWidth="1"/>
    <col min="11783" max="11783" width="8.5546875" style="202" customWidth="1"/>
    <col min="11784" max="11784" width="5.5546875" style="202" customWidth="1"/>
    <col min="11785" max="11785" width="6.6640625" style="202" bestFit="1" customWidth="1"/>
    <col min="11786" max="11786" width="6.88671875" style="202" customWidth="1"/>
    <col min="11787" max="11787" width="8.33203125" style="202" customWidth="1"/>
    <col min="11788" max="11788" width="9.44140625" style="202" customWidth="1"/>
    <col min="11789" max="11789" width="4.88671875" style="202" customWidth="1"/>
    <col min="11790" max="11798" width="8.88671875" style="202"/>
    <col min="11799" max="11799" width="9.44140625" style="202" customWidth="1"/>
    <col min="11800" max="12032" width="8.88671875" style="202"/>
    <col min="12033" max="12033" width="3" style="202" customWidth="1"/>
    <col min="12034" max="12034" width="4.88671875" style="202" customWidth="1"/>
    <col min="12035" max="12035" width="7.6640625" style="202" customWidth="1"/>
    <col min="12036" max="12036" width="7.44140625" style="202" customWidth="1"/>
    <col min="12037" max="12037" width="5.5546875" style="202" customWidth="1"/>
    <col min="12038" max="12038" width="4.5546875" style="202" customWidth="1"/>
    <col min="12039" max="12039" width="8.5546875" style="202" customWidth="1"/>
    <col min="12040" max="12040" width="5.5546875" style="202" customWidth="1"/>
    <col min="12041" max="12041" width="6.6640625" style="202" bestFit="1" customWidth="1"/>
    <col min="12042" max="12042" width="6.88671875" style="202" customWidth="1"/>
    <col min="12043" max="12043" width="8.33203125" style="202" customWidth="1"/>
    <col min="12044" max="12044" width="9.44140625" style="202" customWidth="1"/>
    <col min="12045" max="12045" width="4.88671875" style="202" customWidth="1"/>
    <col min="12046" max="12054" width="8.88671875" style="202"/>
    <col min="12055" max="12055" width="9.44140625" style="202" customWidth="1"/>
    <col min="12056" max="12288" width="8.88671875" style="202"/>
    <col min="12289" max="12289" width="3" style="202" customWidth="1"/>
    <col min="12290" max="12290" width="4.88671875" style="202" customWidth="1"/>
    <col min="12291" max="12291" width="7.6640625" style="202" customWidth="1"/>
    <col min="12292" max="12292" width="7.44140625" style="202" customWidth="1"/>
    <col min="12293" max="12293" width="5.5546875" style="202" customWidth="1"/>
    <col min="12294" max="12294" width="4.5546875" style="202" customWidth="1"/>
    <col min="12295" max="12295" width="8.5546875" style="202" customWidth="1"/>
    <col min="12296" max="12296" width="5.5546875" style="202" customWidth="1"/>
    <col min="12297" max="12297" width="6.6640625" style="202" bestFit="1" customWidth="1"/>
    <col min="12298" max="12298" width="6.88671875" style="202" customWidth="1"/>
    <col min="12299" max="12299" width="8.33203125" style="202" customWidth="1"/>
    <col min="12300" max="12300" width="9.44140625" style="202" customWidth="1"/>
    <col min="12301" max="12301" width="4.88671875" style="202" customWidth="1"/>
    <col min="12302" max="12310" width="8.88671875" style="202"/>
    <col min="12311" max="12311" width="9.44140625" style="202" customWidth="1"/>
    <col min="12312" max="12544" width="8.88671875" style="202"/>
    <col min="12545" max="12545" width="3" style="202" customWidth="1"/>
    <col min="12546" max="12546" width="4.88671875" style="202" customWidth="1"/>
    <col min="12547" max="12547" width="7.6640625" style="202" customWidth="1"/>
    <col min="12548" max="12548" width="7.44140625" style="202" customWidth="1"/>
    <col min="12549" max="12549" width="5.5546875" style="202" customWidth="1"/>
    <col min="12550" max="12550" width="4.5546875" style="202" customWidth="1"/>
    <col min="12551" max="12551" width="8.5546875" style="202" customWidth="1"/>
    <col min="12552" max="12552" width="5.5546875" style="202" customWidth="1"/>
    <col min="12553" max="12553" width="6.6640625" style="202" bestFit="1" customWidth="1"/>
    <col min="12554" max="12554" width="6.88671875" style="202" customWidth="1"/>
    <col min="12555" max="12555" width="8.33203125" style="202" customWidth="1"/>
    <col min="12556" max="12556" width="9.44140625" style="202" customWidth="1"/>
    <col min="12557" max="12557" width="4.88671875" style="202" customWidth="1"/>
    <col min="12558" max="12566" width="8.88671875" style="202"/>
    <col min="12567" max="12567" width="9.44140625" style="202" customWidth="1"/>
    <col min="12568" max="12800" width="8.88671875" style="202"/>
    <col min="12801" max="12801" width="3" style="202" customWidth="1"/>
    <col min="12802" max="12802" width="4.88671875" style="202" customWidth="1"/>
    <col min="12803" max="12803" width="7.6640625" style="202" customWidth="1"/>
    <col min="12804" max="12804" width="7.44140625" style="202" customWidth="1"/>
    <col min="12805" max="12805" width="5.5546875" style="202" customWidth="1"/>
    <col min="12806" max="12806" width="4.5546875" style="202" customWidth="1"/>
    <col min="12807" max="12807" width="8.5546875" style="202" customWidth="1"/>
    <col min="12808" max="12808" width="5.5546875" style="202" customWidth="1"/>
    <col min="12809" max="12809" width="6.6640625" style="202" bestFit="1" customWidth="1"/>
    <col min="12810" max="12810" width="6.88671875" style="202" customWidth="1"/>
    <col min="12811" max="12811" width="8.33203125" style="202" customWidth="1"/>
    <col min="12812" max="12812" width="9.44140625" style="202" customWidth="1"/>
    <col min="12813" max="12813" width="4.88671875" style="202" customWidth="1"/>
    <col min="12814" max="12822" width="8.88671875" style="202"/>
    <col min="12823" max="12823" width="9.44140625" style="202" customWidth="1"/>
    <col min="12824" max="13056" width="8.88671875" style="202"/>
    <col min="13057" max="13057" width="3" style="202" customWidth="1"/>
    <col min="13058" max="13058" width="4.88671875" style="202" customWidth="1"/>
    <col min="13059" max="13059" width="7.6640625" style="202" customWidth="1"/>
    <col min="13060" max="13060" width="7.44140625" style="202" customWidth="1"/>
    <col min="13061" max="13061" width="5.5546875" style="202" customWidth="1"/>
    <col min="13062" max="13062" width="4.5546875" style="202" customWidth="1"/>
    <col min="13063" max="13063" width="8.5546875" style="202" customWidth="1"/>
    <col min="13064" max="13064" width="5.5546875" style="202" customWidth="1"/>
    <col min="13065" max="13065" width="6.6640625" style="202" bestFit="1" customWidth="1"/>
    <col min="13066" max="13066" width="6.88671875" style="202" customWidth="1"/>
    <col min="13067" max="13067" width="8.33203125" style="202" customWidth="1"/>
    <col min="13068" max="13068" width="9.44140625" style="202" customWidth="1"/>
    <col min="13069" max="13069" width="4.88671875" style="202" customWidth="1"/>
    <col min="13070" max="13078" width="8.88671875" style="202"/>
    <col min="13079" max="13079" width="9.44140625" style="202" customWidth="1"/>
    <col min="13080" max="13312" width="8.88671875" style="202"/>
    <col min="13313" max="13313" width="3" style="202" customWidth="1"/>
    <col min="13314" max="13314" width="4.88671875" style="202" customWidth="1"/>
    <col min="13315" max="13315" width="7.6640625" style="202" customWidth="1"/>
    <col min="13316" max="13316" width="7.44140625" style="202" customWidth="1"/>
    <col min="13317" max="13317" width="5.5546875" style="202" customWidth="1"/>
    <col min="13318" max="13318" width="4.5546875" style="202" customWidth="1"/>
    <col min="13319" max="13319" width="8.5546875" style="202" customWidth="1"/>
    <col min="13320" max="13320" width="5.5546875" style="202" customWidth="1"/>
    <col min="13321" max="13321" width="6.6640625" style="202" bestFit="1" customWidth="1"/>
    <col min="13322" max="13322" width="6.88671875" style="202" customWidth="1"/>
    <col min="13323" max="13323" width="8.33203125" style="202" customWidth="1"/>
    <col min="13324" max="13324" width="9.44140625" style="202" customWidth="1"/>
    <col min="13325" max="13325" width="4.88671875" style="202" customWidth="1"/>
    <col min="13326" max="13334" width="8.88671875" style="202"/>
    <col min="13335" max="13335" width="9.44140625" style="202" customWidth="1"/>
    <col min="13336" max="13568" width="8.88671875" style="202"/>
    <col min="13569" max="13569" width="3" style="202" customWidth="1"/>
    <col min="13570" max="13570" width="4.88671875" style="202" customWidth="1"/>
    <col min="13571" max="13571" width="7.6640625" style="202" customWidth="1"/>
    <col min="13572" max="13572" width="7.44140625" style="202" customWidth="1"/>
    <col min="13573" max="13573" width="5.5546875" style="202" customWidth="1"/>
    <col min="13574" max="13574" width="4.5546875" style="202" customWidth="1"/>
    <col min="13575" max="13575" width="8.5546875" style="202" customWidth="1"/>
    <col min="13576" max="13576" width="5.5546875" style="202" customWidth="1"/>
    <col min="13577" max="13577" width="6.6640625" style="202" bestFit="1" customWidth="1"/>
    <col min="13578" max="13578" width="6.88671875" style="202" customWidth="1"/>
    <col min="13579" max="13579" width="8.33203125" style="202" customWidth="1"/>
    <col min="13580" max="13580" width="9.44140625" style="202" customWidth="1"/>
    <col min="13581" max="13581" width="4.88671875" style="202" customWidth="1"/>
    <col min="13582" max="13590" width="8.88671875" style="202"/>
    <col min="13591" max="13591" width="9.44140625" style="202" customWidth="1"/>
    <col min="13592" max="13824" width="8.88671875" style="202"/>
    <col min="13825" max="13825" width="3" style="202" customWidth="1"/>
    <col min="13826" max="13826" width="4.88671875" style="202" customWidth="1"/>
    <col min="13827" max="13827" width="7.6640625" style="202" customWidth="1"/>
    <col min="13828" max="13828" width="7.44140625" style="202" customWidth="1"/>
    <col min="13829" max="13829" width="5.5546875" style="202" customWidth="1"/>
    <col min="13830" max="13830" width="4.5546875" style="202" customWidth="1"/>
    <col min="13831" max="13831" width="8.5546875" style="202" customWidth="1"/>
    <col min="13832" max="13832" width="5.5546875" style="202" customWidth="1"/>
    <col min="13833" max="13833" width="6.6640625" style="202" bestFit="1" customWidth="1"/>
    <col min="13834" max="13834" width="6.88671875" style="202" customWidth="1"/>
    <col min="13835" max="13835" width="8.33203125" style="202" customWidth="1"/>
    <col min="13836" max="13836" width="9.44140625" style="202" customWidth="1"/>
    <col min="13837" max="13837" width="4.88671875" style="202" customWidth="1"/>
    <col min="13838" max="13846" width="8.88671875" style="202"/>
    <col min="13847" max="13847" width="9.44140625" style="202" customWidth="1"/>
    <col min="13848" max="14080" width="8.88671875" style="202"/>
    <col min="14081" max="14081" width="3" style="202" customWidth="1"/>
    <col min="14082" max="14082" width="4.88671875" style="202" customWidth="1"/>
    <col min="14083" max="14083" width="7.6640625" style="202" customWidth="1"/>
    <col min="14084" max="14084" width="7.44140625" style="202" customWidth="1"/>
    <col min="14085" max="14085" width="5.5546875" style="202" customWidth="1"/>
    <col min="14086" max="14086" width="4.5546875" style="202" customWidth="1"/>
    <col min="14087" max="14087" width="8.5546875" style="202" customWidth="1"/>
    <col min="14088" max="14088" width="5.5546875" style="202" customWidth="1"/>
    <col min="14089" max="14089" width="6.6640625" style="202" bestFit="1" customWidth="1"/>
    <col min="14090" max="14090" width="6.88671875" style="202" customWidth="1"/>
    <col min="14091" max="14091" width="8.33203125" style="202" customWidth="1"/>
    <col min="14092" max="14092" width="9.44140625" style="202" customWidth="1"/>
    <col min="14093" max="14093" width="4.88671875" style="202" customWidth="1"/>
    <col min="14094" max="14102" width="8.88671875" style="202"/>
    <col min="14103" max="14103" width="9.44140625" style="202" customWidth="1"/>
    <col min="14104" max="14336" width="8.88671875" style="202"/>
    <col min="14337" max="14337" width="3" style="202" customWidth="1"/>
    <col min="14338" max="14338" width="4.88671875" style="202" customWidth="1"/>
    <col min="14339" max="14339" width="7.6640625" style="202" customWidth="1"/>
    <col min="14340" max="14340" width="7.44140625" style="202" customWidth="1"/>
    <col min="14341" max="14341" width="5.5546875" style="202" customWidth="1"/>
    <col min="14342" max="14342" width="4.5546875" style="202" customWidth="1"/>
    <col min="14343" max="14343" width="8.5546875" style="202" customWidth="1"/>
    <col min="14344" max="14344" width="5.5546875" style="202" customWidth="1"/>
    <col min="14345" max="14345" width="6.6640625" style="202" bestFit="1" customWidth="1"/>
    <col min="14346" max="14346" width="6.88671875" style="202" customWidth="1"/>
    <col min="14347" max="14347" width="8.33203125" style="202" customWidth="1"/>
    <col min="14348" max="14348" width="9.44140625" style="202" customWidth="1"/>
    <col min="14349" max="14349" width="4.88671875" style="202" customWidth="1"/>
    <col min="14350" max="14358" width="8.88671875" style="202"/>
    <col min="14359" max="14359" width="9.44140625" style="202" customWidth="1"/>
    <col min="14360" max="14592" width="8.88671875" style="202"/>
    <col min="14593" max="14593" width="3" style="202" customWidth="1"/>
    <col min="14594" max="14594" width="4.88671875" style="202" customWidth="1"/>
    <col min="14595" max="14595" width="7.6640625" style="202" customWidth="1"/>
    <col min="14596" max="14596" width="7.44140625" style="202" customWidth="1"/>
    <col min="14597" max="14597" width="5.5546875" style="202" customWidth="1"/>
    <col min="14598" max="14598" width="4.5546875" style="202" customWidth="1"/>
    <col min="14599" max="14599" width="8.5546875" style="202" customWidth="1"/>
    <col min="14600" max="14600" width="5.5546875" style="202" customWidth="1"/>
    <col min="14601" max="14601" width="6.6640625" style="202" bestFit="1" customWidth="1"/>
    <col min="14602" max="14602" width="6.88671875" style="202" customWidth="1"/>
    <col min="14603" max="14603" width="8.33203125" style="202" customWidth="1"/>
    <col min="14604" max="14604" width="9.44140625" style="202" customWidth="1"/>
    <col min="14605" max="14605" width="4.88671875" style="202" customWidth="1"/>
    <col min="14606" max="14614" width="8.88671875" style="202"/>
    <col min="14615" max="14615" width="9.44140625" style="202" customWidth="1"/>
    <col min="14616" max="14848" width="8.88671875" style="202"/>
    <col min="14849" max="14849" width="3" style="202" customWidth="1"/>
    <col min="14850" max="14850" width="4.88671875" style="202" customWidth="1"/>
    <col min="14851" max="14851" width="7.6640625" style="202" customWidth="1"/>
    <col min="14852" max="14852" width="7.44140625" style="202" customWidth="1"/>
    <col min="14853" max="14853" width="5.5546875" style="202" customWidth="1"/>
    <col min="14854" max="14854" width="4.5546875" style="202" customWidth="1"/>
    <col min="14855" max="14855" width="8.5546875" style="202" customWidth="1"/>
    <col min="14856" max="14856" width="5.5546875" style="202" customWidth="1"/>
    <col min="14857" max="14857" width="6.6640625" style="202" bestFit="1" customWidth="1"/>
    <col min="14858" max="14858" width="6.88671875" style="202" customWidth="1"/>
    <col min="14859" max="14859" width="8.33203125" style="202" customWidth="1"/>
    <col min="14860" max="14860" width="9.44140625" style="202" customWidth="1"/>
    <col min="14861" max="14861" width="4.88671875" style="202" customWidth="1"/>
    <col min="14862" max="14870" width="8.88671875" style="202"/>
    <col min="14871" max="14871" width="9.44140625" style="202" customWidth="1"/>
    <col min="14872" max="15104" width="8.88671875" style="202"/>
    <col min="15105" max="15105" width="3" style="202" customWidth="1"/>
    <col min="15106" max="15106" width="4.88671875" style="202" customWidth="1"/>
    <col min="15107" max="15107" width="7.6640625" style="202" customWidth="1"/>
    <col min="15108" max="15108" width="7.44140625" style="202" customWidth="1"/>
    <col min="15109" max="15109" width="5.5546875" style="202" customWidth="1"/>
    <col min="15110" max="15110" width="4.5546875" style="202" customWidth="1"/>
    <col min="15111" max="15111" width="8.5546875" style="202" customWidth="1"/>
    <col min="15112" max="15112" width="5.5546875" style="202" customWidth="1"/>
    <col min="15113" max="15113" width="6.6640625" style="202" bestFit="1" customWidth="1"/>
    <col min="15114" max="15114" width="6.88671875" style="202" customWidth="1"/>
    <col min="15115" max="15115" width="8.33203125" style="202" customWidth="1"/>
    <col min="15116" max="15116" width="9.44140625" style="202" customWidth="1"/>
    <col min="15117" max="15117" width="4.88671875" style="202" customWidth="1"/>
    <col min="15118" max="15126" width="8.88671875" style="202"/>
    <col min="15127" max="15127" width="9.44140625" style="202" customWidth="1"/>
    <col min="15128" max="15360" width="8.88671875" style="202"/>
    <col min="15361" max="15361" width="3" style="202" customWidth="1"/>
    <col min="15362" max="15362" width="4.88671875" style="202" customWidth="1"/>
    <col min="15363" max="15363" width="7.6640625" style="202" customWidth="1"/>
    <col min="15364" max="15364" width="7.44140625" style="202" customWidth="1"/>
    <col min="15365" max="15365" width="5.5546875" style="202" customWidth="1"/>
    <col min="15366" max="15366" width="4.5546875" style="202" customWidth="1"/>
    <col min="15367" max="15367" width="8.5546875" style="202" customWidth="1"/>
    <col min="15368" max="15368" width="5.5546875" style="202" customWidth="1"/>
    <col min="15369" max="15369" width="6.6640625" style="202" bestFit="1" customWidth="1"/>
    <col min="15370" max="15370" width="6.88671875" style="202" customWidth="1"/>
    <col min="15371" max="15371" width="8.33203125" style="202" customWidth="1"/>
    <col min="15372" max="15372" width="9.44140625" style="202" customWidth="1"/>
    <col min="15373" max="15373" width="4.88671875" style="202" customWidth="1"/>
    <col min="15374" max="15382" width="8.88671875" style="202"/>
    <col min="15383" max="15383" width="9.44140625" style="202" customWidth="1"/>
    <col min="15384" max="15616" width="8.88671875" style="202"/>
    <col min="15617" max="15617" width="3" style="202" customWidth="1"/>
    <col min="15618" max="15618" width="4.88671875" style="202" customWidth="1"/>
    <col min="15619" max="15619" width="7.6640625" style="202" customWidth="1"/>
    <col min="15620" max="15620" width="7.44140625" style="202" customWidth="1"/>
    <col min="15621" max="15621" width="5.5546875" style="202" customWidth="1"/>
    <col min="15622" max="15622" width="4.5546875" style="202" customWidth="1"/>
    <col min="15623" max="15623" width="8.5546875" style="202" customWidth="1"/>
    <col min="15624" max="15624" width="5.5546875" style="202" customWidth="1"/>
    <col min="15625" max="15625" width="6.6640625" style="202" bestFit="1" customWidth="1"/>
    <col min="15626" max="15626" width="6.88671875" style="202" customWidth="1"/>
    <col min="15627" max="15627" width="8.33203125" style="202" customWidth="1"/>
    <col min="15628" max="15628" width="9.44140625" style="202" customWidth="1"/>
    <col min="15629" max="15629" width="4.88671875" style="202" customWidth="1"/>
    <col min="15630" max="15638" width="8.88671875" style="202"/>
    <col min="15639" max="15639" width="9.44140625" style="202" customWidth="1"/>
    <col min="15640" max="15872" width="8.88671875" style="202"/>
    <col min="15873" max="15873" width="3" style="202" customWidth="1"/>
    <col min="15874" max="15874" width="4.88671875" style="202" customWidth="1"/>
    <col min="15875" max="15875" width="7.6640625" style="202" customWidth="1"/>
    <col min="15876" max="15876" width="7.44140625" style="202" customWidth="1"/>
    <col min="15877" max="15877" width="5.5546875" style="202" customWidth="1"/>
    <col min="15878" max="15878" width="4.5546875" style="202" customWidth="1"/>
    <col min="15879" max="15879" width="8.5546875" style="202" customWidth="1"/>
    <col min="15880" max="15880" width="5.5546875" style="202" customWidth="1"/>
    <col min="15881" max="15881" width="6.6640625" style="202" bestFit="1" customWidth="1"/>
    <col min="15882" max="15882" width="6.88671875" style="202" customWidth="1"/>
    <col min="15883" max="15883" width="8.33203125" style="202" customWidth="1"/>
    <col min="15884" max="15884" width="9.44140625" style="202" customWidth="1"/>
    <col min="15885" max="15885" width="4.88671875" style="202" customWidth="1"/>
    <col min="15886" max="15894" width="8.88671875" style="202"/>
    <col min="15895" max="15895" width="9.44140625" style="202" customWidth="1"/>
    <col min="15896" max="16128" width="8.88671875" style="202"/>
    <col min="16129" max="16129" width="3" style="202" customWidth="1"/>
    <col min="16130" max="16130" width="4.88671875" style="202" customWidth="1"/>
    <col min="16131" max="16131" width="7.6640625" style="202" customWidth="1"/>
    <col min="16132" max="16132" width="7.44140625" style="202" customWidth="1"/>
    <col min="16133" max="16133" width="5.5546875" style="202" customWidth="1"/>
    <col min="16134" max="16134" width="4.5546875" style="202" customWidth="1"/>
    <col min="16135" max="16135" width="8.5546875" style="202" customWidth="1"/>
    <col min="16136" max="16136" width="5.5546875" style="202" customWidth="1"/>
    <col min="16137" max="16137" width="6.6640625" style="202" bestFit="1" customWidth="1"/>
    <col min="16138" max="16138" width="6.88671875" style="202" customWidth="1"/>
    <col min="16139" max="16139" width="8.33203125" style="202" customWidth="1"/>
    <col min="16140" max="16140" width="9.44140625" style="202" customWidth="1"/>
    <col min="16141" max="16141" width="4.88671875" style="202" customWidth="1"/>
    <col min="16142" max="16150" width="8.88671875" style="202"/>
    <col min="16151" max="16151" width="9.44140625" style="202" customWidth="1"/>
    <col min="16152" max="16380" width="8.88671875" style="202"/>
    <col min="16381" max="16384" width="8.77734375" style="202" customWidth="1"/>
  </cols>
  <sheetData>
    <row r="1" spans="1:22" ht="20.25">
      <c r="A1" s="991" t="str">
        <f>IFERROR(MID(VLOOKUP($N$2,LIST_BBKT_HM!$A$6:$H$700,8,0),1,FIND("/",VLOOKUP($N$2,LIST_BBKT_HM!$A$6:$H$700,8,0))-1),"")</f>
        <v>IMG_0892.JPG</v>
      </c>
      <c r="B1" s="985" t="str">
        <f ca="1">SUBSTITUTE(CELL("address",F44),"$","")</f>
        <v>F44</v>
      </c>
      <c r="C1" s="736"/>
      <c r="D1" s="227"/>
      <c r="E1" s="1623" t="str">
        <f>E10</f>
        <v>BIÊN BẢN KIỂM TRA CAO ĐỘ, KÍCH THƯỚC HÌNH HỌC HỐ MÓNG</v>
      </c>
      <c r="F1" s="1623"/>
      <c r="G1" s="1623"/>
      <c r="H1" s="1623"/>
      <c r="I1" s="1623"/>
      <c r="J1" s="1623"/>
      <c r="K1" s="1623"/>
      <c r="L1" s="1623"/>
      <c r="M1" s="227"/>
      <c r="N1" s="227"/>
      <c r="O1" s="227"/>
      <c r="P1" s="227"/>
      <c r="Q1" s="227"/>
      <c r="R1" s="227"/>
      <c r="S1" s="227"/>
      <c r="T1" s="227"/>
      <c r="U1" s="227"/>
      <c r="V1" s="227"/>
    </row>
    <row r="2" spans="1:22" ht="16.5">
      <c r="A2" s="991" t="str">
        <f>IFERROR(MID(VLOOKUP($N$2,LIST_BBKT_HM!$A$6:$H$700,8,0),FIND("/",VLOOKUP($N$2,LIST_BBKT_HM!$A$6:$H$700,8,0))+1,100),"")</f>
        <v>HM2</v>
      </c>
      <c r="B2" s="985" t="str">
        <f ca="1">SUBSTITUTE(CELL("address",F57),"$","")</f>
        <v>F57</v>
      </c>
      <c r="C2" s="992">
        <f>ROW(E285)</f>
        <v>285</v>
      </c>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227"/>
      <c r="N2" s="294">
        <v>3</v>
      </c>
      <c r="O2" s="227"/>
      <c r="P2" s="227"/>
      <c r="Q2" s="227"/>
      <c r="R2" s="227"/>
      <c r="S2" s="227"/>
      <c r="T2" s="227"/>
      <c r="U2" s="227"/>
      <c r="V2" s="227"/>
    </row>
    <row r="3" spans="1:22" ht="16.5">
      <c r="A3" s="985" t="str">
        <f ca="1">SUBSTITUTE(CELL("address",F46),"$","")</f>
        <v>F46</v>
      </c>
      <c r="B3" s="985" t="str">
        <f ca="1">SUBSTITUTE(CELL("address",F282),"$","")</f>
        <v>F282</v>
      </c>
      <c r="C3" s="992">
        <f>ROW(E291)</f>
        <v>291</v>
      </c>
      <c r="D3" s="227"/>
      <c r="E3" s="1624" t="str">
        <f>"     Địa điểm XD: "&amp;DDXD</f>
        <v xml:space="preserve">     Địa điểm XD: Huyện Ninh Hải - Tỉnh Ninh Thuận</v>
      </c>
      <c r="F3" s="1624"/>
      <c r="G3" s="1624"/>
      <c r="H3" s="1624"/>
      <c r="I3" s="1624"/>
      <c r="J3" s="1624"/>
      <c r="K3" s="1624"/>
      <c r="L3" s="1624"/>
      <c r="M3" s="227"/>
      <c r="N3" s="227"/>
      <c r="O3" s="227"/>
      <c r="P3" s="227"/>
      <c r="Q3" s="227"/>
      <c r="R3" s="227"/>
      <c r="S3" s="227"/>
      <c r="T3" s="227"/>
      <c r="U3" s="227"/>
      <c r="V3" s="227"/>
    </row>
    <row r="4" spans="1:22" ht="13.5" customHeight="1">
      <c r="A4" s="309"/>
      <c r="B4" s="746"/>
      <c r="C4" s="227"/>
      <c r="D4" s="227"/>
      <c r="E4" s="227"/>
      <c r="F4" s="227"/>
      <c r="G4" s="227"/>
      <c r="H4" s="227"/>
      <c r="I4" s="227"/>
      <c r="J4" s="227"/>
      <c r="K4" s="227"/>
      <c r="L4" s="227"/>
      <c r="M4" s="227"/>
      <c r="N4" s="227"/>
      <c r="O4" s="227"/>
      <c r="P4" s="227"/>
      <c r="Q4" s="227"/>
      <c r="R4" s="227"/>
      <c r="S4" s="227"/>
      <c r="T4" s="227"/>
      <c r="U4" s="227"/>
      <c r="V4" s="227"/>
    </row>
    <row r="5" spans="1:22" ht="16.5">
      <c r="A5" s="227"/>
      <c r="B5" s="227"/>
      <c r="C5" s="227"/>
      <c r="D5" s="227"/>
      <c r="E5" s="1625" t="s">
        <v>158</v>
      </c>
      <c r="F5" s="1625"/>
      <c r="G5" s="1625"/>
      <c r="H5" s="1625"/>
      <c r="I5" s="1625"/>
      <c r="J5" s="1625"/>
      <c r="K5" s="1625"/>
      <c r="L5" s="1625"/>
      <c r="M5" s="227"/>
      <c r="N5" s="227"/>
      <c r="O5" s="227"/>
      <c r="P5" s="227"/>
      <c r="Q5" s="227"/>
      <c r="R5" s="227"/>
      <c r="S5" s="227"/>
      <c r="T5" s="227"/>
      <c r="U5" s="227"/>
      <c r="V5" s="227"/>
    </row>
    <row r="6" spans="1:22" ht="15" customHeight="1">
      <c r="A6" s="227"/>
      <c r="B6" s="227"/>
      <c r="C6" s="227"/>
      <c r="D6" s="227"/>
      <c r="E6" s="1626" t="s">
        <v>161</v>
      </c>
      <c r="F6" s="1626"/>
      <c r="G6" s="1626"/>
      <c r="H6" s="1626"/>
      <c r="I6" s="1626"/>
      <c r="J6" s="1626"/>
      <c r="K6" s="1626"/>
      <c r="L6" s="1626"/>
      <c r="M6" s="227"/>
      <c r="N6" s="227"/>
      <c r="O6" s="227"/>
      <c r="P6" s="227"/>
      <c r="Q6" s="227"/>
      <c r="R6" s="227"/>
      <c r="S6" s="227"/>
      <c r="T6" s="227"/>
      <c r="U6" s="227"/>
      <c r="V6" s="227"/>
    </row>
    <row r="7" spans="1:22" ht="6.75" customHeight="1">
      <c r="A7" s="227"/>
      <c r="B7" s="227"/>
      <c r="C7" s="227"/>
      <c r="D7" s="227"/>
      <c r="E7" s="1627"/>
      <c r="F7" s="1627"/>
      <c r="G7" s="1627"/>
      <c r="H7" s="1627"/>
      <c r="I7" s="1627"/>
      <c r="J7" s="1627"/>
      <c r="K7" s="1627"/>
      <c r="L7" s="1627"/>
      <c r="M7" s="227"/>
      <c r="N7" s="227"/>
      <c r="O7" s="227"/>
      <c r="P7" s="227"/>
      <c r="Q7" s="227"/>
      <c r="R7" s="227"/>
      <c r="S7" s="227"/>
      <c r="T7" s="227"/>
      <c r="U7" s="227"/>
      <c r="V7" s="227"/>
    </row>
    <row r="8" spans="1:22" ht="16.5">
      <c r="A8" s="227"/>
      <c r="B8" s="227"/>
      <c r="C8" s="227"/>
      <c r="D8" s="227"/>
      <c r="E8" s="1622" t="str">
        <f>Diadanh&amp;", "&amp;IFERROR(Doingay(VLOOKUP($N$2,LIST_BBKT_HM!$A$6:$H$700,6,0))," ngày ….. tháng ….. năm …..")</f>
        <v>Ninh Hải,  ngày 13 tháng 5 năm 2020</v>
      </c>
      <c r="F8" s="1622"/>
      <c r="G8" s="1622"/>
      <c r="H8" s="1622"/>
      <c r="I8" s="1622"/>
      <c r="J8" s="1622"/>
      <c r="K8" s="1622"/>
      <c r="L8" s="1622"/>
      <c r="M8" s="227"/>
      <c r="N8" s="227"/>
      <c r="O8" s="227"/>
      <c r="P8" s="227"/>
      <c r="Q8" s="227"/>
      <c r="R8" s="227"/>
      <c r="S8" s="227"/>
      <c r="T8" s="227"/>
      <c r="U8" s="227"/>
      <c r="V8" s="227"/>
    </row>
    <row r="9" spans="1:22" ht="12.75" customHeight="1">
      <c r="A9" s="227"/>
      <c r="B9" s="227"/>
      <c r="C9" s="227"/>
      <c r="D9" s="227"/>
      <c r="E9" s="720"/>
      <c r="F9" s="720"/>
      <c r="G9" s="720"/>
      <c r="H9" s="720"/>
      <c r="I9" s="720"/>
      <c r="J9" s="720"/>
      <c r="K9" s="720"/>
      <c r="L9" s="720"/>
      <c r="M9" s="227"/>
      <c r="N9" s="227"/>
      <c r="O9" s="227"/>
      <c r="P9" s="227"/>
      <c r="Q9" s="227"/>
      <c r="R9" s="227"/>
      <c r="S9" s="227"/>
      <c r="T9" s="227"/>
      <c r="U9" s="227"/>
      <c r="V9" s="227"/>
    </row>
    <row r="10" spans="1:22" ht="18.75" customHeight="1">
      <c r="A10" s="227"/>
      <c r="B10" s="227"/>
      <c r="C10" s="227"/>
      <c r="D10" s="227"/>
      <c r="E10" s="1629" t="s">
        <v>4318</v>
      </c>
      <c r="F10" s="1600"/>
      <c r="G10" s="1600"/>
      <c r="H10" s="1600"/>
      <c r="I10" s="1600"/>
      <c r="J10" s="1600"/>
      <c r="K10" s="1600"/>
      <c r="L10" s="1600"/>
      <c r="M10" s="227"/>
      <c r="N10" s="227"/>
      <c r="O10" s="227"/>
      <c r="P10" s="227"/>
      <c r="Q10" s="227"/>
      <c r="R10" s="227"/>
      <c r="S10" s="227"/>
      <c r="T10" s="227"/>
      <c r="U10" s="227">
        <f>ROW(E10)</f>
        <v>10</v>
      </c>
      <c r="V10" s="227"/>
    </row>
    <row r="11" spans="1:22" ht="11.25" customHeight="1">
      <c r="A11" s="227"/>
      <c r="B11" s="227"/>
      <c r="C11" s="227"/>
      <c r="D11" s="227"/>
      <c r="E11" s="722"/>
      <c r="F11" s="722"/>
      <c r="G11" s="722"/>
      <c r="H11" s="722"/>
      <c r="I11" s="722"/>
      <c r="J11" s="722"/>
      <c r="K11" s="722"/>
      <c r="L11" s="722"/>
      <c r="M11" s="227"/>
      <c r="N11" s="227"/>
      <c r="O11" s="227"/>
      <c r="P11" s="227"/>
      <c r="Q11" s="227"/>
      <c r="R11" s="227"/>
      <c r="S11" s="227"/>
      <c r="T11" s="227"/>
      <c r="U11" s="227"/>
      <c r="V11" s="227"/>
    </row>
    <row r="12" spans="1:22"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227"/>
      <c r="N12" s="227"/>
      <c r="O12" s="227"/>
      <c r="P12" s="227"/>
      <c r="Q12" s="227"/>
      <c r="R12" s="227"/>
      <c r="S12" s="227"/>
      <c r="T12" s="227"/>
      <c r="U12" s="227">
        <f>ROW(E12)</f>
        <v>12</v>
      </c>
      <c r="V12" s="227"/>
    </row>
    <row r="13" spans="1:22" ht="20.100000000000001" hidden="1" customHeight="1">
      <c r="A13" s="227"/>
      <c r="B13" s="227"/>
      <c r="C13" s="227"/>
      <c r="D13" s="227"/>
      <c r="E13" s="1630" t="str">
        <f>IF(NDtieude2&lt;&gt;"",Tieude2&amp;": "&amp;NDtieude2,"")</f>
        <v/>
      </c>
      <c r="F13" s="1630"/>
      <c r="G13" s="1630"/>
      <c r="H13" s="1630"/>
      <c r="I13" s="1630"/>
      <c r="J13" s="1630"/>
      <c r="K13" s="1630"/>
      <c r="L13" s="1630"/>
      <c r="M13" s="227"/>
      <c r="N13" s="227"/>
      <c r="O13" s="227"/>
      <c r="P13" s="227"/>
      <c r="Q13" s="227"/>
      <c r="R13" s="227"/>
      <c r="S13" s="227"/>
      <c r="T13" s="227"/>
      <c r="U13" s="227">
        <f>ROW(E13)</f>
        <v>13</v>
      </c>
      <c r="V13" s="227"/>
    </row>
    <row r="14" spans="1:22" ht="20.100000000000001" customHeight="1">
      <c r="A14" s="227"/>
      <c r="B14" s="227"/>
      <c r="C14" s="227"/>
      <c r="D14" s="227"/>
      <c r="E14" s="1630" t="str">
        <f>IF(NDtieude3&lt;&gt;"",Tieude3&amp;": "&amp;NDtieude3,"")</f>
        <v>Hạng mục: Kênh và Công trình trên kênh</v>
      </c>
      <c r="F14" s="1630"/>
      <c r="G14" s="1630"/>
      <c r="H14" s="1630"/>
      <c r="I14" s="1630"/>
      <c r="J14" s="1630"/>
      <c r="K14" s="1630"/>
      <c r="L14" s="1630"/>
      <c r="M14" s="227"/>
      <c r="N14" s="227"/>
      <c r="O14" s="227"/>
      <c r="P14" s="227"/>
      <c r="Q14" s="227"/>
      <c r="R14" s="227"/>
      <c r="S14" s="227"/>
      <c r="T14" s="227"/>
      <c r="U14" s="227">
        <f>ROW(E14)</f>
        <v>14</v>
      </c>
      <c r="V14" s="227"/>
    </row>
    <row r="15" spans="1:22" ht="20.100000000000001"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227"/>
      <c r="N15" s="227"/>
      <c r="O15" s="227"/>
      <c r="P15" s="227"/>
      <c r="Q15" s="227"/>
      <c r="R15" s="227"/>
      <c r="S15" s="227"/>
      <c r="T15" s="227"/>
      <c r="U15" s="227">
        <f>ROW(E15)</f>
        <v>15</v>
      </c>
      <c r="V15" s="227"/>
    </row>
    <row r="16" spans="1:22" ht="4.5" customHeight="1">
      <c r="A16" s="227"/>
      <c r="B16" s="227"/>
      <c r="C16" s="227"/>
      <c r="D16" s="227"/>
      <c r="E16" s="201"/>
      <c r="H16" s="201"/>
      <c r="I16" s="201"/>
      <c r="J16" s="201"/>
      <c r="K16" s="201"/>
      <c r="L16" s="201"/>
      <c r="M16" s="227"/>
      <c r="N16" s="227"/>
      <c r="O16" s="227"/>
      <c r="P16" s="227"/>
      <c r="Q16" s="227"/>
      <c r="R16" s="227"/>
      <c r="S16" s="227"/>
      <c r="T16" s="227"/>
      <c r="U16" s="227"/>
      <c r="V16" s="227"/>
    </row>
    <row r="17" spans="1:22 16381:16381" ht="18" customHeight="1">
      <c r="A17" s="227"/>
      <c r="B17" s="227"/>
      <c r="C17" s="227"/>
      <c r="D17" s="227"/>
      <c r="E17" s="204" t="s">
        <v>3889</v>
      </c>
      <c r="F17" s="205" t="s">
        <v>3890</v>
      </c>
      <c r="G17" s="201"/>
      <c r="H17" s="201"/>
      <c r="I17" s="206"/>
      <c r="J17" s="206"/>
      <c r="K17" s="207"/>
      <c r="L17" s="207"/>
      <c r="M17" s="227"/>
      <c r="N17" s="227"/>
      <c r="O17" s="227"/>
      <c r="P17" s="227"/>
      <c r="Q17" s="227"/>
      <c r="R17" s="227"/>
      <c r="S17" s="227"/>
      <c r="T17" s="227"/>
      <c r="U17" s="227"/>
      <c r="V17" s="227"/>
    </row>
    <row r="18" spans="1:22 16381:16381" ht="20.100000000000001" customHeight="1">
      <c r="A18" s="227"/>
      <c r="B18" s="227"/>
      <c r="C18" s="227"/>
      <c r="D18" s="227"/>
      <c r="E18" s="1633" t="str">
        <f>"+ Đối tượng kiểm tra: "&amp;IFERROR(VLOOKUP($N$2,LIST_BBKT_HM!$A$6:$H$700,4,0),"")</f>
        <v>+ Đối tượng kiểm tra: Kiểm tra cao độ, kích thước hình học hố móng kênh</v>
      </c>
      <c r="F18" s="1633"/>
      <c r="G18" s="1633"/>
      <c r="H18" s="1633"/>
      <c r="I18" s="1633"/>
      <c r="J18" s="1633"/>
      <c r="K18" s="1633"/>
      <c r="L18" s="1633"/>
      <c r="M18" s="227"/>
      <c r="N18" s="227"/>
      <c r="O18" s="227"/>
      <c r="P18" s="227"/>
      <c r="Q18" s="227"/>
      <c r="R18" s="227"/>
      <c r="S18" s="227"/>
      <c r="T18" s="227">
        <f>ROW()</f>
        <v>18</v>
      </c>
      <c r="U18" s="227"/>
      <c r="V18" s="227"/>
      <c r="XFA18"/>
    </row>
    <row r="19" spans="1:22 16381:16381" ht="20.100000000000001" customHeight="1">
      <c r="A19" s="227"/>
      <c r="B19" s="227"/>
      <c r="C19" s="227"/>
      <c r="D19" s="227"/>
      <c r="E19" s="1633" t="str">
        <f>"+ Vị trí xây dựng trên công trình: "&amp;IFERROR(VLOOKUP($N$2,LIST_BBKT_HM!$A$6:$H$700,5,0),"")</f>
        <v>+ Vị trí xây dựng trên công trình: Đoạn Km0+500 đến Km0+600</v>
      </c>
      <c r="F19" s="1633"/>
      <c r="G19" s="1633"/>
      <c r="H19" s="1633"/>
      <c r="I19" s="1633"/>
      <c r="J19" s="1633"/>
      <c r="K19" s="1633"/>
      <c r="L19" s="1633"/>
      <c r="M19" s="227"/>
      <c r="N19" s="227"/>
      <c r="O19" s="227"/>
      <c r="P19" s="227"/>
      <c r="Q19" s="227"/>
      <c r="R19" s="227"/>
      <c r="S19" s="227"/>
      <c r="T19" s="227">
        <f>ROW()</f>
        <v>19</v>
      </c>
      <c r="U19" s="227"/>
      <c r="V19" s="227"/>
      <c r="XFA19"/>
    </row>
    <row r="20" spans="1:22 16381:16381" ht="7.5" customHeight="1">
      <c r="A20" s="227"/>
      <c r="B20" s="227"/>
      <c r="C20" s="227"/>
      <c r="D20" s="227"/>
      <c r="E20" s="204"/>
      <c r="F20" s="205"/>
      <c r="G20" s="205"/>
      <c r="H20" s="201"/>
      <c r="I20" s="201"/>
      <c r="J20" s="201"/>
      <c r="K20" s="201"/>
      <c r="L20" s="201"/>
      <c r="M20" s="227"/>
      <c r="N20" s="227"/>
      <c r="O20" s="227"/>
      <c r="P20" s="227"/>
      <c r="Q20" s="227"/>
      <c r="R20" s="227"/>
      <c r="S20" s="227"/>
      <c r="T20" s="227"/>
      <c r="U20" s="227"/>
      <c r="V20" s="227"/>
    </row>
    <row r="21" spans="1:22 16381:16381" ht="17.25" customHeight="1">
      <c r="A21" s="227"/>
      <c r="B21" s="227"/>
      <c r="C21" s="227"/>
      <c r="D21" s="227"/>
      <c r="E21" s="163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227"/>
      <c r="N21" s="227"/>
      <c r="O21" s="227"/>
      <c r="P21" s="227"/>
      <c r="Q21" s="227"/>
      <c r="R21" s="227"/>
      <c r="S21" s="227"/>
      <c r="T21" s="227"/>
      <c r="U21" s="227">
        <f>ROW(E21)</f>
        <v>21</v>
      </c>
      <c r="V21" s="227"/>
    </row>
    <row r="22" spans="1:22 16381:16381" ht="18" customHeight="1">
      <c r="A22" s="227"/>
      <c r="B22" s="227"/>
      <c r="C22" s="227"/>
      <c r="D22" s="227"/>
      <c r="E22" s="201"/>
      <c r="F22" s="246" t="str">
        <f>GT_GS1&amp;CBGS1</f>
        <v>Ông: Trần Trọng Liêm</v>
      </c>
      <c r="G22" s="745"/>
      <c r="I22" s="435" t="str">
        <f>"Chức vụ: "&amp;CV_CBGS1</f>
        <v>Chức vụ: Giám sát trưởng</v>
      </c>
      <c r="K22" s="201"/>
      <c r="L22" s="201"/>
      <c r="M22" s="227"/>
      <c r="N22" s="227"/>
      <c r="O22" s="227"/>
      <c r="P22" s="227"/>
      <c r="Q22" s="227"/>
      <c r="R22" s="227"/>
      <c r="S22" s="227"/>
      <c r="T22" s="227"/>
      <c r="U22" s="227"/>
      <c r="V22" s="227"/>
    </row>
    <row r="23" spans="1:22 16381:16381" ht="18" customHeight="1">
      <c r="A23" s="227"/>
      <c r="B23" s="227"/>
      <c r="C23" s="227"/>
      <c r="D23" s="227"/>
      <c r="E23" s="201"/>
      <c r="F23" s="246" t="str">
        <f>GT_GS2&amp;CBGS2</f>
        <v>Bà  : Nguyễn Thị Minh</v>
      </c>
      <c r="G23" s="39"/>
      <c r="I23" s="735" t="str">
        <f>"Chức vụ: "&amp;CV_CBGS2</f>
        <v>Chức vụ: Giám sát viên</v>
      </c>
      <c r="K23" s="201"/>
      <c r="L23" s="201"/>
      <c r="M23" s="227"/>
      <c r="N23" s="227"/>
      <c r="O23" s="227"/>
      <c r="P23" s="227"/>
      <c r="Q23" s="227"/>
      <c r="R23" s="227"/>
      <c r="S23" s="227"/>
      <c r="T23" s="227"/>
      <c r="U23" s="227"/>
      <c r="V23" s="227"/>
    </row>
    <row r="24" spans="1:22 16381:16381" ht="18" hidden="1" customHeight="1">
      <c r="A24" s="227"/>
      <c r="B24" s="227"/>
      <c r="C24" s="227"/>
      <c r="D24" s="227"/>
      <c r="E24" s="201"/>
      <c r="F24" s="246" t="str">
        <f>GT_GS3&amp;CBGS3</f>
        <v>Ông: ………………………..</v>
      </c>
      <c r="G24" s="39"/>
      <c r="I24" s="735" t="str">
        <f>"Chức vụ: "&amp;CV_CBGS3</f>
        <v>Chức vụ:  …………………</v>
      </c>
      <c r="K24" s="201"/>
      <c r="L24" s="201"/>
      <c r="M24" s="227"/>
      <c r="N24" s="227"/>
      <c r="O24" s="227"/>
      <c r="P24" s="227"/>
      <c r="Q24" s="227"/>
      <c r="R24" s="227"/>
      <c r="S24" s="227"/>
      <c r="T24" s="227"/>
      <c r="U24" s="227"/>
      <c r="V24" s="227"/>
    </row>
    <row r="25" spans="1:22 16381:16381" ht="17.25" customHeight="1">
      <c r="A25" s="227"/>
      <c r="B25" s="227"/>
      <c r="C25" s="227"/>
      <c r="D25" s="227"/>
      <c r="E25" s="1632" t="str">
        <f>"b. Đại diện "&amp;LOWER(MID(Td_DVTC,1,1))&amp;MID(Td_DVTC,2,LEN(Td_DVTC))&amp;": "&amp;DVTC</f>
        <v>b. Đại diện đơn vị thi công: Công ty TNHH Xây dựng Thịnh Dũng</v>
      </c>
      <c r="F25" s="1524"/>
      <c r="G25" s="1524"/>
      <c r="H25" s="1524"/>
      <c r="I25" s="1524"/>
      <c r="J25" s="1524"/>
      <c r="K25" s="1524"/>
      <c r="L25" s="1524"/>
      <c r="M25" s="227"/>
      <c r="N25" s="227"/>
      <c r="O25" s="227"/>
      <c r="P25" s="227"/>
      <c r="Q25" s="227"/>
      <c r="R25" s="227"/>
      <c r="S25" s="227"/>
      <c r="T25" s="227"/>
      <c r="U25" s="227">
        <f>ROW(E25)</f>
        <v>25</v>
      </c>
      <c r="V25" s="227"/>
    </row>
    <row r="26" spans="1:22 16381:16381" ht="18" customHeight="1">
      <c r="A26" s="227"/>
      <c r="B26" s="227"/>
      <c r="C26" s="227"/>
      <c r="D26" s="227"/>
      <c r="E26" s="201"/>
      <c r="F26" s="62" t="str">
        <f>GT_CBKT1&amp;CBKT1</f>
        <v>Ông: Hoàng Đình Tảng</v>
      </c>
      <c r="H26" s="63"/>
      <c r="I26" s="51" t="str">
        <f>"Chức cụ: "&amp;CV_CBKT1</f>
        <v>Chức cụ: Chỉ huy công trường</v>
      </c>
      <c r="K26" s="201"/>
      <c r="L26" s="201"/>
      <c r="M26" s="227"/>
      <c r="N26" s="227"/>
      <c r="O26" s="227"/>
      <c r="P26" s="227"/>
      <c r="Q26" s="227"/>
      <c r="R26" s="227"/>
      <c r="S26" s="227"/>
      <c r="T26" s="227"/>
      <c r="U26" s="227"/>
      <c r="V26" s="227"/>
    </row>
    <row r="27" spans="1:22 16381:16381" ht="18" customHeight="1">
      <c r="A27" s="227"/>
      <c r="B27" s="227"/>
      <c r="C27" s="227"/>
      <c r="D27" s="227"/>
      <c r="E27" s="201"/>
      <c r="F27" s="62" t="str">
        <f>GT_CBKT2&amp;CBKT2</f>
        <v>Ông: Lê Thiên Phương</v>
      </c>
      <c r="H27" s="63"/>
      <c r="I27" s="51" t="str">
        <f>"Chức cụ: "&amp;CV_CBKT2</f>
        <v>Chức cụ: Kỹ thuật thi công</v>
      </c>
      <c r="K27" s="201"/>
      <c r="L27" s="201"/>
      <c r="M27" s="227"/>
      <c r="N27" s="227"/>
      <c r="O27" s="227"/>
      <c r="P27" s="227"/>
      <c r="Q27" s="227"/>
      <c r="R27" s="227"/>
      <c r="S27" s="227"/>
      <c r="T27" s="227"/>
      <c r="U27" s="227"/>
      <c r="V27" s="227"/>
    </row>
    <row r="28" spans="1:22 16381:16381" ht="18" customHeight="1">
      <c r="A28" s="227"/>
      <c r="B28" s="227"/>
      <c r="C28" s="227"/>
      <c r="D28" s="227"/>
      <c r="E28" s="201"/>
      <c r="F28" s="62" t="str">
        <f>GT_CBKT3&amp;CBKT3</f>
        <v>Ông: ………………………..</v>
      </c>
      <c r="H28" s="63"/>
      <c r="I28" s="51" t="str">
        <f>"Chức cụ: "&amp;CV_CBKT3</f>
        <v>Chức cụ: ………………………..</v>
      </c>
      <c r="K28" s="201"/>
      <c r="L28" s="201"/>
      <c r="M28" s="227"/>
      <c r="N28" s="227"/>
      <c r="O28" s="227"/>
      <c r="P28" s="227"/>
      <c r="Q28" s="227"/>
      <c r="R28" s="227"/>
      <c r="S28" s="227"/>
      <c r="T28" s="227"/>
      <c r="U28" s="227"/>
      <c r="V28" s="227"/>
    </row>
    <row r="29" spans="1:22 16381:16381" ht="18" customHeight="1">
      <c r="A29" s="227"/>
      <c r="B29" s="227"/>
      <c r="C29" s="227"/>
      <c r="D29" s="227"/>
      <c r="E29" s="204" t="s">
        <v>3893</v>
      </c>
      <c r="F29" s="205" t="s">
        <v>3894</v>
      </c>
      <c r="G29" s="201"/>
      <c r="H29" s="201"/>
      <c r="I29" s="209"/>
      <c r="J29" s="209"/>
      <c r="K29" s="209"/>
      <c r="L29" s="201"/>
      <c r="M29" s="227"/>
      <c r="N29" s="227"/>
      <c r="O29" s="227"/>
      <c r="P29" s="227"/>
      <c r="Q29" s="227"/>
      <c r="R29" s="227"/>
      <c r="S29" s="227"/>
      <c r="T29" s="227"/>
      <c r="U29" s="227"/>
      <c r="V29" s="227"/>
    </row>
    <row r="30" spans="1:22 16381:16381" s="211" customFormat="1" ht="18" customHeight="1">
      <c r="A30" s="227"/>
      <c r="B30" s="227"/>
      <c r="C30" s="227"/>
      <c r="D30" s="227"/>
      <c r="E30" s="210"/>
      <c r="F30" s="1631" t="str">
        <f>" + Bắt đấu: ……. giờ ….. phút, "&amp;IFERROR(Doingay(VLOOKUP($N$2,LIST_BBKT_HM!$A$6:$H$700,6,0))," ngày ….. tháng ….. năm …..")</f>
        <v xml:space="preserve"> + Bắt đấu: ……. giờ ….. phút,  ngày 13 tháng 5 năm 2020</v>
      </c>
      <c r="G30" s="1631"/>
      <c r="H30" s="1631"/>
      <c r="I30" s="1631"/>
      <c r="J30" s="1631"/>
      <c r="K30" s="1631"/>
      <c r="L30" s="1631"/>
      <c r="M30" s="227"/>
      <c r="N30" s="227"/>
      <c r="O30" s="227"/>
      <c r="P30" s="227"/>
      <c r="Q30" s="227"/>
      <c r="R30" s="227"/>
      <c r="S30" s="227"/>
      <c r="T30" s="227"/>
      <c r="U30" s="227"/>
      <c r="V30" s="227"/>
    </row>
    <row r="31" spans="1:22 16381:16381" s="211" customFormat="1" ht="18" customHeight="1">
      <c r="A31" s="227"/>
      <c r="B31" s="227"/>
      <c r="C31" s="227"/>
      <c r="D31" s="227"/>
      <c r="E31" s="210"/>
      <c r="F31" s="1628" t="str">
        <f>" + Kết thúc: ……. giờ ….. phút, "&amp;IFERROR(Doingay(VLOOKUP($N$2,LIST_BBKT_HM!$A$6:$H$700,6,0))," ngày ….. tháng ….. năm …..")</f>
        <v xml:space="preserve"> + Kết thúc: ……. giờ ….. phút,  ngày 13 tháng 5 năm 2020</v>
      </c>
      <c r="G31" s="1628"/>
      <c r="H31" s="1628"/>
      <c r="I31" s="1628"/>
      <c r="J31" s="1628"/>
      <c r="K31" s="1628"/>
      <c r="L31" s="1628"/>
      <c r="M31" s="227"/>
      <c r="N31" s="227"/>
      <c r="O31" s="227"/>
      <c r="P31" s="227"/>
      <c r="Q31" s="227"/>
      <c r="R31" s="227"/>
      <c r="S31" s="227"/>
      <c r="T31" s="227"/>
      <c r="U31" s="227"/>
      <c r="V31" s="227"/>
    </row>
    <row r="32" spans="1:22 16381:16381" ht="18" customHeight="1">
      <c r="A32" s="227"/>
      <c r="B32" s="227"/>
      <c r="C32" s="227"/>
      <c r="D32" s="227"/>
      <c r="E32" s="204" t="s">
        <v>3895</v>
      </c>
      <c r="F32" s="205" t="s">
        <v>4296</v>
      </c>
      <c r="G32" s="201"/>
      <c r="H32" s="201"/>
      <c r="I32" s="201"/>
      <c r="J32" s="201"/>
      <c r="K32" s="201"/>
      <c r="L32" s="201"/>
      <c r="M32" s="227"/>
      <c r="N32" s="227"/>
      <c r="O32" s="227"/>
      <c r="P32" s="227"/>
      <c r="Q32" s="227"/>
      <c r="R32" s="227"/>
      <c r="S32" s="227"/>
      <c r="T32" s="227"/>
      <c r="U32" s="227"/>
      <c r="V32" s="227"/>
    </row>
    <row r="33" spans="1:25" ht="36.6" customHeight="1">
      <c r="A33" s="227"/>
      <c r="B33" s="227"/>
      <c r="C33" s="227"/>
      <c r="D33" s="227"/>
      <c r="E33"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3" s="1620"/>
      <c r="G33" s="1620"/>
      <c r="H33" s="1620"/>
      <c r="I33" s="1620"/>
      <c r="J33" s="1620"/>
      <c r="K33" s="1620"/>
      <c r="L33" s="1620"/>
      <c r="M33" s="227"/>
      <c r="N33" s="227"/>
      <c r="O33" s="227"/>
      <c r="P33" s="227"/>
      <c r="Q33" s="227"/>
      <c r="R33" s="227"/>
      <c r="S33" s="227"/>
      <c r="T33" s="227"/>
      <c r="U33" s="227">
        <f>ROW(E33)</f>
        <v>33</v>
      </c>
      <c r="V33" s="227"/>
    </row>
    <row r="34" spans="1:25" ht="20.100000000000001" customHeight="1">
      <c r="A34" s="227"/>
      <c r="B34" s="227"/>
      <c r="C34" s="227"/>
      <c r="D34" s="227"/>
      <c r="E34" s="1621" t="s">
        <v>4298</v>
      </c>
      <c r="F34" s="1621"/>
      <c r="G34" s="1621"/>
      <c r="H34" s="1621"/>
      <c r="I34" s="1621"/>
      <c r="J34" s="1621"/>
      <c r="K34" s="1621"/>
      <c r="L34" s="1621"/>
      <c r="M34" s="227"/>
      <c r="N34" s="227"/>
      <c r="O34" s="227"/>
      <c r="P34" s="227"/>
      <c r="Q34" s="227"/>
      <c r="R34" s="227"/>
      <c r="S34" s="227"/>
      <c r="T34" s="227"/>
      <c r="U34" s="227">
        <f>ROW(E34)</f>
        <v>34</v>
      </c>
      <c r="V34" s="227"/>
    </row>
    <row r="35" spans="1:25" ht="53.1" customHeight="1">
      <c r="A35" s="227"/>
      <c r="B35" s="227"/>
      <c r="C35" s="227"/>
      <c r="D35" s="227"/>
      <c r="E35"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5" s="1621"/>
      <c r="G35" s="1621"/>
      <c r="H35" s="1621"/>
      <c r="I35" s="1621"/>
      <c r="J35" s="1621"/>
      <c r="K35" s="1621"/>
      <c r="L35" s="1621"/>
      <c r="M35" s="227"/>
      <c r="N35" s="227"/>
      <c r="O35" s="227"/>
      <c r="P35" s="227"/>
      <c r="Q35" s="227"/>
      <c r="R35" s="227"/>
      <c r="S35" s="227"/>
      <c r="T35" s="227"/>
      <c r="U35" s="227">
        <f>ROW(E35)</f>
        <v>35</v>
      </c>
      <c r="V35" s="227"/>
    </row>
    <row r="36" spans="1:25" ht="15" customHeight="1">
      <c r="A36" s="227"/>
      <c r="B36" s="227"/>
      <c r="C36" s="227"/>
      <c r="D36" s="227"/>
      <c r="E36" s="204" t="s">
        <v>3896</v>
      </c>
      <c r="F36" s="1636" t="s">
        <v>3897</v>
      </c>
      <c r="G36" s="1636"/>
      <c r="H36" s="212"/>
      <c r="I36" s="212"/>
      <c r="J36" s="212"/>
      <c r="K36" s="212"/>
      <c r="L36" s="212"/>
      <c r="M36" s="227"/>
      <c r="N36" s="227"/>
      <c r="O36" s="227"/>
      <c r="P36" s="227"/>
      <c r="Q36" s="227"/>
      <c r="R36" s="227"/>
      <c r="S36" s="227"/>
      <c r="T36" s="227"/>
      <c r="U36" s="227"/>
      <c r="V36" s="227"/>
      <c r="W36" s="213"/>
      <c r="X36" s="213"/>
      <c r="Y36" s="213"/>
    </row>
    <row r="37" spans="1:25" s="211" customFormat="1" ht="16.5">
      <c r="A37" s="227"/>
      <c r="B37" s="227"/>
      <c r="C37" s="227"/>
      <c r="D37" s="227"/>
      <c r="E37" s="210"/>
      <c r="F37" s="1646" t="s">
        <v>21</v>
      </c>
      <c r="G37" s="1639" t="s">
        <v>3897</v>
      </c>
      <c r="H37" s="1640"/>
      <c r="I37" s="1647" t="s">
        <v>4303</v>
      </c>
      <c r="J37" s="1648"/>
      <c r="K37" s="1644" t="s">
        <v>20</v>
      </c>
      <c r="L37" s="210"/>
      <c r="M37" s="227"/>
      <c r="N37" s="227"/>
      <c r="O37" s="227"/>
      <c r="P37" s="227"/>
      <c r="Q37" s="227"/>
      <c r="R37" s="227"/>
      <c r="S37" s="227"/>
      <c r="T37" s="227"/>
      <c r="U37" s="227"/>
      <c r="V37" s="227"/>
    </row>
    <row r="38" spans="1:25" s="211" customFormat="1" ht="16.5">
      <c r="A38" s="227"/>
      <c r="B38" s="227"/>
      <c r="C38" s="227"/>
      <c r="D38" s="227"/>
      <c r="E38" s="210"/>
      <c r="F38" s="1646"/>
      <c r="G38" s="1641"/>
      <c r="H38" s="1642"/>
      <c r="I38" s="431" t="s">
        <v>3899</v>
      </c>
      <c r="J38" s="430" t="s">
        <v>4307</v>
      </c>
      <c r="K38" s="1645"/>
      <c r="L38" s="210"/>
      <c r="M38" s="227"/>
      <c r="N38" s="227"/>
      <c r="O38" s="227"/>
      <c r="P38" s="227"/>
      <c r="Q38" s="227"/>
      <c r="R38" s="227"/>
      <c r="S38" s="227"/>
      <c r="T38" s="227"/>
      <c r="U38" s="227"/>
      <c r="V38" s="227"/>
    </row>
    <row r="39" spans="1:25" s="211" customFormat="1" ht="36" customHeight="1">
      <c r="A39" s="227"/>
      <c r="B39" s="227"/>
      <c r="C39" s="227"/>
      <c r="D39" s="227"/>
      <c r="E39" s="210"/>
      <c r="F39" s="624">
        <v>1</v>
      </c>
      <c r="G39" s="1643" t="s">
        <v>4299</v>
      </c>
      <c r="H39" s="1643"/>
      <c r="I39" s="630" t="s">
        <v>3900</v>
      </c>
      <c r="J39" s="628" t="s">
        <v>3901</v>
      </c>
      <c r="K39" s="628"/>
      <c r="L39" s="210"/>
      <c r="M39" s="227"/>
      <c r="N39" s="227"/>
      <c r="O39" s="227"/>
      <c r="P39" s="227"/>
      <c r="Q39" s="227"/>
      <c r="R39" s="227"/>
      <c r="S39" s="227"/>
      <c r="T39" s="227"/>
      <c r="U39" s="227"/>
      <c r="V39" s="227"/>
    </row>
    <row r="40" spans="1:25" s="211" customFormat="1" ht="53.25" customHeight="1">
      <c r="A40" s="227"/>
      <c r="B40" s="227"/>
      <c r="C40" s="227"/>
      <c r="D40" s="227"/>
      <c r="E40" s="210"/>
      <c r="F40" s="624">
        <v>2</v>
      </c>
      <c r="G40" s="1643" t="s">
        <v>4300</v>
      </c>
      <c r="H40" s="1643"/>
      <c r="I40" s="630" t="s">
        <v>3900</v>
      </c>
      <c r="J40" s="628" t="s">
        <v>3901</v>
      </c>
      <c r="K40" s="628"/>
      <c r="L40" s="201"/>
      <c r="M40" s="227"/>
      <c r="N40" s="227"/>
      <c r="O40" s="227"/>
      <c r="P40" s="227"/>
      <c r="Q40" s="227"/>
      <c r="R40" s="227"/>
      <c r="S40" s="227"/>
      <c r="T40" s="227"/>
      <c r="U40" s="227"/>
      <c r="V40" s="227"/>
    </row>
    <row r="41" spans="1:25" s="211" customFormat="1" ht="23.25" customHeight="1">
      <c r="A41" s="227"/>
      <c r="B41" s="227"/>
      <c r="C41" s="227"/>
      <c r="D41" s="227"/>
      <c r="E41" s="210"/>
      <c r="F41" s="624">
        <v>3</v>
      </c>
      <c r="G41" s="1643" t="s">
        <v>4301</v>
      </c>
      <c r="H41" s="1643"/>
      <c r="I41" s="630" t="s">
        <v>3900</v>
      </c>
      <c r="J41" s="628" t="s">
        <v>3901</v>
      </c>
      <c r="K41" s="628"/>
      <c r="L41" s="201"/>
      <c r="M41" s="227"/>
      <c r="N41" s="227"/>
      <c r="O41" s="227"/>
      <c r="P41" s="227"/>
      <c r="Q41" s="227"/>
      <c r="R41" s="227"/>
      <c r="S41" s="227"/>
      <c r="T41" s="227"/>
      <c r="U41" s="227"/>
      <c r="V41" s="227"/>
    </row>
    <row r="42" spans="1:25" s="211" customFormat="1" ht="16.5">
      <c r="A42" s="227"/>
      <c r="B42" s="227"/>
      <c r="C42" s="227"/>
      <c r="D42" s="227"/>
      <c r="E42" s="210"/>
      <c r="F42" s="624">
        <v>4</v>
      </c>
      <c r="G42" s="1643" t="s">
        <v>4302</v>
      </c>
      <c r="H42" s="1643"/>
      <c r="I42" s="630" t="s">
        <v>3900</v>
      </c>
      <c r="J42" s="628" t="s">
        <v>3901</v>
      </c>
      <c r="K42" s="628"/>
      <c r="L42" s="201"/>
      <c r="M42" s="227"/>
      <c r="N42" s="227"/>
      <c r="O42" s="227"/>
      <c r="P42" s="227"/>
      <c r="Q42" s="227"/>
      <c r="R42" s="227"/>
      <c r="S42" s="227"/>
      <c r="T42" s="227"/>
      <c r="U42" s="227"/>
      <c r="V42" s="227"/>
    </row>
    <row r="43" spans="1:25" s="211" customFormat="1" ht="16.5">
      <c r="A43" s="227"/>
      <c r="B43" s="227"/>
      <c r="C43" s="227"/>
      <c r="D43" s="227"/>
      <c r="E43" s="210"/>
      <c r="F43" s="721"/>
      <c r="G43" s="682"/>
      <c r="H43" s="682"/>
      <c r="I43" s="673"/>
      <c r="J43" s="312"/>
      <c r="K43" s="312"/>
      <c r="L43" s="201"/>
      <c r="M43" s="227"/>
      <c r="N43" s="227"/>
      <c r="O43" s="227"/>
      <c r="P43" s="227"/>
      <c r="Q43" s="227"/>
      <c r="R43" s="227"/>
      <c r="S43" s="227"/>
      <c r="T43" s="227"/>
      <c r="U43" s="227"/>
      <c r="V43" s="227"/>
    </row>
    <row r="44" spans="1:25" s="211" customFormat="1" ht="16.5">
      <c r="A44" s="227"/>
      <c r="B44" s="227"/>
      <c r="C44" s="227"/>
      <c r="D44" s="227"/>
      <c r="E44" s="204" t="str">
        <f>IF(A2&lt;&gt;"","6/","")</f>
        <v>6/</v>
      </c>
      <c r="F44" s="629" t="str">
        <f>IF(A2&lt;&gt;"","Kết quả kiểm tra","")</f>
        <v>Kết quả kiểm tra</v>
      </c>
      <c r="G44" s="310"/>
      <c r="H44" s="313"/>
      <c r="I44" s="311"/>
      <c r="J44" s="312"/>
      <c r="K44" s="312"/>
      <c r="L44" s="201"/>
      <c r="M44" s="227"/>
      <c r="N44" s="227"/>
      <c r="O44" s="227"/>
      <c r="P44" s="227"/>
      <c r="Q44" s="227"/>
      <c r="R44" s="227"/>
      <c r="S44" s="227"/>
      <c r="T44" s="227"/>
      <c r="U44" s="227"/>
      <c r="V44" s="227"/>
    </row>
    <row r="45" spans="1:25" ht="15" customHeight="1">
      <c r="A45" s="227"/>
      <c r="B45" s="227"/>
      <c r="C45" s="227"/>
      <c r="D45" s="227"/>
      <c r="E45" s="204"/>
      <c r="F45" s="1637" t="s">
        <v>4297</v>
      </c>
      <c r="G45" s="1637"/>
      <c r="H45" s="1637"/>
      <c r="I45" s="1637"/>
      <c r="J45" s="1637"/>
      <c r="K45" s="1637"/>
      <c r="L45" s="212"/>
      <c r="M45" s="227"/>
      <c r="N45" s="227"/>
      <c r="O45" s="227"/>
      <c r="P45" s="227"/>
      <c r="Q45" s="227"/>
      <c r="R45" s="227"/>
      <c r="S45" s="227"/>
      <c r="T45" s="227"/>
      <c r="U45" s="227"/>
      <c r="V45" s="227"/>
      <c r="W45" s="213"/>
      <c r="X45" s="213"/>
      <c r="Y45" s="213"/>
    </row>
    <row r="46" spans="1:25" ht="15" customHeight="1">
      <c r="A46" s="227"/>
      <c r="B46" s="227"/>
      <c r="C46" s="227"/>
      <c r="D46" s="227"/>
      <c r="E46" s="204"/>
      <c r="F46" s="1638"/>
      <c r="G46" s="1638"/>
      <c r="H46" s="1638"/>
      <c r="I46" s="1638"/>
      <c r="J46" s="1638"/>
      <c r="K46" s="1638"/>
      <c r="L46" s="212"/>
      <c r="M46" s="227"/>
      <c r="N46" s="227"/>
      <c r="O46" s="227"/>
      <c r="P46" s="227"/>
      <c r="Q46" s="227"/>
      <c r="R46" s="227"/>
      <c r="S46" s="227"/>
      <c r="T46" s="227"/>
      <c r="U46" s="227"/>
      <c r="V46" s="227"/>
      <c r="W46" s="213"/>
      <c r="X46" s="213"/>
      <c r="Y46" s="213"/>
    </row>
    <row r="47" spans="1:25" ht="15" customHeight="1">
      <c r="A47" s="227"/>
      <c r="B47" s="227"/>
      <c r="C47" s="227"/>
      <c r="D47" s="227"/>
      <c r="E47" s="204"/>
      <c r="F47" s="1638"/>
      <c r="G47" s="1638"/>
      <c r="H47" s="1638"/>
      <c r="I47" s="1638"/>
      <c r="J47" s="1638"/>
      <c r="K47" s="1638"/>
      <c r="L47" s="212"/>
      <c r="M47" s="227"/>
      <c r="N47" s="227"/>
      <c r="O47" s="227"/>
      <c r="P47" s="227"/>
      <c r="Q47" s="227"/>
      <c r="R47" s="227"/>
      <c r="S47" s="227"/>
      <c r="T47" s="227"/>
      <c r="U47" s="227"/>
      <c r="V47" s="227"/>
      <c r="W47" s="213"/>
      <c r="X47" s="213"/>
      <c r="Y47" s="213"/>
    </row>
    <row r="48" spans="1:25" ht="15" customHeight="1">
      <c r="A48" s="227"/>
      <c r="B48" s="227"/>
      <c r="C48" s="227"/>
      <c r="D48" s="227"/>
      <c r="E48" s="204"/>
      <c r="F48" s="1638"/>
      <c r="G48" s="1638"/>
      <c r="H48" s="1638"/>
      <c r="I48" s="1638"/>
      <c r="J48" s="1638"/>
      <c r="K48" s="1638"/>
      <c r="L48" s="212"/>
      <c r="M48" s="227"/>
      <c r="N48" s="227"/>
      <c r="O48" s="227"/>
      <c r="P48" s="227"/>
      <c r="Q48" s="227"/>
      <c r="R48" s="227"/>
      <c r="S48" s="227"/>
      <c r="T48" s="227"/>
      <c r="U48" s="227"/>
      <c r="V48" s="227"/>
      <c r="W48" s="213"/>
      <c r="X48" s="213"/>
      <c r="Y48" s="213"/>
    </row>
    <row r="49" spans="1:25" ht="15" customHeight="1">
      <c r="A49" s="227"/>
      <c r="B49" s="227"/>
      <c r="C49" s="227"/>
      <c r="D49" s="227"/>
      <c r="E49" s="204"/>
      <c r="F49" s="1638"/>
      <c r="G49" s="1638"/>
      <c r="H49" s="1638"/>
      <c r="I49" s="1638"/>
      <c r="J49" s="1638"/>
      <c r="K49" s="1638"/>
      <c r="L49" s="212"/>
      <c r="M49" s="227"/>
      <c r="N49" s="227"/>
      <c r="O49" s="227"/>
      <c r="P49" s="227"/>
      <c r="Q49" s="227"/>
      <c r="R49" s="227"/>
      <c r="S49" s="227"/>
      <c r="T49" s="227"/>
      <c r="U49" s="227"/>
      <c r="V49" s="227"/>
      <c r="W49" s="213"/>
      <c r="X49" s="213"/>
      <c r="Y49" s="213"/>
    </row>
    <row r="50" spans="1:25" ht="15" customHeight="1">
      <c r="A50" s="227"/>
      <c r="B50" s="227"/>
      <c r="C50" s="227"/>
      <c r="D50" s="227"/>
      <c r="E50" s="204"/>
      <c r="F50" s="1638"/>
      <c r="G50" s="1638"/>
      <c r="H50" s="1638"/>
      <c r="I50" s="1638"/>
      <c r="J50" s="1638"/>
      <c r="K50" s="1638"/>
      <c r="L50" s="212"/>
      <c r="M50" s="227"/>
      <c r="N50" s="227"/>
      <c r="O50" s="227"/>
      <c r="P50" s="227"/>
      <c r="Q50" s="227"/>
      <c r="R50" s="227"/>
      <c r="S50" s="227"/>
      <c r="T50" s="227"/>
      <c r="U50" s="227"/>
      <c r="V50" s="227"/>
      <c r="W50" s="213"/>
      <c r="X50" s="213"/>
      <c r="Y50" s="213"/>
    </row>
    <row r="51" spans="1:25" ht="15" customHeight="1">
      <c r="A51" s="227"/>
      <c r="B51" s="227"/>
      <c r="C51" s="227"/>
      <c r="D51" s="227"/>
      <c r="E51" s="204"/>
      <c r="F51" s="1638"/>
      <c r="G51" s="1638"/>
      <c r="H51" s="1638"/>
      <c r="I51" s="1638"/>
      <c r="J51" s="1638"/>
      <c r="K51" s="1638"/>
      <c r="L51" s="212"/>
      <c r="M51" s="227"/>
      <c r="N51" s="227"/>
      <c r="O51" s="227"/>
      <c r="P51" s="227"/>
      <c r="Q51" s="227"/>
      <c r="R51" s="227"/>
      <c r="S51" s="227"/>
      <c r="T51" s="227"/>
      <c r="U51" s="227"/>
      <c r="V51" s="227"/>
      <c r="W51" s="213"/>
      <c r="X51" s="213"/>
      <c r="Y51" s="213"/>
    </row>
    <row r="52" spans="1:25" ht="15" customHeight="1">
      <c r="A52" s="227"/>
      <c r="B52" s="227"/>
      <c r="C52" s="227"/>
      <c r="D52" s="227"/>
      <c r="E52" s="204"/>
      <c r="F52" s="1638"/>
      <c r="G52" s="1638"/>
      <c r="H52" s="1638"/>
      <c r="I52" s="1638"/>
      <c r="J52" s="1638"/>
      <c r="K52" s="1638"/>
      <c r="L52" s="212"/>
      <c r="M52" s="227"/>
      <c r="N52" s="227"/>
      <c r="O52" s="227"/>
      <c r="P52" s="227"/>
      <c r="Q52" s="227"/>
      <c r="R52" s="227"/>
      <c r="S52" s="227"/>
      <c r="T52" s="227"/>
      <c r="U52" s="227"/>
      <c r="V52" s="227"/>
      <c r="W52" s="213"/>
      <c r="X52" s="213"/>
      <c r="Y52" s="213"/>
    </row>
    <row r="53" spans="1:25" ht="15" customHeight="1">
      <c r="A53" s="227"/>
      <c r="B53" s="227"/>
      <c r="C53" s="227"/>
      <c r="D53" s="227"/>
      <c r="E53" s="204"/>
      <c r="F53" s="1638"/>
      <c r="G53" s="1638"/>
      <c r="H53" s="1638"/>
      <c r="I53" s="1638"/>
      <c r="J53" s="1638"/>
      <c r="K53" s="1638"/>
      <c r="L53" s="212"/>
      <c r="M53" s="227"/>
      <c r="N53" s="227"/>
      <c r="O53" s="227"/>
      <c r="P53" s="227"/>
      <c r="Q53" s="227"/>
      <c r="R53" s="227"/>
      <c r="S53" s="227"/>
      <c r="T53" s="227"/>
      <c r="U53" s="227"/>
      <c r="V53" s="227"/>
      <c r="W53" s="213"/>
      <c r="X53" s="213"/>
      <c r="Y53" s="213"/>
    </row>
    <row r="54" spans="1:25" ht="15" customHeight="1">
      <c r="A54" s="227"/>
      <c r="B54" s="227"/>
      <c r="C54" s="227"/>
      <c r="D54" s="227"/>
      <c r="E54" s="204"/>
      <c r="F54" s="1638"/>
      <c r="G54" s="1638"/>
      <c r="H54" s="1638"/>
      <c r="I54" s="1638"/>
      <c r="J54" s="1638"/>
      <c r="K54" s="1638"/>
      <c r="L54" s="212"/>
      <c r="M54" s="227"/>
      <c r="N54" s="227"/>
      <c r="O54" s="227"/>
      <c r="P54" s="227"/>
      <c r="Q54" s="227"/>
      <c r="R54" s="227"/>
      <c r="S54" s="227"/>
      <c r="T54" s="227"/>
      <c r="U54" s="227"/>
      <c r="V54" s="227"/>
      <c r="W54" s="213"/>
      <c r="X54" s="213"/>
      <c r="Y54" s="213"/>
    </row>
    <row r="55" spans="1:25" ht="15" customHeight="1">
      <c r="A55" s="227"/>
      <c r="B55" s="227"/>
      <c r="C55" s="227"/>
      <c r="D55" s="227"/>
      <c r="E55" s="204"/>
      <c r="F55" s="719"/>
      <c r="G55" s="719"/>
      <c r="H55" s="719"/>
      <c r="I55" s="719"/>
      <c r="J55" s="719"/>
      <c r="K55" s="719"/>
      <c r="L55" s="212"/>
      <c r="M55" s="227"/>
      <c r="N55" s="227"/>
      <c r="O55" s="227"/>
      <c r="P55" s="227"/>
      <c r="Q55" s="227"/>
      <c r="R55" s="227"/>
      <c r="S55" s="227"/>
      <c r="T55" s="227"/>
      <c r="U55" s="227"/>
      <c r="V55" s="227"/>
      <c r="W55" s="213"/>
      <c r="X55" s="213"/>
      <c r="Y55" s="213"/>
    </row>
    <row r="56" spans="1:25" s="211" customFormat="1" ht="33" customHeight="1">
      <c r="A56" s="227"/>
      <c r="B56" s="227"/>
      <c r="C56" s="227"/>
      <c r="D56" s="227"/>
      <c r="E56" s="210"/>
      <c r="F56" s="623" t="s">
        <v>21</v>
      </c>
      <c r="G56" s="623" t="s">
        <v>23</v>
      </c>
      <c r="H56" s="623" t="s">
        <v>3932</v>
      </c>
      <c r="I56" s="623" t="s">
        <v>159</v>
      </c>
      <c r="J56" s="623" t="s">
        <v>3906</v>
      </c>
      <c r="K56" s="623" t="s">
        <v>4256</v>
      </c>
      <c r="L56" s="201"/>
      <c r="M56" s="227"/>
      <c r="N56" s="227"/>
      <c r="O56" s="227"/>
      <c r="P56" s="227"/>
      <c r="Q56" s="227"/>
      <c r="R56" s="227"/>
      <c r="S56" s="227"/>
      <c r="T56" s="227"/>
      <c r="U56" s="227"/>
      <c r="V56" s="227"/>
    </row>
    <row r="57" spans="1:25" s="211" customFormat="1" ht="16.5">
      <c r="A57" s="227"/>
      <c r="B57" s="227"/>
      <c r="C57" s="227"/>
      <c r="D57" s="227"/>
      <c r="E57" s="210"/>
      <c r="F57" s="646">
        <v>1</v>
      </c>
      <c r="G57" s="652" t="s">
        <v>5747</v>
      </c>
      <c r="H57" s="646"/>
      <c r="I57" s="653"/>
      <c r="J57" s="653"/>
      <c r="K57" s="653"/>
      <c r="L57" s="201"/>
      <c r="M57" s="227"/>
      <c r="N57" s="227"/>
      <c r="O57" s="227"/>
      <c r="P57" s="227"/>
      <c r="Q57" s="227"/>
      <c r="R57" s="227"/>
      <c r="S57" s="227"/>
      <c r="T57" s="227"/>
      <c r="U57" s="227"/>
      <c r="V57" s="227"/>
    </row>
    <row r="58" spans="1:25" s="211" customFormat="1" ht="16.5">
      <c r="A58" s="227"/>
      <c r="B58" s="227"/>
      <c r="C58" s="227"/>
      <c r="D58" s="227"/>
      <c r="E58" s="210"/>
      <c r="F58" s="646"/>
      <c r="G58" s="652" t="s">
        <v>5761</v>
      </c>
      <c r="H58" s="646" t="s">
        <v>3514</v>
      </c>
      <c r="I58" s="653">
        <v>8.370000000000001</v>
      </c>
      <c r="J58" s="653">
        <v>8.3650000000000002</v>
      </c>
      <c r="K58" s="653">
        <v>-5.0000000000007816E-3</v>
      </c>
      <c r="L58" s="201"/>
      <c r="M58" s="227"/>
      <c r="N58" s="227"/>
      <c r="O58" s="227"/>
      <c r="P58" s="227"/>
      <c r="Q58" s="227"/>
      <c r="R58" s="227"/>
      <c r="S58" s="227"/>
      <c r="T58" s="227"/>
      <c r="U58" s="227"/>
      <c r="V58" s="227"/>
    </row>
    <row r="59" spans="1:25" s="211" customFormat="1" ht="16.5">
      <c r="A59" s="227"/>
      <c r="B59" s="227"/>
      <c r="C59" s="227"/>
      <c r="D59" s="227"/>
      <c r="E59" s="210"/>
      <c r="F59" s="646"/>
      <c r="G59" s="652" t="s">
        <v>5762</v>
      </c>
      <c r="H59" s="646" t="s">
        <v>3514</v>
      </c>
      <c r="I59" s="653">
        <v>1.3399999999999999</v>
      </c>
      <c r="J59" s="653">
        <v>1.47</v>
      </c>
      <c r="K59" s="653">
        <v>0.13000000000000012</v>
      </c>
      <c r="L59" s="201"/>
      <c r="M59" s="227"/>
      <c r="N59" s="227"/>
      <c r="O59" s="227"/>
      <c r="P59" s="227"/>
      <c r="Q59" s="227"/>
      <c r="R59" s="227"/>
      <c r="S59" s="227"/>
      <c r="T59" s="227"/>
      <c r="U59" s="227"/>
      <c r="V59" s="227"/>
    </row>
    <row r="60" spans="1:25" s="211" customFormat="1" ht="16.5">
      <c r="A60" s="227"/>
      <c r="B60" s="227"/>
      <c r="C60" s="227"/>
      <c r="D60" s="227"/>
      <c r="E60" s="210"/>
      <c r="F60" s="646">
        <v>2</v>
      </c>
      <c r="G60" s="652" t="s">
        <v>5748</v>
      </c>
      <c r="H60" s="646"/>
      <c r="I60" s="653"/>
      <c r="J60" s="653"/>
      <c r="K60" s="653"/>
      <c r="L60" s="201"/>
      <c r="M60" s="227"/>
      <c r="N60" s="227"/>
      <c r="O60" s="227"/>
      <c r="P60" s="227"/>
      <c r="Q60" s="227"/>
      <c r="R60" s="227"/>
      <c r="S60" s="227"/>
      <c r="T60" s="227"/>
      <c r="U60" s="227"/>
      <c r="V60" s="227"/>
    </row>
    <row r="61" spans="1:25" s="211" customFormat="1" ht="16.5">
      <c r="A61" s="227"/>
      <c r="B61" s="227"/>
      <c r="C61" s="227"/>
      <c r="D61" s="227"/>
      <c r="E61" s="210"/>
      <c r="F61" s="646"/>
      <c r="G61" s="652" t="s">
        <v>5761</v>
      </c>
      <c r="H61" s="646" t="s">
        <v>3514</v>
      </c>
      <c r="I61" s="653">
        <v>8.3600000000000012</v>
      </c>
      <c r="J61" s="653">
        <v>8.3629999999999995</v>
      </c>
      <c r="K61" s="653">
        <v>2.9999999999983373E-3</v>
      </c>
      <c r="L61" s="201"/>
      <c r="M61" s="227"/>
      <c r="N61" s="227"/>
      <c r="O61" s="227"/>
      <c r="P61" s="227"/>
      <c r="Q61" s="227"/>
      <c r="R61" s="227"/>
      <c r="S61" s="227"/>
      <c r="T61" s="227"/>
      <c r="U61" s="227"/>
      <c r="V61" s="227"/>
    </row>
    <row r="62" spans="1:25" s="211" customFormat="1" ht="16.5">
      <c r="A62" s="227"/>
      <c r="B62" s="227"/>
      <c r="C62" s="227"/>
      <c r="D62" s="227"/>
      <c r="E62" s="210"/>
      <c r="F62" s="646"/>
      <c r="G62" s="652" t="s">
        <v>5762</v>
      </c>
      <c r="H62" s="646" t="s">
        <v>3514</v>
      </c>
      <c r="I62" s="653">
        <v>1.3399999999999999</v>
      </c>
      <c r="J62" s="653">
        <v>1.44</v>
      </c>
      <c r="K62" s="653">
        <v>0.10000000000000009</v>
      </c>
      <c r="L62" s="201"/>
      <c r="M62" s="227"/>
      <c r="N62" s="227"/>
      <c r="O62" s="227"/>
      <c r="P62" s="227"/>
      <c r="Q62" s="227"/>
      <c r="R62" s="227"/>
      <c r="S62" s="227"/>
      <c r="T62" s="227"/>
      <c r="U62" s="227"/>
      <c r="V62" s="227"/>
    </row>
    <row r="63" spans="1:25" s="211" customFormat="1" ht="16.5">
      <c r="A63" s="227"/>
      <c r="B63" s="227"/>
      <c r="C63" s="227"/>
      <c r="D63" s="227"/>
      <c r="E63" s="210"/>
      <c r="F63" s="646">
        <v>3</v>
      </c>
      <c r="G63" s="652" t="s">
        <v>5749</v>
      </c>
      <c r="H63" s="646"/>
      <c r="I63" s="653"/>
      <c r="J63" s="653"/>
      <c r="K63" s="653"/>
      <c r="L63" s="201"/>
      <c r="M63" s="227"/>
      <c r="N63" s="227"/>
      <c r="O63" s="227"/>
      <c r="P63" s="227"/>
      <c r="Q63" s="227"/>
      <c r="R63" s="227"/>
      <c r="S63" s="227"/>
      <c r="T63" s="227"/>
      <c r="U63" s="227"/>
      <c r="V63" s="227"/>
    </row>
    <row r="64" spans="1:25" s="211" customFormat="1" ht="16.5">
      <c r="A64" s="227"/>
      <c r="B64" s="227"/>
      <c r="C64" s="227"/>
      <c r="D64" s="227"/>
      <c r="E64" s="210"/>
      <c r="F64" s="646"/>
      <c r="G64" s="652" t="s">
        <v>5761</v>
      </c>
      <c r="H64" s="646" t="s">
        <v>3514</v>
      </c>
      <c r="I64" s="653">
        <v>7.91</v>
      </c>
      <c r="J64" s="653">
        <v>7.899</v>
      </c>
      <c r="K64" s="653">
        <v>-1.1000000000000121E-2</v>
      </c>
      <c r="L64" s="201"/>
      <c r="M64" s="227"/>
      <c r="N64" s="227"/>
      <c r="O64" s="227"/>
      <c r="P64" s="227"/>
      <c r="Q64" s="227"/>
      <c r="R64" s="227"/>
      <c r="S64" s="227"/>
      <c r="T64" s="227"/>
      <c r="U64" s="227"/>
      <c r="V64" s="227"/>
    </row>
    <row r="65" spans="1:22" s="211" customFormat="1" ht="16.5">
      <c r="A65" s="227"/>
      <c r="B65" s="227"/>
      <c r="C65" s="227"/>
      <c r="D65" s="227"/>
      <c r="E65" s="210"/>
      <c r="F65" s="646"/>
      <c r="G65" s="652" t="s">
        <v>5762</v>
      </c>
      <c r="H65" s="646" t="s">
        <v>3514</v>
      </c>
      <c r="I65" s="653">
        <v>1.3399999999999999</v>
      </c>
      <c r="J65" s="653">
        <v>1.39</v>
      </c>
      <c r="K65" s="653">
        <v>5.0000000000000044E-2</v>
      </c>
      <c r="L65" s="201"/>
      <c r="M65" s="227"/>
      <c r="N65" s="227"/>
      <c r="O65" s="227"/>
      <c r="P65" s="227"/>
      <c r="Q65" s="227"/>
      <c r="R65" s="227"/>
      <c r="S65" s="227"/>
      <c r="T65" s="227"/>
      <c r="U65" s="227"/>
      <c r="V65" s="227"/>
    </row>
    <row r="66" spans="1:22" s="211" customFormat="1" ht="16.5">
      <c r="A66" s="227"/>
      <c r="B66" s="227"/>
      <c r="C66" s="227"/>
      <c r="D66" s="227"/>
      <c r="E66" s="210"/>
      <c r="F66" s="646">
        <v>4</v>
      </c>
      <c r="G66" s="652" t="s">
        <v>5750</v>
      </c>
      <c r="H66" s="646"/>
      <c r="I66" s="653"/>
      <c r="J66" s="653"/>
      <c r="K66" s="653"/>
      <c r="L66" s="201"/>
      <c r="M66" s="227"/>
      <c r="N66" s="227"/>
      <c r="O66" s="227"/>
      <c r="P66" s="227"/>
      <c r="Q66" s="227"/>
      <c r="R66" s="227"/>
      <c r="S66" s="227"/>
      <c r="T66" s="227"/>
      <c r="U66" s="227"/>
      <c r="V66" s="227"/>
    </row>
    <row r="67" spans="1:22" s="211" customFormat="1" ht="16.5">
      <c r="A67" s="227"/>
      <c r="B67" s="227"/>
      <c r="C67" s="227"/>
      <c r="D67" s="227"/>
      <c r="E67" s="210"/>
      <c r="F67" s="646"/>
      <c r="G67" s="652" t="s">
        <v>5761</v>
      </c>
      <c r="H67" s="646" t="s">
        <v>3514</v>
      </c>
      <c r="I67" s="653">
        <v>7.9</v>
      </c>
      <c r="J67" s="653">
        <v>7.8929999999999998</v>
      </c>
      <c r="K67" s="653">
        <v>-7.0000000000005613E-3</v>
      </c>
      <c r="L67" s="201"/>
      <c r="M67" s="227"/>
      <c r="N67" s="227"/>
      <c r="O67" s="227"/>
      <c r="P67" s="227"/>
      <c r="Q67" s="227"/>
      <c r="R67" s="227"/>
      <c r="S67" s="227"/>
      <c r="T67" s="227"/>
      <c r="U67" s="227"/>
      <c r="V67" s="227"/>
    </row>
    <row r="68" spans="1:22" s="211" customFormat="1" ht="16.5">
      <c r="A68" s="227"/>
      <c r="B68" s="227"/>
      <c r="C68" s="227"/>
      <c r="D68" s="227"/>
      <c r="E68" s="210"/>
      <c r="F68" s="646"/>
      <c r="G68" s="652" t="s">
        <v>5762</v>
      </c>
      <c r="H68" s="646" t="s">
        <v>3514</v>
      </c>
      <c r="I68" s="653">
        <v>1.3399999999999999</v>
      </c>
      <c r="J68" s="653">
        <v>1.4</v>
      </c>
      <c r="K68" s="653">
        <v>6.0000000000000053E-2</v>
      </c>
      <c r="L68" s="201"/>
      <c r="M68" s="227"/>
      <c r="N68" s="227"/>
      <c r="O68" s="227"/>
      <c r="P68" s="227"/>
      <c r="Q68" s="227"/>
      <c r="R68" s="227"/>
      <c r="S68" s="227"/>
      <c r="T68" s="227"/>
      <c r="U68" s="227"/>
      <c r="V68" s="227"/>
    </row>
    <row r="69" spans="1:22" s="211" customFormat="1" ht="16.5">
      <c r="A69" s="227"/>
      <c r="B69" s="227"/>
      <c r="C69" s="227"/>
      <c r="D69" s="227"/>
      <c r="E69" s="210"/>
      <c r="F69" s="646">
        <v>5</v>
      </c>
      <c r="G69" s="652" t="s">
        <v>5751</v>
      </c>
      <c r="H69" s="646"/>
      <c r="I69" s="653"/>
      <c r="J69" s="653"/>
      <c r="K69" s="653"/>
      <c r="L69" s="201"/>
      <c r="M69" s="227"/>
      <c r="N69" s="227"/>
      <c r="O69" s="227"/>
      <c r="P69" s="227"/>
      <c r="Q69" s="227"/>
      <c r="R69" s="227"/>
      <c r="S69" s="227"/>
      <c r="T69" s="227"/>
      <c r="U69" s="227"/>
      <c r="V69" s="227"/>
    </row>
    <row r="70" spans="1:22" s="211" customFormat="1" ht="16.5">
      <c r="A70" s="227"/>
      <c r="B70" s="227"/>
      <c r="C70" s="227"/>
      <c r="D70" s="227"/>
      <c r="E70" s="210"/>
      <c r="F70" s="646"/>
      <c r="G70" s="652" t="s">
        <v>5761</v>
      </c>
      <c r="H70" s="646" t="s">
        <v>3514</v>
      </c>
      <c r="I70" s="653">
        <v>7.8899999999999988</v>
      </c>
      <c r="J70" s="653">
        <v>7.875</v>
      </c>
      <c r="K70" s="653">
        <v>-1.4999999999998792E-2</v>
      </c>
      <c r="L70" s="201"/>
      <c r="M70" s="227"/>
      <c r="N70" s="227"/>
      <c r="O70" s="227"/>
      <c r="P70" s="227"/>
      <c r="Q70" s="227"/>
      <c r="R70" s="227"/>
      <c r="S70" s="227"/>
      <c r="T70" s="227"/>
      <c r="U70" s="227"/>
      <c r="V70" s="227"/>
    </row>
    <row r="71" spans="1:22" s="211" customFormat="1" ht="16.5">
      <c r="A71" s="227"/>
      <c r="B71" s="227"/>
      <c r="C71" s="227"/>
      <c r="D71" s="227"/>
      <c r="E71" s="210"/>
      <c r="F71" s="646"/>
      <c r="G71" s="652" t="s">
        <v>5762</v>
      </c>
      <c r="H71" s="646" t="s">
        <v>3514</v>
      </c>
      <c r="I71" s="653">
        <v>1.3399999999999999</v>
      </c>
      <c r="J71" s="653">
        <v>1.49</v>
      </c>
      <c r="K71" s="653">
        <v>0.15000000000000013</v>
      </c>
      <c r="L71" s="201"/>
      <c r="M71" s="227"/>
      <c r="N71" s="227"/>
      <c r="O71" s="227"/>
      <c r="P71" s="227"/>
      <c r="Q71" s="227"/>
      <c r="R71" s="227"/>
      <c r="S71" s="227"/>
      <c r="T71" s="227"/>
      <c r="U71" s="227"/>
      <c r="V71" s="227"/>
    </row>
    <row r="72" spans="1:22" s="211" customFormat="1" ht="16.5" hidden="1">
      <c r="A72" s="227"/>
      <c r="B72" s="227"/>
      <c r="C72" s="227"/>
      <c r="D72" s="227"/>
      <c r="E72" s="210"/>
      <c r="F72" s="646"/>
      <c r="G72" s="652"/>
      <c r="H72" s="646"/>
      <c r="I72" s="653"/>
      <c r="J72" s="653"/>
      <c r="K72" s="653"/>
      <c r="L72" s="201"/>
      <c r="M72" s="227"/>
      <c r="N72" s="227"/>
      <c r="O72" s="227"/>
      <c r="P72" s="227"/>
      <c r="Q72" s="227"/>
      <c r="R72" s="227"/>
      <c r="S72" s="227"/>
      <c r="T72" s="227"/>
      <c r="U72" s="227"/>
      <c r="V72" s="227"/>
    </row>
    <row r="73" spans="1:22" s="211" customFormat="1" ht="16.5" hidden="1">
      <c r="A73" s="227"/>
      <c r="B73" s="227"/>
      <c r="C73" s="227"/>
      <c r="D73" s="227"/>
      <c r="E73" s="210"/>
      <c r="F73" s="646"/>
      <c r="G73" s="652"/>
      <c r="H73" s="646"/>
      <c r="I73" s="653"/>
      <c r="J73" s="653"/>
      <c r="K73" s="653"/>
      <c r="L73" s="201"/>
      <c r="M73" s="227"/>
      <c r="N73" s="227"/>
      <c r="O73" s="227"/>
      <c r="P73" s="227"/>
      <c r="Q73" s="227"/>
      <c r="R73" s="227"/>
      <c r="S73" s="227"/>
      <c r="T73" s="227"/>
      <c r="U73" s="227"/>
      <c r="V73" s="227"/>
    </row>
    <row r="74" spans="1:22" s="211" customFormat="1" ht="16.5" hidden="1">
      <c r="A74" s="227"/>
      <c r="B74" s="227"/>
      <c r="C74" s="227"/>
      <c r="D74" s="227"/>
      <c r="E74" s="210"/>
      <c r="F74" s="646"/>
      <c r="G74" s="652"/>
      <c r="H74" s="646"/>
      <c r="I74" s="653"/>
      <c r="J74" s="653"/>
      <c r="K74" s="653"/>
      <c r="L74" s="201"/>
      <c r="M74" s="227"/>
      <c r="N74" s="227"/>
      <c r="O74" s="227"/>
      <c r="P74" s="227"/>
      <c r="Q74" s="227"/>
      <c r="R74" s="227"/>
      <c r="S74" s="227"/>
      <c r="T74" s="227"/>
      <c r="U74" s="227"/>
      <c r="V74" s="227"/>
    </row>
    <row r="75" spans="1:22" s="211" customFormat="1" ht="16.5" hidden="1">
      <c r="A75" s="227"/>
      <c r="B75" s="227"/>
      <c r="C75" s="227"/>
      <c r="D75" s="227"/>
      <c r="E75" s="210"/>
      <c r="F75" s="646"/>
      <c r="G75" s="652"/>
      <c r="H75" s="646"/>
      <c r="I75" s="653"/>
      <c r="J75" s="653"/>
      <c r="K75" s="653"/>
      <c r="L75" s="201"/>
      <c r="M75" s="227"/>
      <c r="N75" s="227"/>
      <c r="O75" s="227"/>
      <c r="P75" s="227"/>
      <c r="Q75" s="227"/>
      <c r="R75" s="227"/>
      <c r="S75" s="227"/>
      <c r="T75" s="227"/>
      <c r="U75" s="227"/>
      <c r="V75" s="227"/>
    </row>
    <row r="76" spans="1:22" s="211" customFormat="1" ht="16.5" hidden="1">
      <c r="A76" s="227"/>
      <c r="B76" s="227"/>
      <c r="C76" s="227"/>
      <c r="D76" s="227"/>
      <c r="E76" s="210"/>
      <c r="F76" s="646"/>
      <c r="G76" s="652"/>
      <c r="H76" s="646"/>
      <c r="I76" s="653"/>
      <c r="J76" s="653"/>
      <c r="K76" s="653"/>
      <c r="L76" s="201"/>
      <c r="M76" s="227"/>
      <c r="N76" s="227"/>
      <c r="O76" s="227"/>
      <c r="P76" s="227"/>
      <c r="Q76" s="227"/>
      <c r="R76" s="227"/>
      <c r="S76" s="227"/>
      <c r="T76" s="227"/>
      <c r="U76" s="227"/>
      <c r="V76" s="227"/>
    </row>
    <row r="77" spans="1:22" s="211" customFormat="1" ht="16.5" hidden="1">
      <c r="A77" s="227"/>
      <c r="B77" s="227"/>
      <c r="C77" s="227"/>
      <c r="D77" s="227"/>
      <c r="E77" s="210"/>
      <c r="F77" s="646"/>
      <c r="G77" s="652"/>
      <c r="H77" s="646"/>
      <c r="I77" s="653"/>
      <c r="J77" s="653"/>
      <c r="K77" s="653"/>
      <c r="L77" s="201"/>
      <c r="M77" s="227"/>
      <c r="N77" s="227"/>
      <c r="O77" s="227"/>
      <c r="P77" s="227"/>
      <c r="Q77" s="227"/>
      <c r="R77" s="227"/>
      <c r="S77" s="227"/>
      <c r="T77" s="227"/>
      <c r="U77" s="227"/>
      <c r="V77" s="227"/>
    </row>
    <row r="78" spans="1:22" s="211" customFormat="1" ht="16.5" hidden="1">
      <c r="A78" s="227"/>
      <c r="B78" s="227"/>
      <c r="C78" s="227"/>
      <c r="D78" s="227"/>
      <c r="E78" s="210"/>
      <c r="F78" s="646"/>
      <c r="G78" s="652"/>
      <c r="H78" s="646"/>
      <c r="I78" s="653"/>
      <c r="J78" s="653"/>
      <c r="K78" s="653"/>
      <c r="L78" s="201"/>
      <c r="M78" s="227"/>
      <c r="N78" s="227"/>
      <c r="O78" s="227"/>
      <c r="P78" s="227"/>
      <c r="Q78" s="227"/>
      <c r="R78" s="227"/>
      <c r="S78" s="227"/>
      <c r="T78" s="227"/>
      <c r="U78" s="227"/>
      <c r="V78" s="227"/>
    </row>
    <row r="79" spans="1:22" s="211" customFormat="1" ht="16.5" hidden="1">
      <c r="A79" s="227"/>
      <c r="B79" s="227"/>
      <c r="C79" s="227"/>
      <c r="D79" s="227"/>
      <c r="E79" s="210"/>
      <c r="F79" s="646"/>
      <c r="G79" s="652"/>
      <c r="H79" s="646"/>
      <c r="I79" s="653"/>
      <c r="J79" s="653"/>
      <c r="K79" s="653"/>
      <c r="L79" s="201"/>
      <c r="M79" s="227"/>
      <c r="N79" s="227"/>
      <c r="O79" s="227"/>
      <c r="P79" s="227"/>
      <c r="Q79" s="227"/>
      <c r="R79" s="227"/>
      <c r="S79" s="227"/>
      <c r="T79" s="227"/>
      <c r="U79" s="227"/>
      <c r="V79" s="227"/>
    </row>
    <row r="80" spans="1:22" s="211" customFormat="1" ht="16.5" hidden="1">
      <c r="A80" s="227"/>
      <c r="B80" s="227"/>
      <c r="C80" s="227"/>
      <c r="D80" s="227"/>
      <c r="E80" s="210"/>
      <c r="F80" s="646"/>
      <c r="G80" s="652"/>
      <c r="H80" s="646"/>
      <c r="I80" s="653"/>
      <c r="J80" s="653"/>
      <c r="K80" s="653"/>
      <c r="L80" s="201"/>
      <c r="M80" s="227"/>
      <c r="N80" s="227"/>
      <c r="O80" s="227"/>
      <c r="P80" s="227"/>
      <c r="Q80" s="227"/>
      <c r="R80" s="227"/>
      <c r="S80" s="227"/>
      <c r="T80" s="227"/>
      <c r="U80" s="227"/>
      <c r="V80" s="227"/>
    </row>
    <row r="81" spans="1:22" s="211" customFormat="1" ht="16.5" hidden="1">
      <c r="A81" s="227"/>
      <c r="B81" s="227"/>
      <c r="C81" s="227"/>
      <c r="D81" s="227"/>
      <c r="E81" s="210"/>
      <c r="F81" s="646"/>
      <c r="G81" s="652"/>
      <c r="H81" s="646"/>
      <c r="I81" s="653"/>
      <c r="J81" s="653"/>
      <c r="K81" s="653"/>
      <c r="L81" s="201"/>
      <c r="M81" s="227"/>
      <c r="N81" s="227"/>
      <c r="O81" s="227"/>
      <c r="P81" s="227"/>
      <c r="Q81" s="227"/>
      <c r="R81" s="227"/>
      <c r="S81" s="227"/>
      <c r="T81" s="227"/>
      <c r="U81" s="227"/>
      <c r="V81" s="227"/>
    </row>
    <row r="82" spans="1:22" s="211" customFormat="1" ht="16.5" hidden="1">
      <c r="A82" s="227"/>
      <c r="B82" s="227"/>
      <c r="C82" s="227"/>
      <c r="D82" s="227"/>
      <c r="E82" s="210"/>
      <c r="F82" s="646"/>
      <c r="G82" s="652"/>
      <c r="H82" s="646"/>
      <c r="I82" s="653"/>
      <c r="J82" s="653"/>
      <c r="K82" s="653"/>
      <c r="L82" s="201"/>
      <c r="M82" s="227"/>
      <c r="N82" s="227"/>
      <c r="O82" s="227"/>
      <c r="P82" s="227"/>
      <c r="Q82" s="227"/>
      <c r="R82" s="227"/>
      <c r="S82" s="227"/>
      <c r="T82" s="227"/>
      <c r="U82" s="227"/>
      <c r="V82" s="227"/>
    </row>
    <row r="83" spans="1:22" s="211" customFormat="1" ht="16.5" hidden="1">
      <c r="A83" s="227"/>
      <c r="B83" s="227"/>
      <c r="C83" s="227"/>
      <c r="D83" s="227"/>
      <c r="E83" s="210"/>
      <c r="F83" s="646"/>
      <c r="G83" s="652"/>
      <c r="H83" s="646"/>
      <c r="I83" s="653"/>
      <c r="J83" s="653"/>
      <c r="K83" s="653"/>
      <c r="L83" s="201"/>
      <c r="M83" s="227"/>
      <c r="N83" s="227"/>
      <c r="O83" s="227"/>
      <c r="P83" s="227"/>
      <c r="Q83" s="227"/>
      <c r="R83" s="227"/>
      <c r="S83" s="227"/>
      <c r="T83" s="227"/>
      <c r="U83" s="227"/>
      <c r="V83" s="227"/>
    </row>
    <row r="84" spans="1:22" s="211" customFormat="1" ht="16.5" hidden="1">
      <c r="A84" s="227"/>
      <c r="B84" s="227"/>
      <c r="C84" s="227"/>
      <c r="D84" s="227"/>
      <c r="E84" s="210"/>
      <c r="F84" s="646"/>
      <c r="G84" s="652"/>
      <c r="H84" s="646"/>
      <c r="I84" s="653"/>
      <c r="J84" s="653"/>
      <c r="K84" s="653"/>
      <c r="L84" s="201"/>
      <c r="M84" s="227"/>
      <c r="N84" s="227"/>
      <c r="O84" s="227"/>
      <c r="P84" s="227"/>
      <c r="Q84" s="227"/>
      <c r="R84" s="227"/>
      <c r="S84" s="227"/>
      <c r="T84" s="227"/>
      <c r="U84" s="227"/>
      <c r="V84" s="227"/>
    </row>
    <row r="85" spans="1:22" s="211" customFormat="1" ht="16.5" hidden="1">
      <c r="A85" s="227"/>
      <c r="B85" s="227"/>
      <c r="C85" s="227"/>
      <c r="D85" s="227"/>
      <c r="E85" s="210"/>
      <c r="F85" s="646"/>
      <c r="G85" s="652"/>
      <c r="H85" s="646"/>
      <c r="I85" s="653"/>
      <c r="J85" s="653"/>
      <c r="K85" s="653"/>
      <c r="L85" s="201"/>
      <c r="M85" s="227"/>
      <c r="N85" s="227"/>
      <c r="O85" s="227"/>
      <c r="P85" s="227"/>
      <c r="Q85" s="227"/>
      <c r="R85" s="227"/>
      <c r="S85" s="227"/>
      <c r="T85" s="227"/>
      <c r="U85" s="227"/>
      <c r="V85" s="227"/>
    </row>
    <row r="86" spans="1:22" s="211" customFormat="1" ht="16.5" hidden="1">
      <c r="A86" s="227"/>
      <c r="B86" s="227"/>
      <c r="C86" s="227"/>
      <c r="D86" s="227"/>
      <c r="E86" s="210"/>
      <c r="F86" s="646"/>
      <c r="G86" s="652"/>
      <c r="H86" s="646"/>
      <c r="I86" s="653"/>
      <c r="J86" s="653"/>
      <c r="K86" s="653"/>
      <c r="L86" s="201"/>
      <c r="M86" s="227"/>
      <c r="N86" s="227"/>
      <c r="O86" s="227"/>
      <c r="P86" s="227"/>
      <c r="Q86" s="227"/>
      <c r="R86" s="227"/>
      <c r="S86" s="227"/>
      <c r="T86" s="227"/>
      <c r="U86" s="227"/>
      <c r="V86" s="227"/>
    </row>
    <row r="87" spans="1:22" s="211" customFormat="1" ht="16.5" hidden="1">
      <c r="A87" s="227"/>
      <c r="B87" s="227"/>
      <c r="C87" s="227"/>
      <c r="D87" s="227"/>
      <c r="E87" s="210"/>
      <c r="F87" s="646"/>
      <c r="G87" s="652"/>
      <c r="H87" s="646"/>
      <c r="I87" s="653"/>
      <c r="J87" s="653"/>
      <c r="K87" s="653"/>
      <c r="L87" s="201"/>
      <c r="M87" s="227"/>
      <c r="N87" s="227"/>
      <c r="O87" s="227"/>
      <c r="P87" s="227"/>
      <c r="Q87" s="227"/>
      <c r="R87" s="227"/>
      <c r="S87" s="227"/>
      <c r="T87" s="227"/>
      <c r="U87" s="227"/>
      <c r="V87" s="227"/>
    </row>
    <row r="88" spans="1:22" s="211" customFormat="1" ht="16.5" hidden="1">
      <c r="A88" s="227"/>
      <c r="B88" s="227"/>
      <c r="C88" s="227"/>
      <c r="D88" s="227"/>
      <c r="E88" s="210"/>
      <c r="F88" s="646"/>
      <c r="G88" s="652"/>
      <c r="H88" s="646"/>
      <c r="I88" s="653"/>
      <c r="J88" s="653"/>
      <c r="K88" s="653"/>
      <c r="L88" s="201"/>
      <c r="M88" s="227"/>
      <c r="N88" s="227"/>
      <c r="O88" s="227"/>
      <c r="P88" s="227"/>
      <c r="Q88" s="227"/>
      <c r="R88" s="227"/>
      <c r="S88" s="227"/>
      <c r="T88" s="227"/>
      <c r="U88" s="227"/>
      <c r="V88" s="227"/>
    </row>
    <row r="89" spans="1:22" s="211" customFormat="1" ht="16.5" hidden="1">
      <c r="A89" s="227"/>
      <c r="B89" s="227"/>
      <c r="C89" s="227"/>
      <c r="D89" s="227"/>
      <c r="E89" s="210"/>
      <c r="F89" s="646"/>
      <c r="G89" s="652"/>
      <c r="H89" s="646"/>
      <c r="I89" s="653"/>
      <c r="J89" s="653"/>
      <c r="K89" s="653"/>
      <c r="L89" s="201"/>
      <c r="M89" s="227"/>
      <c r="N89" s="227"/>
      <c r="O89" s="227"/>
      <c r="P89" s="227"/>
      <c r="Q89" s="227"/>
      <c r="R89" s="227"/>
      <c r="S89" s="227"/>
      <c r="T89" s="227"/>
      <c r="U89" s="227"/>
      <c r="V89" s="227"/>
    </row>
    <row r="90" spans="1:22" s="211" customFormat="1" ht="16.5" hidden="1">
      <c r="A90" s="227"/>
      <c r="B90" s="227"/>
      <c r="C90" s="227"/>
      <c r="D90" s="227"/>
      <c r="E90" s="210"/>
      <c r="F90" s="646"/>
      <c r="G90" s="652"/>
      <c r="H90" s="646"/>
      <c r="I90" s="653"/>
      <c r="J90" s="653"/>
      <c r="K90" s="653"/>
      <c r="L90" s="201"/>
      <c r="M90" s="227"/>
      <c r="N90" s="227"/>
      <c r="O90" s="227"/>
      <c r="P90" s="227"/>
      <c r="Q90" s="227"/>
      <c r="R90" s="227"/>
      <c r="S90" s="227"/>
      <c r="T90" s="227"/>
      <c r="U90" s="227"/>
      <c r="V90" s="227"/>
    </row>
    <row r="91" spans="1:22" s="211" customFormat="1" ht="16.5" hidden="1">
      <c r="A91" s="227"/>
      <c r="B91" s="227"/>
      <c r="C91" s="227"/>
      <c r="D91" s="227"/>
      <c r="E91" s="210"/>
      <c r="F91" s="646"/>
      <c r="G91" s="652"/>
      <c r="H91" s="646"/>
      <c r="I91" s="653"/>
      <c r="J91" s="653"/>
      <c r="K91" s="653"/>
      <c r="L91" s="201"/>
      <c r="M91" s="227"/>
      <c r="N91" s="227"/>
      <c r="O91" s="227"/>
      <c r="P91" s="227"/>
      <c r="Q91" s="227"/>
      <c r="R91" s="227"/>
      <c r="S91" s="227"/>
      <c r="T91" s="227"/>
      <c r="U91" s="227"/>
      <c r="V91" s="227"/>
    </row>
    <row r="92" spans="1:22" s="211" customFormat="1" ht="16.5" hidden="1">
      <c r="A92" s="227"/>
      <c r="B92" s="227"/>
      <c r="C92" s="227"/>
      <c r="D92" s="227"/>
      <c r="E92" s="210"/>
      <c r="F92" s="646"/>
      <c r="G92" s="652"/>
      <c r="H92" s="646"/>
      <c r="I92" s="653"/>
      <c r="J92" s="653"/>
      <c r="K92" s="653"/>
      <c r="L92" s="201"/>
      <c r="M92" s="227"/>
      <c r="N92" s="227"/>
      <c r="O92" s="227"/>
      <c r="P92" s="227"/>
      <c r="Q92" s="227"/>
      <c r="R92" s="227"/>
      <c r="S92" s="227"/>
      <c r="T92" s="227"/>
      <c r="U92" s="227"/>
      <c r="V92" s="227"/>
    </row>
    <row r="93" spans="1:22" s="211" customFormat="1" ht="16.5" hidden="1">
      <c r="A93" s="227"/>
      <c r="B93" s="227"/>
      <c r="C93" s="227"/>
      <c r="D93" s="227"/>
      <c r="E93" s="210"/>
      <c r="F93" s="646"/>
      <c r="G93" s="652"/>
      <c r="H93" s="646"/>
      <c r="I93" s="653"/>
      <c r="J93" s="653"/>
      <c r="K93" s="653"/>
      <c r="L93" s="201"/>
      <c r="M93" s="227"/>
      <c r="N93" s="227"/>
      <c r="O93" s="227"/>
      <c r="P93" s="227"/>
      <c r="Q93" s="227"/>
      <c r="R93" s="227"/>
      <c r="S93" s="227"/>
      <c r="T93" s="227"/>
      <c r="U93" s="227"/>
      <c r="V93" s="227"/>
    </row>
    <row r="94" spans="1:22" s="211" customFormat="1" ht="16.5" hidden="1">
      <c r="A94" s="227"/>
      <c r="B94" s="227"/>
      <c r="C94" s="227"/>
      <c r="D94" s="227"/>
      <c r="E94" s="210"/>
      <c r="F94" s="646"/>
      <c r="G94" s="652"/>
      <c r="H94" s="646"/>
      <c r="I94" s="653"/>
      <c r="J94" s="653"/>
      <c r="K94" s="653"/>
      <c r="L94" s="201"/>
      <c r="M94" s="227"/>
      <c r="N94" s="227"/>
      <c r="O94" s="227"/>
      <c r="P94" s="227"/>
      <c r="Q94" s="227"/>
      <c r="R94" s="227"/>
      <c r="S94" s="227"/>
      <c r="T94" s="227"/>
      <c r="U94" s="227"/>
      <c r="V94" s="227"/>
    </row>
    <row r="95" spans="1:22" s="211" customFormat="1" ht="16.5" hidden="1">
      <c r="A95" s="227"/>
      <c r="B95" s="227"/>
      <c r="C95" s="227"/>
      <c r="D95" s="227"/>
      <c r="E95" s="210"/>
      <c r="F95" s="646"/>
      <c r="G95" s="652"/>
      <c r="H95" s="646"/>
      <c r="I95" s="653"/>
      <c r="J95" s="653"/>
      <c r="K95" s="653"/>
      <c r="L95" s="201"/>
      <c r="M95" s="227"/>
      <c r="N95" s="227"/>
      <c r="O95" s="227"/>
      <c r="P95" s="227"/>
      <c r="Q95" s="227"/>
      <c r="R95" s="227"/>
      <c r="S95" s="227"/>
      <c r="T95" s="227"/>
      <c r="U95" s="227"/>
      <c r="V95" s="227"/>
    </row>
    <row r="96" spans="1:22" s="211" customFormat="1" ht="16.5" hidden="1">
      <c r="A96" s="227"/>
      <c r="B96" s="227"/>
      <c r="C96" s="227"/>
      <c r="D96" s="227"/>
      <c r="E96" s="210"/>
      <c r="F96" s="646"/>
      <c r="G96" s="652"/>
      <c r="H96" s="646"/>
      <c r="I96" s="653"/>
      <c r="J96" s="653"/>
      <c r="K96" s="653"/>
      <c r="L96" s="201"/>
      <c r="M96" s="227"/>
      <c r="N96" s="227"/>
      <c r="O96" s="227"/>
      <c r="P96" s="227"/>
      <c r="Q96" s="227"/>
      <c r="R96" s="227"/>
      <c r="S96" s="227"/>
      <c r="T96" s="227"/>
      <c r="U96" s="227"/>
      <c r="V96" s="227"/>
    </row>
    <row r="97" spans="1:22" s="211" customFormat="1" ht="16.5" hidden="1">
      <c r="A97" s="227"/>
      <c r="B97" s="227"/>
      <c r="C97" s="227"/>
      <c r="D97" s="227"/>
      <c r="E97" s="210"/>
      <c r="F97" s="646"/>
      <c r="G97" s="652"/>
      <c r="H97" s="646"/>
      <c r="I97" s="653"/>
      <c r="J97" s="653"/>
      <c r="K97" s="653"/>
      <c r="L97" s="201"/>
      <c r="M97" s="227"/>
      <c r="N97" s="227"/>
      <c r="O97" s="227"/>
      <c r="P97" s="227"/>
      <c r="Q97" s="227"/>
      <c r="R97" s="227"/>
      <c r="S97" s="227"/>
      <c r="T97" s="227"/>
      <c r="U97" s="227"/>
      <c r="V97" s="227"/>
    </row>
    <row r="98" spans="1:22" s="211" customFormat="1" ht="16.5" hidden="1">
      <c r="A98" s="227"/>
      <c r="B98" s="227"/>
      <c r="C98" s="227"/>
      <c r="D98" s="227"/>
      <c r="E98" s="210"/>
      <c r="F98" s="646"/>
      <c r="G98" s="652"/>
      <c r="H98" s="646"/>
      <c r="I98" s="653"/>
      <c r="J98" s="653"/>
      <c r="K98" s="653"/>
      <c r="L98" s="201"/>
      <c r="M98" s="227"/>
      <c r="N98" s="227"/>
      <c r="O98" s="227"/>
      <c r="P98" s="227"/>
      <c r="Q98" s="227"/>
      <c r="R98" s="227"/>
      <c r="S98" s="227"/>
      <c r="T98" s="227"/>
      <c r="U98" s="227"/>
      <c r="V98" s="227"/>
    </row>
    <row r="99" spans="1:22" s="211" customFormat="1" ht="16.5" hidden="1">
      <c r="A99" s="227"/>
      <c r="B99" s="227"/>
      <c r="C99" s="227"/>
      <c r="D99" s="227"/>
      <c r="E99" s="210"/>
      <c r="F99" s="646"/>
      <c r="G99" s="652"/>
      <c r="H99" s="646"/>
      <c r="I99" s="653"/>
      <c r="J99" s="653"/>
      <c r="K99" s="653"/>
      <c r="L99" s="201"/>
      <c r="M99" s="227"/>
      <c r="N99" s="227"/>
      <c r="O99" s="227"/>
      <c r="P99" s="227"/>
      <c r="Q99" s="227"/>
      <c r="R99" s="227"/>
      <c r="S99" s="227"/>
      <c r="T99" s="227"/>
      <c r="U99" s="227"/>
      <c r="V99" s="227"/>
    </row>
    <row r="100" spans="1:22" s="211" customFormat="1" ht="16.5" hidden="1">
      <c r="A100" s="227"/>
      <c r="B100" s="227"/>
      <c r="C100" s="227"/>
      <c r="D100" s="227"/>
      <c r="E100" s="210"/>
      <c r="F100" s="646"/>
      <c r="G100" s="652"/>
      <c r="H100" s="646"/>
      <c r="I100" s="653"/>
      <c r="J100" s="653"/>
      <c r="K100" s="653"/>
      <c r="L100" s="201"/>
      <c r="M100" s="227"/>
      <c r="N100" s="227"/>
      <c r="O100" s="227"/>
      <c r="P100" s="227"/>
      <c r="Q100" s="227"/>
      <c r="R100" s="227"/>
      <c r="S100" s="227"/>
      <c r="T100" s="227"/>
      <c r="U100" s="227"/>
      <c r="V100" s="227"/>
    </row>
    <row r="101" spans="1:22" s="211" customFormat="1" ht="16.5" hidden="1">
      <c r="A101" s="227"/>
      <c r="B101" s="227"/>
      <c r="C101" s="227"/>
      <c r="D101" s="227"/>
      <c r="E101" s="210"/>
      <c r="F101" s="646"/>
      <c r="G101" s="652"/>
      <c r="H101" s="646"/>
      <c r="I101" s="653"/>
      <c r="J101" s="653"/>
      <c r="K101" s="653"/>
      <c r="L101" s="201"/>
      <c r="M101" s="227"/>
      <c r="N101" s="227"/>
      <c r="O101" s="227"/>
      <c r="P101" s="227"/>
      <c r="Q101" s="227"/>
      <c r="R101" s="227"/>
      <c r="S101" s="227"/>
      <c r="T101" s="227"/>
      <c r="U101" s="227"/>
      <c r="V101" s="227"/>
    </row>
    <row r="102" spans="1:22" s="211" customFormat="1" ht="18" hidden="1" customHeight="1">
      <c r="A102" s="227"/>
      <c r="B102" s="227"/>
      <c r="C102" s="227"/>
      <c r="D102" s="227"/>
      <c r="E102" s="210"/>
      <c r="F102" s="646"/>
      <c r="G102" s="652"/>
      <c r="H102" s="646"/>
      <c r="I102" s="653"/>
      <c r="J102" s="653"/>
      <c r="K102" s="653"/>
      <c r="L102" s="201"/>
      <c r="M102" s="227"/>
      <c r="N102" s="227"/>
      <c r="O102" s="227"/>
      <c r="P102" s="227"/>
      <c r="Q102" s="227"/>
      <c r="R102" s="227"/>
      <c r="S102" s="227"/>
      <c r="T102" s="227"/>
      <c r="U102" s="227"/>
      <c r="V102" s="227"/>
    </row>
    <row r="103" spans="1:22" s="211" customFormat="1" ht="18" hidden="1" customHeight="1">
      <c r="A103" s="227"/>
      <c r="B103" s="227"/>
      <c r="C103" s="227"/>
      <c r="D103" s="227"/>
      <c r="E103" s="210"/>
      <c r="F103" s="646"/>
      <c r="G103" s="652"/>
      <c r="H103" s="646"/>
      <c r="I103" s="653"/>
      <c r="J103" s="653"/>
      <c r="K103" s="653"/>
      <c r="L103" s="201"/>
      <c r="M103" s="227"/>
      <c r="N103" s="227"/>
      <c r="O103" s="227"/>
      <c r="P103" s="227"/>
      <c r="Q103" s="227"/>
      <c r="R103" s="227"/>
      <c r="S103" s="227"/>
      <c r="T103" s="227"/>
      <c r="U103" s="227"/>
      <c r="V103" s="227"/>
    </row>
    <row r="104" spans="1:22" s="211" customFormat="1" ht="18" hidden="1" customHeight="1">
      <c r="A104" s="227"/>
      <c r="B104" s="227"/>
      <c r="C104" s="227"/>
      <c r="D104" s="227"/>
      <c r="E104" s="210"/>
      <c r="F104" s="646"/>
      <c r="G104" s="652"/>
      <c r="H104" s="646"/>
      <c r="I104" s="653"/>
      <c r="J104" s="653"/>
      <c r="K104" s="653"/>
      <c r="L104" s="201"/>
      <c r="M104" s="227"/>
      <c r="N104" s="227"/>
      <c r="O104" s="227"/>
      <c r="P104" s="227"/>
      <c r="Q104" s="227"/>
      <c r="R104" s="227"/>
      <c r="S104" s="227"/>
      <c r="T104" s="227"/>
      <c r="U104" s="227"/>
      <c r="V104" s="227"/>
    </row>
    <row r="105" spans="1:22" s="211" customFormat="1" ht="18" hidden="1" customHeight="1">
      <c r="A105" s="227"/>
      <c r="B105" s="227"/>
      <c r="C105" s="227"/>
      <c r="D105" s="227"/>
      <c r="E105" s="210"/>
      <c r="F105" s="646"/>
      <c r="G105" s="652"/>
      <c r="H105" s="646"/>
      <c r="I105" s="653"/>
      <c r="J105" s="653"/>
      <c r="K105" s="653"/>
      <c r="L105" s="201"/>
      <c r="M105" s="227"/>
      <c r="N105" s="227"/>
      <c r="O105" s="227"/>
      <c r="P105" s="227"/>
      <c r="Q105" s="227"/>
      <c r="R105" s="227"/>
      <c r="S105" s="227"/>
      <c r="T105" s="227"/>
      <c r="U105" s="227"/>
      <c r="V105" s="227"/>
    </row>
    <row r="106" spans="1:22" s="211" customFormat="1" ht="18" hidden="1" customHeight="1">
      <c r="A106" s="227"/>
      <c r="B106" s="227"/>
      <c r="C106" s="227"/>
      <c r="D106" s="227"/>
      <c r="E106" s="210"/>
      <c r="F106" s="646"/>
      <c r="G106" s="652"/>
      <c r="H106" s="646"/>
      <c r="I106" s="653"/>
      <c r="J106" s="653"/>
      <c r="K106" s="653"/>
      <c r="L106" s="201"/>
      <c r="M106" s="227"/>
      <c r="N106" s="227"/>
      <c r="O106" s="227"/>
      <c r="P106" s="227"/>
      <c r="Q106" s="227"/>
      <c r="R106" s="227"/>
      <c r="S106" s="227"/>
      <c r="T106" s="227"/>
      <c r="U106" s="227"/>
      <c r="V106" s="227"/>
    </row>
    <row r="107" spans="1:22" s="211" customFormat="1" ht="18" hidden="1" customHeight="1">
      <c r="A107" s="227"/>
      <c r="B107" s="227"/>
      <c r="C107" s="227"/>
      <c r="D107" s="227"/>
      <c r="E107" s="210"/>
      <c r="F107" s="646"/>
      <c r="G107" s="652"/>
      <c r="H107" s="646"/>
      <c r="I107" s="653"/>
      <c r="J107" s="653"/>
      <c r="K107" s="653"/>
      <c r="L107" s="201"/>
      <c r="M107" s="227"/>
      <c r="N107" s="227"/>
      <c r="O107" s="227"/>
      <c r="P107" s="227"/>
      <c r="Q107" s="227"/>
      <c r="R107" s="227"/>
      <c r="S107" s="227"/>
      <c r="T107" s="227"/>
      <c r="U107" s="227"/>
      <c r="V107" s="227"/>
    </row>
    <row r="108" spans="1:22" s="211" customFormat="1" ht="18" hidden="1" customHeight="1">
      <c r="A108" s="227"/>
      <c r="B108" s="227"/>
      <c r="C108" s="227"/>
      <c r="D108" s="227"/>
      <c r="E108" s="210"/>
      <c r="F108" s="646"/>
      <c r="G108" s="652"/>
      <c r="H108" s="646"/>
      <c r="I108" s="653"/>
      <c r="J108" s="653"/>
      <c r="K108" s="653"/>
      <c r="L108" s="201"/>
      <c r="M108" s="227"/>
      <c r="N108" s="227"/>
      <c r="O108" s="227"/>
      <c r="P108" s="227"/>
      <c r="Q108" s="227"/>
      <c r="R108" s="227"/>
      <c r="S108" s="227"/>
      <c r="T108" s="227"/>
      <c r="U108" s="227"/>
      <c r="V108" s="227"/>
    </row>
    <row r="109" spans="1:22" s="211" customFormat="1" ht="18" hidden="1" customHeight="1">
      <c r="A109" s="227"/>
      <c r="B109" s="227"/>
      <c r="C109" s="227"/>
      <c r="D109" s="227"/>
      <c r="E109" s="210"/>
      <c r="F109" s="646"/>
      <c r="G109" s="652"/>
      <c r="H109" s="646"/>
      <c r="I109" s="653"/>
      <c r="J109" s="653"/>
      <c r="K109" s="653"/>
      <c r="L109" s="201"/>
      <c r="M109" s="227"/>
      <c r="N109" s="227"/>
      <c r="O109" s="227"/>
      <c r="P109" s="227"/>
      <c r="Q109" s="227"/>
      <c r="R109" s="227"/>
      <c r="S109" s="227"/>
      <c r="T109" s="227"/>
      <c r="U109" s="227"/>
      <c r="V109" s="227"/>
    </row>
    <row r="110" spans="1:22" s="211" customFormat="1" ht="18" hidden="1" customHeight="1">
      <c r="A110" s="227"/>
      <c r="B110" s="227"/>
      <c r="C110" s="227"/>
      <c r="D110" s="227"/>
      <c r="E110" s="210"/>
      <c r="F110" s="646"/>
      <c r="G110" s="652"/>
      <c r="H110" s="646"/>
      <c r="I110" s="653"/>
      <c r="J110" s="653"/>
      <c r="K110" s="653"/>
      <c r="L110" s="201"/>
      <c r="M110" s="227"/>
      <c r="N110" s="227"/>
      <c r="O110" s="227"/>
      <c r="P110" s="227"/>
      <c r="Q110" s="227"/>
      <c r="R110" s="227"/>
      <c r="S110" s="227"/>
      <c r="T110" s="227"/>
      <c r="U110" s="227"/>
      <c r="V110" s="227"/>
    </row>
    <row r="111" spans="1:22" s="211" customFormat="1" ht="18" hidden="1" customHeight="1">
      <c r="A111" s="227"/>
      <c r="B111" s="227"/>
      <c r="C111" s="227"/>
      <c r="D111" s="227"/>
      <c r="E111" s="210"/>
      <c r="F111" s="646"/>
      <c r="G111" s="652"/>
      <c r="H111" s="646"/>
      <c r="I111" s="653"/>
      <c r="J111" s="653"/>
      <c r="K111" s="653"/>
      <c r="L111" s="201"/>
      <c r="M111" s="227"/>
      <c r="N111" s="227"/>
      <c r="O111" s="227"/>
      <c r="P111" s="227"/>
      <c r="Q111" s="227"/>
      <c r="R111" s="227"/>
      <c r="S111" s="227"/>
      <c r="T111" s="227"/>
      <c r="U111" s="227"/>
      <c r="V111" s="227"/>
    </row>
    <row r="112" spans="1:22" s="211" customFormat="1" ht="18" hidden="1" customHeight="1">
      <c r="A112" s="227"/>
      <c r="B112" s="227"/>
      <c r="C112" s="227"/>
      <c r="D112" s="227"/>
      <c r="E112" s="210"/>
      <c r="F112" s="646"/>
      <c r="G112" s="652"/>
      <c r="H112" s="646"/>
      <c r="I112" s="653"/>
      <c r="J112" s="653"/>
      <c r="K112" s="653"/>
      <c r="L112" s="201"/>
      <c r="M112" s="227"/>
      <c r="N112" s="227"/>
      <c r="O112" s="227"/>
      <c r="P112" s="227"/>
      <c r="Q112" s="227"/>
      <c r="R112" s="227"/>
      <c r="S112" s="227"/>
      <c r="T112" s="227"/>
      <c r="U112" s="227"/>
      <c r="V112" s="227"/>
    </row>
    <row r="113" spans="1:22" s="211" customFormat="1" ht="18" hidden="1" customHeight="1">
      <c r="A113" s="227"/>
      <c r="B113" s="227"/>
      <c r="C113" s="227"/>
      <c r="D113" s="227"/>
      <c r="E113" s="210"/>
      <c r="F113" s="646"/>
      <c r="G113" s="652"/>
      <c r="H113" s="646"/>
      <c r="I113" s="653"/>
      <c r="J113" s="653"/>
      <c r="K113" s="653"/>
      <c r="L113" s="201"/>
      <c r="M113" s="227"/>
      <c r="N113" s="227"/>
      <c r="O113" s="227"/>
      <c r="P113" s="227"/>
      <c r="Q113" s="227"/>
      <c r="R113" s="227"/>
      <c r="S113" s="227"/>
      <c r="T113" s="227"/>
      <c r="U113" s="227"/>
      <c r="V113" s="227"/>
    </row>
    <row r="114" spans="1:22" s="211" customFormat="1" ht="18" hidden="1" customHeight="1">
      <c r="A114" s="227"/>
      <c r="B114" s="227"/>
      <c r="C114" s="227"/>
      <c r="D114" s="227"/>
      <c r="E114" s="210"/>
      <c r="F114" s="646"/>
      <c r="G114" s="652"/>
      <c r="H114" s="646"/>
      <c r="I114" s="653"/>
      <c r="J114" s="653"/>
      <c r="K114" s="653"/>
      <c r="L114" s="201"/>
      <c r="M114" s="227"/>
      <c r="N114" s="227"/>
      <c r="O114" s="227"/>
      <c r="P114" s="227"/>
      <c r="Q114" s="227"/>
      <c r="R114" s="227"/>
      <c r="S114" s="227"/>
      <c r="T114" s="227"/>
      <c r="U114" s="227"/>
      <c r="V114" s="227"/>
    </row>
    <row r="115" spans="1:22" s="211" customFormat="1" ht="18" hidden="1" customHeight="1">
      <c r="A115" s="227"/>
      <c r="B115" s="227"/>
      <c r="C115" s="227"/>
      <c r="D115" s="227"/>
      <c r="E115" s="210"/>
      <c r="F115" s="646"/>
      <c r="G115" s="652"/>
      <c r="H115" s="646"/>
      <c r="I115" s="653"/>
      <c r="J115" s="653"/>
      <c r="K115" s="653"/>
      <c r="L115" s="201"/>
      <c r="M115" s="227"/>
      <c r="N115" s="227"/>
      <c r="O115" s="227"/>
      <c r="P115" s="227"/>
      <c r="Q115" s="227"/>
      <c r="R115" s="227"/>
      <c r="S115" s="227"/>
      <c r="T115" s="227"/>
      <c r="U115" s="227"/>
      <c r="V115" s="227"/>
    </row>
    <row r="116" spans="1:22" s="211" customFormat="1" ht="18" hidden="1" customHeight="1">
      <c r="A116" s="227"/>
      <c r="B116" s="227"/>
      <c r="C116" s="227"/>
      <c r="D116" s="227"/>
      <c r="E116" s="210"/>
      <c r="F116" s="646"/>
      <c r="G116" s="652"/>
      <c r="H116" s="646"/>
      <c r="I116" s="653"/>
      <c r="J116" s="653"/>
      <c r="K116" s="653"/>
      <c r="L116" s="201"/>
      <c r="M116" s="227"/>
      <c r="N116" s="227"/>
      <c r="O116" s="227"/>
      <c r="P116" s="227"/>
      <c r="Q116" s="227"/>
      <c r="R116" s="227"/>
      <c r="S116" s="227"/>
      <c r="T116" s="227"/>
      <c r="U116" s="227"/>
      <c r="V116" s="227"/>
    </row>
    <row r="117" spans="1:22" s="211" customFormat="1" ht="18" hidden="1" customHeight="1">
      <c r="A117" s="227"/>
      <c r="B117" s="227"/>
      <c r="C117" s="227"/>
      <c r="D117" s="227"/>
      <c r="E117" s="210"/>
      <c r="F117" s="646"/>
      <c r="G117" s="652"/>
      <c r="H117" s="646"/>
      <c r="I117" s="653"/>
      <c r="J117" s="653"/>
      <c r="K117" s="653"/>
      <c r="L117" s="201"/>
      <c r="M117" s="227"/>
      <c r="N117" s="227"/>
      <c r="O117" s="227"/>
      <c r="P117" s="227"/>
      <c r="Q117" s="227"/>
      <c r="R117" s="227"/>
      <c r="S117" s="227"/>
      <c r="T117" s="227"/>
      <c r="U117" s="227"/>
      <c r="V117" s="227"/>
    </row>
    <row r="118" spans="1:22" s="211" customFormat="1" ht="18" hidden="1" customHeight="1">
      <c r="A118" s="227"/>
      <c r="B118" s="227"/>
      <c r="C118" s="227"/>
      <c r="D118" s="227"/>
      <c r="E118" s="210"/>
      <c r="F118" s="646"/>
      <c r="G118" s="652"/>
      <c r="H118" s="646"/>
      <c r="I118" s="653"/>
      <c r="J118" s="653"/>
      <c r="K118" s="653"/>
      <c r="L118" s="201"/>
      <c r="M118" s="227"/>
      <c r="N118" s="227"/>
      <c r="O118" s="227"/>
      <c r="P118" s="227"/>
      <c r="Q118" s="227"/>
      <c r="R118" s="227"/>
      <c r="S118" s="227"/>
      <c r="T118" s="227"/>
      <c r="U118" s="227"/>
      <c r="V118" s="227"/>
    </row>
    <row r="119" spans="1:22" s="211" customFormat="1" ht="18" hidden="1" customHeight="1">
      <c r="A119" s="227"/>
      <c r="B119" s="227"/>
      <c r="C119" s="227"/>
      <c r="D119" s="227"/>
      <c r="E119" s="210"/>
      <c r="F119" s="646"/>
      <c r="G119" s="652"/>
      <c r="H119" s="646"/>
      <c r="I119" s="653"/>
      <c r="J119" s="653"/>
      <c r="K119" s="653"/>
      <c r="L119" s="201"/>
      <c r="M119" s="227"/>
      <c r="N119" s="227"/>
      <c r="O119" s="227"/>
      <c r="P119" s="227"/>
      <c r="Q119" s="227"/>
      <c r="R119" s="227"/>
      <c r="S119" s="227"/>
      <c r="T119" s="227"/>
      <c r="U119" s="227"/>
      <c r="V119" s="227"/>
    </row>
    <row r="120" spans="1:22" s="211" customFormat="1" ht="18" hidden="1" customHeight="1">
      <c r="A120" s="227"/>
      <c r="B120" s="227"/>
      <c r="C120" s="227"/>
      <c r="D120" s="227"/>
      <c r="E120" s="210"/>
      <c r="F120" s="646"/>
      <c r="G120" s="652"/>
      <c r="H120" s="646"/>
      <c r="I120" s="653"/>
      <c r="J120" s="653"/>
      <c r="K120" s="653"/>
      <c r="L120" s="201"/>
      <c r="M120" s="227"/>
      <c r="N120" s="227"/>
      <c r="O120" s="227"/>
      <c r="P120" s="227"/>
      <c r="Q120" s="227"/>
      <c r="R120" s="227"/>
      <c r="S120" s="227"/>
      <c r="T120" s="227"/>
      <c r="U120" s="227"/>
      <c r="V120" s="227"/>
    </row>
    <row r="121" spans="1:22" s="211" customFormat="1" ht="18" hidden="1" customHeight="1">
      <c r="A121" s="227"/>
      <c r="B121" s="227"/>
      <c r="C121" s="227"/>
      <c r="D121" s="227"/>
      <c r="E121" s="210"/>
      <c r="F121" s="646"/>
      <c r="G121" s="652"/>
      <c r="H121" s="646"/>
      <c r="I121" s="653"/>
      <c r="J121" s="653"/>
      <c r="K121" s="653"/>
      <c r="L121" s="201"/>
      <c r="M121" s="227"/>
      <c r="N121" s="227"/>
      <c r="O121" s="227"/>
      <c r="P121" s="227"/>
      <c r="Q121" s="227"/>
      <c r="R121" s="227"/>
      <c r="S121" s="227"/>
      <c r="T121" s="227"/>
      <c r="U121" s="227"/>
      <c r="V121" s="227"/>
    </row>
    <row r="122" spans="1:22" s="211" customFormat="1" ht="18" hidden="1" customHeight="1">
      <c r="A122" s="227"/>
      <c r="B122" s="227"/>
      <c r="C122" s="227"/>
      <c r="D122" s="227"/>
      <c r="E122" s="210"/>
      <c r="F122" s="646"/>
      <c r="G122" s="652"/>
      <c r="H122" s="646"/>
      <c r="I122" s="653"/>
      <c r="J122" s="653"/>
      <c r="K122" s="653"/>
      <c r="L122" s="201"/>
      <c r="M122" s="227"/>
      <c r="N122" s="227"/>
      <c r="O122" s="227"/>
      <c r="P122" s="227"/>
      <c r="Q122" s="227"/>
      <c r="R122" s="227"/>
      <c r="S122" s="227"/>
      <c r="T122" s="227"/>
      <c r="U122" s="227"/>
      <c r="V122" s="227"/>
    </row>
    <row r="123" spans="1:22" s="211" customFormat="1" ht="18" hidden="1" customHeight="1">
      <c r="A123" s="227"/>
      <c r="B123" s="227"/>
      <c r="C123" s="227"/>
      <c r="D123" s="227"/>
      <c r="E123" s="210"/>
      <c r="F123" s="646"/>
      <c r="G123" s="652"/>
      <c r="H123" s="646"/>
      <c r="I123" s="653"/>
      <c r="J123" s="653"/>
      <c r="K123" s="653"/>
      <c r="L123" s="201"/>
      <c r="M123" s="227"/>
      <c r="N123" s="227"/>
      <c r="O123" s="227"/>
      <c r="P123" s="227"/>
      <c r="Q123" s="227"/>
      <c r="R123" s="227"/>
      <c r="S123" s="227"/>
      <c r="T123" s="227"/>
      <c r="U123" s="227"/>
      <c r="V123" s="227"/>
    </row>
    <row r="124" spans="1:22" s="211" customFormat="1" ht="18" hidden="1" customHeight="1">
      <c r="A124" s="227"/>
      <c r="B124" s="227"/>
      <c r="C124" s="227"/>
      <c r="D124" s="227"/>
      <c r="E124" s="210"/>
      <c r="F124" s="646"/>
      <c r="G124" s="652"/>
      <c r="H124" s="646"/>
      <c r="I124" s="653"/>
      <c r="J124" s="653"/>
      <c r="K124" s="653"/>
      <c r="L124" s="201"/>
      <c r="M124" s="227"/>
      <c r="N124" s="227"/>
      <c r="O124" s="227"/>
      <c r="P124" s="227"/>
      <c r="Q124" s="227"/>
      <c r="R124" s="227"/>
      <c r="S124" s="227"/>
      <c r="T124" s="227"/>
      <c r="U124" s="227"/>
      <c r="V124" s="227"/>
    </row>
    <row r="125" spans="1:22" s="211" customFormat="1" ht="18" hidden="1" customHeight="1">
      <c r="A125" s="227"/>
      <c r="B125" s="227"/>
      <c r="C125" s="227"/>
      <c r="D125" s="227"/>
      <c r="E125" s="210"/>
      <c r="F125" s="646"/>
      <c r="G125" s="652"/>
      <c r="H125" s="646"/>
      <c r="I125" s="653"/>
      <c r="J125" s="653"/>
      <c r="K125" s="653"/>
      <c r="L125" s="201"/>
      <c r="M125" s="227"/>
      <c r="N125" s="227"/>
      <c r="O125" s="227"/>
      <c r="P125" s="227"/>
      <c r="Q125" s="227"/>
      <c r="R125" s="227"/>
      <c r="S125" s="227"/>
      <c r="T125" s="227"/>
      <c r="U125" s="227"/>
      <c r="V125" s="227"/>
    </row>
    <row r="126" spans="1:22" s="211" customFormat="1" ht="18" hidden="1" customHeight="1">
      <c r="A126" s="227"/>
      <c r="B126" s="227"/>
      <c r="C126" s="227"/>
      <c r="D126" s="227"/>
      <c r="E126" s="210"/>
      <c r="F126" s="646"/>
      <c r="G126" s="652"/>
      <c r="H126" s="646"/>
      <c r="I126" s="653"/>
      <c r="J126" s="653"/>
      <c r="K126" s="653"/>
      <c r="L126" s="201"/>
      <c r="M126" s="227"/>
      <c r="N126" s="227"/>
      <c r="O126" s="227"/>
      <c r="P126" s="227"/>
      <c r="Q126" s="227"/>
      <c r="R126" s="227"/>
      <c r="S126" s="227"/>
      <c r="T126" s="227"/>
      <c r="U126" s="227"/>
      <c r="V126" s="227"/>
    </row>
    <row r="127" spans="1:22" s="211" customFormat="1" ht="18" hidden="1" customHeight="1">
      <c r="A127" s="227"/>
      <c r="B127" s="227"/>
      <c r="C127" s="227"/>
      <c r="D127" s="227"/>
      <c r="E127" s="210"/>
      <c r="F127" s="646"/>
      <c r="G127" s="652"/>
      <c r="H127" s="646"/>
      <c r="I127" s="653"/>
      <c r="J127" s="653"/>
      <c r="K127" s="653"/>
      <c r="L127" s="201"/>
      <c r="M127" s="227"/>
      <c r="N127" s="227"/>
      <c r="O127" s="227"/>
      <c r="P127" s="227"/>
      <c r="Q127" s="227"/>
      <c r="R127" s="227"/>
      <c r="S127" s="227"/>
      <c r="T127" s="227"/>
      <c r="U127" s="227"/>
      <c r="V127" s="227"/>
    </row>
    <row r="128" spans="1:22" s="211" customFormat="1" ht="16.5" hidden="1">
      <c r="A128" s="227"/>
      <c r="B128" s="227"/>
      <c r="C128" s="227"/>
      <c r="D128" s="227"/>
      <c r="E128" s="210"/>
      <c r="F128" s="646"/>
      <c r="G128" s="652"/>
      <c r="H128" s="646"/>
      <c r="I128" s="653"/>
      <c r="J128" s="653"/>
      <c r="K128" s="653"/>
      <c r="L128" s="201"/>
      <c r="M128" s="227"/>
      <c r="N128" s="227"/>
      <c r="O128" s="227"/>
      <c r="P128" s="227"/>
      <c r="Q128" s="227"/>
      <c r="R128" s="227"/>
      <c r="S128" s="227"/>
      <c r="T128" s="227"/>
      <c r="U128" s="227"/>
      <c r="V128" s="227"/>
    </row>
    <row r="129" spans="1:22" s="211" customFormat="1" ht="16.5" hidden="1">
      <c r="A129" s="227"/>
      <c r="B129" s="227"/>
      <c r="C129" s="227"/>
      <c r="D129" s="227"/>
      <c r="E129" s="210"/>
      <c r="F129" s="646"/>
      <c r="G129" s="652"/>
      <c r="H129" s="646"/>
      <c r="I129" s="653"/>
      <c r="J129" s="653"/>
      <c r="K129" s="653"/>
      <c r="L129" s="201"/>
      <c r="M129" s="227"/>
      <c r="N129" s="227"/>
      <c r="O129" s="227"/>
      <c r="P129" s="227"/>
      <c r="Q129" s="227"/>
      <c r="R129" s="227"/>
      <c r="S129" s="227"/>
      <c r="T129" s="227"/>
      <c r="U129" s="227"/>
      <c r="V129" s="227"/>
    </row>
    <row r="130" spans="1:22" s="211" customFormat="1" ht="16.5" hidden="1">
      <c r="A130" s="227"/>
      <c r="B130" s="227"/>
      <c r="C130" s="227"/>
      <c r="D130" s="227"/>
      <c r="E130" s="210"/>
      <c r="F130" s="646"/>
      <c r="G130" s="652"/>
      <c r="H130" s="646"/>
      <c r="I130" s="653"/>
      <c r="J130" s="653"/>
      <c r="K130" s="653"/>
      <c r="L130" s="201"/>
      <c r="M130" s="227"/>
      <c r="N130" s="227"/>
      <c r="O130" s="227"/>
      <c r="P130" s="227"/>
      <c r="Q130" s="227"/>
      <c r="R130" s="227"/>
      <c r="S130" s="227"/>
      <c r="T130" s="227"/>
      <c r="U130" s="227"/>
      <c r="V130" s="227"/>
    </row>
    <row r="131" spans="1:22" s="211" customFormat="1" ht="16.5" hidden="1">
      <c r="A131" s="227"/>
      <c r="B131" s="227"/>
      <c r="C131" s="227"/>
      <c r="D131" s="227"/>
      <c r="E131" s="210"/>
      <c r="F131" s="646"/>
      <c r="G131" s="652"/>
      <c r="H131" s="646"/>
      <c r="I131" s="653"/>
      <c r="J131" s="653"/>
      <c r="K131" s="653"/>
      <c r="L131" s="201"/>
      <c r="M131" s="227"/>
      <c r="N131" s="227"/>
      <c r="O131" s="227"/>
      <c r="P131" s="227"/>
      <c r="Q131" s="227"/>
      <c r="R131" s="227"/>
      <c r="S131" s="227"/>
      <c r="T131" s="227"/>
      <c r="U131" s="227"/>
      <c r="V131" s="227"/>
    </row>
    <row r="132" spans="1:22" s="211" customFormat="1" ht="16.5" hidden="1">
      <c r="A132" s="227"/>
      <c r="B132" s="227"/>
      <c r="C132" s="227"/>
      <c r="D132" s="227"/>
      <c r="E132" s="210"/>
      <c r="F132" s="646"/>
      <c r="G132" s="652"/>
      <c r="H132" s="646"/>
      <c r="I132" s="653"/>
      <c r="J132" s="653"/>
      <c r="K132" s="653"/>
      <c r="L132" s="201"/>
      <c r="M132" s="227"/>
      <c r="N132" s="227"/>
      <c r="O132" s="227"/>
      <c r="P132" s="227"/>
      <c r="Q132" s="227"/>
      <c r="R132" s="227"/>
      <c r="S132" s="227"/>
      <c r="T132" s="227"/>
      <c r="U132" s="227"/>
      <c r="V132" s="227"/>
    </row>
    <row r="133" spans="1:22" s="211" customFormat="1" ht="16.5" hidden="1">
      <c r="A133" s="227"/>
      <c r="B133" s="227"/>
      <c r="C133" s="227"/>
      <c r="D133" s="227"/>
      <c r="E133" s="210"/>
      <c r="F133" s="646"/>
      <c r="G133" s="652"/>
      <c r="H133" s="646"/>
      <c r="I133" s="653"/>
      <c r="J133" s="653"/>
      <c r="K133" s="653"/>
      <c r="L133" s="201"/>
      <c r="M133" s="227"/>
      <c r="N133" s="227"/>
      <c r="O133" s="227"/>
      <c r="P133" s="227"/>
      <c r="Q133" s="227"/>
      <c r="R133" s="227"/>
      <c r="S133" s="227"/>
      <c r="T133" s="227"/>
      <c r="U133" s="227"/>
      <c r="V133" s="227"/>
    </row>
    <row r="134" spans="1:22" s="211" customFormat="1" ht="16.5" hidden="1">
      <c r="A134" s="227"/>
      <c r="B134" s="227"/>
      <c r="C134" s="227"/>
      <c r="D134" s="227"/>
      <c r="E134" s="210"/>
      <c r="F134" s="646"/>
      <c r="G134" s="652"/>
      <c r="H134" s="646"/>
      <c r="I134" s="653"/>
      <c r="J134" s="653"/>
      <c r="K134" s="653"/>
      <c r="L134" s="201"/>
      <c r="M134" s="227"/>
      <c r="N134" s="227"/>
      <c r="O134" s="227"/>
      <c r="P134" s="227"/>
      <c r="Q134" s="227"/>
      <c r="R134" s="227"/>
      <c r="S134" s="227"/>
      <c r="T134" s="227"/>
      <c r="U134" s="227"/>
      <c r="V134" s="227"/>
    </row>
    <row r="135" spans="1:22" s="211" customFormat="1" ht="16.5" hidden="1">
      <c r="A135" s="227"/>
      <c r="B135" s="227"/>
      <c r="C135" s="227"/>
      <c r="D135" s="227"/>
      <c r="E135" s="210"/>
      <c r="F135" s="646"/>
      <c r="G135" s="652"/>
      <c r="H135" s="646"/>
      <c r="I135" s="653"/>
      <c r="J135" s="653"/>
      <c r="K135" s="653"/>
      <c r="L135" s="201"/>
      <c r="M135" s="227"/>
      <c r="N135" s="227"/>
      <c r="O135" s="227"/>
      <c r="P135" s="227"/>
      <c r="Q135" s="227"/>
      <c r="R135" s="227"/>
      <c r="S135" s="227"/>
      <c r="T135" s="227"/>
      <c r="U135" s="227"/>
      <c r="V135" s="227"/>
    </row>
    <row r="136" spans="1:22" s="211" customFormat="1" ht="16.5" hidden="1">
      <c r="A136" s="227"/>
      <c r="B136" s="227"/>
      <c r="C136" s="227"/>
      <c r="D136" s="227"/>
      <c r="E136" s="210"/>
      <c r="F136" s="646"/>
      <c r="G136" s="652"/>
      <c r="H136" s="646"/>
      <c r="I136" s="653"/>
      <c r="J136" s="653"/>
      <c r="K136" s="653"/>
      <c r="L136" s="201"/>
      <c r="M136" s="227"/>
      <c r="N136" s="227"/>
      <c r="O136" s="227"/>
      <c r="P136" s="227"/>
      <c r="Q136" s="227"/>
      <c r="R136" s="227"/>
      <c r="S136" s="227"/>
      <c r="T136" s="227"/>
      <c r="U136" s="227"/>
      <c r="V136" s="227"/>
    </row>
    <row r="137" spans="1:22" s="211" customFormat="1" ht="16.5" hidden="1">
      <c r="A137" s="227"/>
      <c r="B137" s="227"/>
      <c r="C137" s="227"/>
      <c r="D137" s="227"/>
      <c r="E137" s="210"/>
      <c r="F137" s="646"/>
      <c r="G137" s="652"/>
      <c r="H137" s="646"/>
      <c r="I137" s="653"/>
      <c r="J137" s="653"/>
      <c r="K137" s="653"/>
      <c r="L137" s="201"/>
      <c r="M137" s="227"/>
      <c r="N137" s="227"/>
      <c r="O137" s="227"/>
      <c r="P137" s="227"/>
      <c r="Q137" s="227"/>
      <c r="R137" s="227"/>
      <c r="S137" s="227"/>
      <c r="T137" s="227"/>
      <c r="U137" s="227"/>
      <c r="V137" s="227"/>
    </row>
    <row r="138" spans="1:22" s="211" customFormat="1" ht="16.5" hidden="1">
      <c r="A138" s="227"/>
      <c r="B138" s="227"/>
      <c r="C138" s="227"/>
      <c r="D138" s="227"/>
      <c r="E138" s="210"/>
      <c r="F138" s="646"/>
      <c r="G138" s="652"/>
      <c r="H138" s="646"/>
      <c r="I138" s="653"/>
      <c r="J138" s="653"/>
      <c r="K138" s="653"/>
      <c r="L138" s="201"/>
      <c r="M138" s="227"/>
      <c r="N138" s="227"/>
      <c r="O138" s="227"/>
      <c r="P138" s="227"/>
      <c r="Q138" s="227"/>
      <c r="R138" s="227"/>
      <c r="S138" s="227"/>
      <c r="T138" s="227"/>
      <c r="U138" s="227"/>
      <c r="V138" s="227"/>
    </row>
    <row r="139" spans="1:22" s="211" customFormat="1" ht="16.5" hidden="1">
      <c r="A139" s="227"/>
      <c r="B139" s="227"/>
      <c r="C139" s="227"/>
      <c r="D139" s="227"/>
      <c r="E139" s="210"/>
      <c r="F139" s="646"/>
      <c r="G139" s="652"/>
      <c r="H139" s="646"/>
      <c r="I139" s="653"/>
      <c r="J139" s="653"/>
      <c r="K139" s="653"/>
      <c r="L139" s="201"/>
      <c r="M139" s="227"/>
      <c r="N139" s="227"/>
      <c r="O139" s="227"/>
      <c r="P139" s="227"/>
      <c r="Q139" s="227"/>
      <c r="R139" s="227"/>
      <c r="S139" s="227"/>
      <c r="T139" s="227"/>
      <c r="U139" s="227"/>
      <c r="V139" s="227"/>
    </row>
    <row r="140" spans="1:22" s="211" customFormat="1" ht="16.5" hidden="1">
      <c r="A140" s="227"/>
      <c r="B140" s="227"/>
      <c r="C140" s="227"/>
      <c r="D140" s="227"/>
      <c r="E140" s="210"/>
      <c r="F140" s="646"/>
      <c r="G140" s="652"/>
      <c r="H140" s="646"/>
      <c r="I140" s="653"/>
      <c r="J140" s="653"/>
      <c r="K140" s="653"/>
      <c r="L140" s="201"/>
      <c r="M140" s="227"/>
      <c r="N140" s="227"/>
      <c r="O140" s="227"/>
      <c r="P140" s="227"/>
      <c r="Q140" s="227"/>
      <c r="R140" s="227"/>
      <c r="S140" s="227"/>
      <c r="T140" s="227"/>
      <c r="U140" s="227"/>
      <c r="V140" s="227"/>
    </row>
    <row r="141" spans="1:22" s="211" customFormat="1" ht="16.5" hidden="1">
      <c r="A141" s="227"/>
      <c r="B141" s="227"/>
      <c r="C141" s="227"/>
      <c r="D141" s="227"/>
      <c r="E141" s="210"/>
      <c r="F141" s="646"/>
      <c r="G141" s="652"/>
      <c r="H141" s="646"/>
      <c r="I141" s="653"/>
      <c r="J141" s="653"/>
      <c r="K141" s="653"/>
      <c r="L141" s="201"/>
      <c r="M141" s="227"/>
      <c r="N141" s="227"/>
      <c r="O141" s="227"/>
      <c r="P141" s="227"/>
      <c r="Q141" s="227"/>
      <c r="R141" s="227"/>
      <c r="S141" s="227"/>
      <c r="T141" s="227"/>
      <c r="U141" s="227"/>
      <c r="V141" s="227"/>
    </row>
    <row r="142" spans="1:22" s="211" customFormat="1" ht="16.5" hidden="1">
      <c r="A142" s="227"/>
      <c r="B142" s="227"/>
      <c r="C142" s="227"/>
      <c r="D142" s="227"/>
      <c r="E142" s="210"/>
      <c r="F142" s="646"/>
      <c r="G142" s="652"/>
      <c r="H142" s="646"/>
      <c r="I142" s="653"/>
      <c r="J142" s="653"/>
      <c r="K142" s="653"/>
      <c r="L142" s="201"/>
      <c r="M142" s="227"/>
      <c r="N142" s="227"/>
      <c r="O142" s="227"/>
      <c r="P142" s="227"/>
      <c r="Q142" s="227"/>
      <c r="R142" s="227"/>
      <c r="S142" s="227"/>
      <c r="T142" s="227"/>
      <c r="U142" s="227"/>
      <c r="V142" s="227"/>
    </row>
    <row r="143" spans="1:22" s="211" customFormat="1" ht="16.5" hidden="1">
      <c r="A143" s="227"/>
      <c r="B143" s="227"/>
      <c r="C143" s="227"/>
      <c r="D143" s="227"/>
      <c r="E143" s="210"/>
      <c r="F143" s="646"/>
      <c r="G143" s="652"/>
      <c r="H143" s="646"/>
      <c r="I143" s="653"/>
      <c r="J143" s="653"/>
      <c r="K143" s="653"/>
      <c r="L143" s="201"/>
      <c r="M143" s="227"/>
      <c r="N143" s="227"/>
      <c r="O143" s="227"/>
      <c r="P143" s="227"/>
      <c r="Q143" s="227"/>
      <c r="R143" s="227"/>
      <c r="S143" s="227"/>
      <c r="T143" s="227"/>
      <c r="U143" s="227"/>
      <c r="V143" s="227"/>
    </row>
    <row r="144" spans="1:22" s="211" customFormat="1" ht="16.5" hidden="1">
      <c r="A144" s="227"/>
      <c r="B144" s="227"/>
      <c r="C144" s="227"/>
      <c r="D144" s="227"/>
      <c r="E144" s="210"/>
      <c r="F144" s="646"/>
      <c r="G144" s="652"/>
      <c r="H144" s="646"/>
      <c r="I144" s="653"/>
      <c r="J144" s="653"/>
      <c r="K144" s="653"/>
      <c r="L144" s="201"/>
      <c r="M144" s="227"/>
      <c r="N144" s="227"/>
      <c r="O144" s="227"/>
      <c r="P144" s="227"/>
      <c r="Q144" s="227"/>
      <c r="R144" s="227"/>
      <c r="S144" s="227"/>
      <c r="T144" s="227"/>
      <c r="U144" s="227"/>
      <c r="V144" s="227"/>
    </row>
    <row r="145" spans="1:22" s="211" customFormat="1" ht="16.5" hidden="1">
      <c r="A145" s="227"/>
      <c r="B145" s="227"/>
      <c r="C145" s="227"/>
      <c r="D145" s="227"/>
      <c r="E145" s="210"/>
      <c r="F145" s="646"/>
      <c r="G145" s="652"/>
      <c r="H145" s="646"/>
      <c r="I145" s="653"/>
      <c r="J145" s="653"/>
      <c r="K145" s="653"/>
      <c r="L145" s="201"/>
      <c r="M145" s="227"/>
      <c r="N145" s="227"/>
      <c r="O145" s="227"/>
      <c r="P145" s="227"/>
      <c r="Q145" s="227"/>
      <c r="R145" s="227"/>
      <c r="S145" s="227"/>
      <c r="T145" s="227"/>
      <c r="U145" s="227"/>
      <c r="V145" s="227"/>
    </row>
    <row r="146" spans="1:22" s="211" customFormat="1" ht="16.5" hidden="1">
      <c r="A146" s="227"/>
      <c r="B146" s="227"/>
      <c r="C146" s="227"/>
      <c r="D146" s="227"/>
      <c r="E146" s="210"/>
      <c r="F146" s="646"/>
      <c r="G146" s="652"/>
      <c r="H146" s="646"/>
      <c r="I146" s="653"/>
      <c r="J146" s="653"/>
      <c r="K146" s="653"/>
      <c r="L146" s="201"/>
      <c r="M146" s="227"/>
      <c r="N146" s="227"/>
      <c r="O146" s="227"/>
      <c r="P146" s="227"/>
      <c r="Q146" s="227"/>
      <c r="R146" s="227"/>
      <c r="S146" s="227"/>
      <c r="T146" s="227"/>
      <c r="U146" s="227"/>
      <c r="V146" s="227"/>
    </row>
    <row r="147" spans="1:22" s="211" customFormat="1" ht="16.5" hidden="1">
      <c r="A147" s="227"/>
      <c r="B147" s="227"/>
      <c r="C147" s="227"/>
      <c r="D147" s="227"/>
      <c r="E147" s="210"/>
      <c r="F147" s="646"/>
      <c r="G147" s="652"/>
      <c r="H147" s="646"/>
      <c r="I147" s="653"/>
      <c r="J147" s="653"/>
      <c r="K147" s="653"/>
      <c r="L147" s="201"/>
      <c r="M147" s="227"/>
      <c r="N147" s="227"/>
      <c r="O147" s="227"/>
      <c r="P147" s="227"/>
      <c r="Q147" s="227"/>
      <c r="R147" s="227"/>
      <c r="S147" s="227"/>
      <c r="T147" s="227"/>
      <c r="U147" s="227"/>
      <c r="V147" s="227"/>
    </row>
    <row r="148" spans="1:22" s="211" customFormat="1" ht="16.5" hidden="1">
      <c r="A148" s="227"/>
      <c r="B148" s="227"/>
      <c r="C148" s="227"/>
      <c r="D148" s="227"/>
      <c r="E148" s="210"/>
      <c r="F148" s="646"/>
      <c r="G148" s="652"/>
      <c r="H148" s="646"/>
      <c r="I148" s="653"/>
      <c r="J148" s="653"/>
      <c r="K148" s="653"/>
      <c r="L148" s="201"/>
      <c r="M148" s="227"/>
      <c r="N148" s="227"/>
      <c r="O148" s="227"/>
      <c r="P148" s="227"/>
      <c r="Q148" s="227"/>
      <c r="R148" s="227"/>
      <c r="S148" s="227"/>
      <c r="T148" s="227"/>
      <c r="U148" s="227"/>
      <c r="V148" s="227"/>
    </row>
    <row r="149" spans="1:22" s="211" customFormat="1" ht="16.5" hidden="1">
      <c r="A149" s="227"/>
      <c r="B149" s="227"/>
      <c r="C149" s="227"/>
      <c r="D149" s="227"/>
      <c r="E149" s="210"/>
      <c r="F149" s="646"/>
      <c r="G149" s="652"/>
      <c r="H149" s="646"/>
      <c r="I149" s="653"/>
      <c r="J149" s="653"/>
      <c r="K149" s="653"/>
      <c r="L149" s="201"/>
      <c r="M149" s="227"/>
      <c r="N149" s="227"/>
      <c r="O149" s="227"/>
      <c r="P149" s="227"/>
      <c r="Q149" s="227"/>
      <c r="R149" s="227"/>
      <c r="S149" s="227"/>
      <c r="T149" s="227"/>
      <c r="U149" s="227"/>
      <c r="V149" s="227"/>
    </row>
    <row r="150" spans="1:22" s="211" customFormat="1" ht="16.5" hidden="1">
      <c r="A150" s="227"/>
      <c r="B150" s="227"/>
      <c r="C150" s="227"/>
      <c r="D150" s="227"/>
      <c r="E150" s="210"/>
      <c r="F150" s="646"/>
      <c r="G150" s="652"/>
      <c r="H150" s="646"/>
      <c r="I150" s="653"/>
      <c r="J150" s="653"/>
      <c r="K150" s="653"/>
      <c r="L150" s="201"/>
      <c r="M150" s="227"/>
      <c r="N150" s="227"/>
      <c r="O150" s="227"/>
      <c r="P150" s="227"/>
      <c r="Q150" s="227"/>
      <c r="R150" s="227"/>
      <c r="S150" s="227"/>
      <c r="T150" s="227"/>
      <c r="U150" s="227"/>
      <c r="V150" s="227"/>
    </row>
    <row r="151" spans="1:22" s="211" customFormat="1" ht="16.5" hidden="1">
      <c r="A151" s="227"/>
      <c r="B151" s="227"/>
      <c r="C151" s="227"/>
      <c r="D151" s="227"/>
      <c r="E151" s="210"/>
      <c r="F151" s="646"/>
      <c r="G151" s="652"/>
      <c r="H151" s="646"/>
      <c r="I151" s="653"/>
      <c r="J151" s="653"/>
      <c r="K151" s="653"/>
      <c r="L151" s="201"/>
      <c r="M151" s="227"/>
      <c r="N151" s="227"/>
      <c r="O151" s="227"/>
      <c r="P151" s="227"/>
      <c r="Q151" s="227"/>
      <c r="R151" s="227"/>
      <c r="S151" s="227"/>
      <c r="T151" s="227"/>
      <c r="U151" s="227"/>
      <c r="V151" s="227"/>
    </row>
    <row r="152" spans="1:22" s="211" customFormat="1" ht="16.5" hidden="1">
      <c r="A152" s="227"/>
      <c r="B152" s="227"/>
      <c r="C152" s="227"/>
      <c r="D152" s="227"/>
      <c r="E152" s="210"/>
      <c r="F152" s="646"/>
      <c r="G152" s="652"/>
      <c r="H152" s="646"/>
      <c r="I152" s="653"/>
      <c r="J152" s="653"/>
      <c r="K152" s="653"/>
      <c r="L152" s="201"/>
      <c r="M152" s="227"/>
      <c r="N152" s="227"/>
      <c r="O152" s="227"/>
      <c r="P152" s="227"/>
      <c r="Q152" s="227"/>
      <c r="R152" s="227"/>
      <c r="S152" s="227"/>
      <c r="T152" s="227"/>
      <c r="U152" s="227"/>
      <c r="V152" s="227"/>
    </row>
    <row r="153" spans="1:22" s="211" customFormat="1" ht="16.5" hidden="1">
      <c r="A153" s="227"/>
      <c r="B153" s="227"/>
      <c r="C153" s="227"/>
      <c r="D153" s="227"/>
      <c r="E153" s="210"/>
      <c r="F153" s="646"/>
      <c r="G153" s="652"/>
      <c r="H153" s="646"/>
      <c r="I153" s="653"/>
      <c r="J153" s="653"/>
      <c r="K153" s="653"/>
      <c r="L153" s="201"/>
      <c r="M153" s="227"/>
      <c r="N153" s="227"/>
      <c r="O153" s="227"/>
      <c r="P153" s="227"/>
      <c r="Q153" s="227"/>
      <c r="R153" s="227"/>
      <c r="S153" s="227"/>
      <c r="T153" s="227"/>
      <c r="U153" s="227"/>
      <c r="V153" s="227"/>
    </row>
    <row r="154" spans="1:22" s="211" customFormat="1" ht="16.5" hidden="1">
      <c r="A154" s="227"/>
      <c r="B154" s="227"/>
      <c r="C154" s="227"/>
      <c r="D154" s="227"/>
      <c r="E154" s="210"/>
      <c r="F154" s="646"/>
      <c r="G154" s="652"/>
      <c r="H154" s="646"/>
      <c r="I154" s="653"/>
      <c r="J154" s="653"/>
      <c r="K154" s="653"/>
      <c r="L154" s="201"/>
      <c r="M154" s="227"/>
      <c r="N154" s="227"/>
      <c r="O154" s="227"/>
      <c r="P154" s="227"/>
      <c r="Q154" s="227"/>
      <c r="R154" s="227"/>
      <c r="S154" s="227"/>
      <c r="T154" s="227"/>
      <c r="U154" s="227"/>
      <c r="V154" s="227"/>
    </row>
    <row r="155" spans="1:22" s="211" customFormat="1" ht="16.5" hidden="1">
      <c r="A155" s="227"/>
      <c r="B155" s="227"/>
      <c r="C155" s="227"/>
      <c r="D155" s="227"/>
      <c r="E155" s="210"/>
      <c r="F155" s="646"/>
      <c r="G155" s="652"/>
      <c r="H155" s="646"/>
      <c r="I155" s="653"/>
      <c r="J155" s="653"/>
      <c r="K155" s="653"/>
      <c r="L155" s="201"/>
      <c r="M155" s="227"/>
      <c r="N155" s="227"/>
      <c r="O155" s="227"/>
      <c r="P155" s="227"/>
      <c r="Q155" s="227"/>
      <c r="R155" s="227"/>
      <c r="S155" s="227"/>
      <c r="T155" s="227"/>
      <c r="U155" s="227"/>
      <c r="V155" s="227"/>
    </row>
    <row r="156" spans="1:22" s="211" customFormat="1" ht="16.5" hidden="1">
      <c r="A156" s="227"/>
      <c r="B156" s="227"/>
      <c r="C156" s="227"/>
      <c r="D156" s="227"/>
      <c r="E156" s="210"/>
      <c r="F156" s="646"/>
      <c r="G156" s="652"/>
      <c r="H156" s="646"/>
      <c r="I156" s="653"/>
      <c r="J156" s="653"/>
      <c r="K156" s="653"/>
      <c r="L156" s="201"/>
      <c r="M156" s="227"/>
      <c r="N156" s="227"/>
      <c r="O156" s="227"/>
      <c r="P156" s="227"/>
      <c r="Q156" s="227"/>
      <c r="R156" s="227"/>
      <c r="S156" s="227"/>
      <c r="T156" s="227"/>
      <c r="U156" s="227"/>
      <c r="V156" s="227"/>
    </row>
    <row r="157" spans="1:22" s="211" customFormat="1" ht="16.5" hidden="1">
      <c r="A157" s="227"/>
      <c r="B157" s="227"/>
      <c r="C157" s="227"/>
      <c r="D157" s="227"/>
      <c r="E157" s="210"/>
      <c r="F157" s="646"/>
      <c r="G157" s="652"/>
      <c r="H157" s="646"/>
      <c r="I157" s="653"/>
      <c r="J157" s="653"/>
      <c r="K157" s="653"/>
      <c r="L157" s="201"/>
      <c r="M157" s="227"/>
      <c r="N157" s="227"/>
      <c r="O157" s="227"/>
      <c r="P157" s="227"/>
      <c r="Q157" s="227"/>
      <c r="R157" s="227"/>
      <c r="S157" s="227"/>
      <c r="T157" s="227"/>
      <c r="U157" s="227"/>
      <c r="V157" s="227"/>
    </row>
    <row r="158" spans="1:22" s="211" customFormat="1" ht="16.5" hidden="1">
      <c r="A158" s="227"/>
      <c r="B158" s="227"/>
      <c r="C158" s="227"/>
      <c r="D158" s="227"/>
      <c r="E158" s="210"/>
      <c r="F158" s="646"/>
      <c r="G158" s="652"/>
      <c r="H158" s="646"/>
      <c r="I158" s="653"/>
      <c r="J158" s="653"/>
      <c r="K158" s="653"/>
      <c r="L158" s="201"/>
      <c r="M158" s="227"/>
      <c r="N158" s="227"/>
      <c r="O158" s="227"/>
      <c r="P158" s="227"/>
      <c r="Q158" s="227"/>
      <c r="R158" s="227"/>
      <c r="S158" s="227"/>
      <c r="T158" s="227"/>
      <c r="U158" s="227"/>
      <c r="V158" s="227"/>
    </row>
    <row r="159" spans="1:22" s="211" customFormat="1" ht="16.5" hidden="1">
      <c r="A159" s="227"/>
      <c r="B159" s="227"/>
      <c r="C159" s="227"/>
      <c r="D159" s="227"/>
      <c r="E159" s="210"/>
      <c r="F159" s="646"/>
      <c r="G159" s="652"/>
      <c r="H159" s="646"/>
      <c r="I159" s="653"/>
      <c r="J159" s="653"/>
      <c r="K159" s="653"/>
      <c r="L159" s="201"/>
      <c r="M159" s="227"/>
      <c r="N159" s="227"/>
      <c r="O159" s="227"/>
      <c r="P159" s="227"/>
      <c r="Q159" s="227"/>
      <c r="R159" s="227"/>
      <c r="S159" s="227"/>
      <c r="T159" s="227"/>
      <c r="U159" s="227"/>
      <c r="V159" s="227"/>
    </row>
    <row r="160" spans="1:22" s="211" customFormat="1" ht="16.5" hidden="1">
      <c r="A160" s="227"/>
      <c r="B160" s="227"/>
      <c r="C160" s="227"/>
      <c r="D160" s="227"/>
      <c r="E160" s="210"/>
      <c r="F160" s="646"/>
      <c r="G160" s="652"/>
      <c r="H160" s="646"/>
      <c r="I160" s="653"/>
      <c r="J160" s="653"/>
      <c r="K160" s="653"/>
      <c r="L160" s="201"/>
      <c r="M160" s="227"/>
      <c r="N160" s="227"/>
      <c r="O160" s="227"/>
      <c r="P160" s="227"/>
      <c r="Q160" s="227"/>
      <c r="R160" s="227"/>
      <c r="S160" s="227"/>
      <c r="T160" s="227"/>
      <c r="U160" s="227"/>
      <c r="V160" s="227"/>
    </row>
    <row r="161" spans="1:22" s="211" customFormat="1" ht="16.5" hidden="1">
      <c r="A161" s="227"/>
      <c r="B161" s="227"/>
      <c r="C161" s="227"/>
      <c r="D161" s="227"/>
      <c r="E161" s="210"/>
      <c r="F161" s="646"/>
      <c r="G161" s="652"/>
      <c r="H161" s="646"/>
      <c r="I161" s="653"/>
      <c r="J161" s="653"/>
      <c r="K161" s="653"/>
      <c r="L161" s="201"/>
      <c r="M161" s="227"/>
      <c r="N161" s="227"/>
      <c r="O161" s="227"/>
      <c r="P161" s="227"/>
      <c r="Q161" s="227"/>
      <c r="R161" s="227"/>
      <c r="S161" s="227"/>
      <c r="T161" s="227"/>
      <c r="U161" s="227"/>
      <c r="V161" s="227"/>
    </row>
    <row r="162" spans="1:22" s="211" customFormat="1" ht="16.5" hidden="1">
      <c r="A162" s="227"/>
      <c r="B162" s="227"/>
      <c r="C162" s="227"/>
      <c r="D162" s="227"/>
      <c r="E162" s="210"/>
      <c r="F162" s="646"/>
      <c r="G162" s="652"/>
      <c r="H162" s="646"/>
      <c r="I162" s="653"/>
      <c r="J162" s="653"/>
      <c r="K162" s="653"/>
      <c r="L162" s="201"/>
      <c r="M162" s="227"/>
      <c r="N162" s="227"/>
      <c r="O162" s="227"/>
      <c r="P162" s="227"/>
      <c r="Q162" s="227"/>
      <c r="R162" s="227"/>
      <c r="S162" s="227"/>
      <c r="T162" s="227"/>
      <c r="U162" s="227"/>
      <c r="V162" s="227"/>
    </row>
    <row r="163" spans="1:22" s="211" customFormat="1" ht="16.5" hidden="1">
      <c r="A163" s="227"/>
      <c r="B163" s="227"/>
      <c r="C163" s="227"/>
      <c r="D163" s="227"/>
      <c r="E163" s="210"/>
      <c r="F163" s="646"/>
      <c r="G163" s="652"/>
      <c r="H163" s="646"/>
      <c r="I163" s="653"/>
      <c r="J163" s="653"/>
      <c r="K163" s="653"/>
      <c r="L163" s="201"/>
      <c r="M163" s="227"/>
      <c r="N163" s="227"/>
      <c r="O163" s="227"/>
      <c r="P163" s="227"/>
      <c r="Q163" s="227"/>
      <c r="R163" s="227"/>
      <c r="S163" s="227"/>
      <c r="T163" s="227"/>
      <c r="U163" s="227"/>
      <c r="V163" s="227"/>
    </row>
    <row r="164" spans="1:22" s="211" customFormat="1" ht="16.5" hidden="1">
      <c r="A164" s="227"/>
      <c r="B164" s="227"/>
      <c r="C164" s="227"/>
      <c r="D164" s="227"/>
      <c r="E164" s="210"/>
      <c r="F164" s="646"/>
      <c r="G164" s="652"/>
      <c r="H164" s="646"/>
      <c r="I164" s="653"/>
      <c r="J164" s="653"/>
      <c r="K164" s="653"/>
      <c r="L164" s="201"/>
      <c r="M164" s="227"/>
      <c r="N164" s="227"/>
      <c r="O164" s="227"/>
      <c r="P164" s="227"/>
      <c r="Q164" s="227"/>
      <c r="R164" s="227"/>
      <c r="S164" s="227"/>
      <c r="T164" s="227"/>
      <c r="U164" s="227"/>
      <c r="V164" s="227"/>
    </row>
    <row r="165" spans="1:22" s="211" customFormat="1" ht="16.5" hidden="1">
      <c r="A165" s="227"/>
      <c r="B165" s="227"/>
      <c r="C165" s="227"/>
      <c r="D165" s="227"/>
      <c r="E165" s="210"/>
      <c r="F165" s="646"/>
      <c r="G165" s="652"/>
      <c r="H165" s="646"/>
      <c r="I165" s="653"/>
      <c r="J165" s="653"/>
      <c r="K165" s="653"/>
      <c r="L165" s="201"/>
      <c r="M165" s="227"/>
      <c r="N165" s="227"/>
      <c r="O165" s="227"/>
      <c r="P165" s="227"/>
      <c r="Q165" s="227"/>
      <c r="R165" s="227"/>
      <c r="S165" s="227"/>
      <c r="T165" s="227"/>
      <c r="U165" s="227"/>
      <c r="V165" s="227"/>
    </row>
    <row r="166" spans="1:22" s="211" customFormat="1" ht="16.5" hidden="1">
      <c r="A166" s="227"/>
      <c r="B166" s="227"/>
      <c r="C166" s="227"/>
      <c r="D166" s="227"/>
      <c r="E166" s="210"/>
      <c r="F166" s="646"/>
      <c r="G166" s="652"/>
      <c r="H166" s="646"/>
      <c r="I166" s="653"/>
      <c r="J166" s="653"/>
      <c r="K166" s="653"/>
      <c r="L166" s="201"/>
      <c r="M166" s="227"/>
      <c r="N166" s="227"/>
      <c r="O166" s="227"/>
      <c r="P166" s="227"/>
      <c r="Q166" s="227"/>
      <c r="R166" s="227"/>
      <c r="S166" s="227"/>
      <c r="T166" s="227"/>
      <c r="U166" s="227"/>
      <c r="V166" s="227"/>
    </row>
    <row r="167" spans="1:22" s="211" customFormat="1" ht="16.5" hidden="1">
      <c r="A167" s="227"/>
      <c r="B167" s="227"/>
      <c r="C167" s="227"/>
      <c r="D167" s="227"/>
      <c r="E167" s="210"/>
      <c r="F167" s="646"/>
      <c r="G167" s="652"/>
      <c r="H167" s="646"/>
      <c r="I167" s="653"/>
      <c r="J167" s="653"/>
      <c r="K167" s="653"/>
      <c r="L167" s="201"/>
      <c r="M167" s="227"/>
      <c r="N167" s="227"/>
      <c r="O167" s="227"/>
      <c r="P167" s="227"/>
      <c r="Q167" s="227"/>
      <c r="R167" s="227"/>
      <c r="S167" s="227"/>
      <c r="T167" s="227"/>
      <c r="U167" s="227"/>
      <c r="V167" s="227"/>
    </row>
    <row r="168" spans="1:22" s="211" customFormat="1" ht="16.5" hidden="1">
      <c r="A168" s="227"/>
      <c r="B168" s="227"/>
      <c r="C168" s="227"/>
      <c r="D168" s="227"/>
      <c r="E168" s="210"/>
      <c r="F168" s="646"/>
      <c r="G168" s="652"/>
      <c r="H168" s="646"/>
      <c r="I168" s="653"/>
      <c r="J168" s="653"/>
      <c r="K168" s="653"/>
      <c r="L168" s="201"/>
      <c r="M168" s="227"/>
      <c r="N168" s="227"/>
      <c r="O168" s="227"/>
      <c r="P168" s="227"/>
      <c r="Q168" s="227"/>
      <c r="R168" s="227"/>
      <c r="S168" s="227"/>
      <c r="T168" s="227"/>
      <c r="U168" s="227"/>
      <c r="V168" s="227"/>
    </row>
    <row r="169" spans="1:22" s="211" customFormat="1" ht="16.5" hidden="1">
      <c r="A169" s="227"/>
      <c r="B169" s="227"/>
      <c r="C169" s="227"/>
      <c r="D169" s="227"/>
      <c r="E169" s="210"/>
      <c r="F169" s="646"/>
      <c r="G169" s="652"/>
      <c r="H169" s="646"/>
      <c r="I169" s="653"/>
      <c r="J169" s="653"/>
      <c r="K169" s="653"/>
      <c r="L169" s="201"/>
      <c r="M169" s="227"/>
      <c r="N169" s="227"/>
      <c r="O169" s="227"/>
      <c r="P169" s="227"/>
      <c r="Q169" s="227"/>
      <c r="R169" s="227"/>
      <c r="S169" s="227"/>
      <c r="T169" s="227"/>
      <c r="U169" s="227"/>
      <c r="V169" s="227"/>
    </row>
    <row r="170" spans="1:22" s="211" customFormat="1" ht="16.5" hidden="1">
      <c r="A170" s="227"/>
      <c r="B170" s="227"/>
      <c r="C170" s="227"/>
      <c r="D170" s="227"/>
      <c r="E170" s="210"/>
      <c r="F170" s="646"/>
      <c r="G170" s="652"/>
      <c r="H170" s="646"/>
      <c r="I170" s="653"/>
      <c r="J170" s="653"/>
      <c r="K170" s="653"/>
      <c r="L170" s="201"/>
      <c r="M170" s="227"/>
      <c r="N170" s="227"/>
      <c r="O170" s="227"/>
      <c r="P170" s="227"/>
      <c r="Q170" s="227"/>
      <c r="R170" s="227"/>
      <c r="S170" s="227"/>
      <c r="T170" s="227"/>
      <c r="U170" s="227"/>
      <c r="V170" s="227"/>
    </row>
    <row r="171" spans="1:22" s="211" customFormat="1" ht="16.5" hidden="1">
      <c r="A171" s="227"/>
      <c r="B171" s="227"/>
      <c r="C171" s="227"/>
      <c r="D171" s="227"/>
      <c r="E171" s="210"/>
      <c r="F171" s="646"/>
      <c r="G171" s="652"/>
      <c r="H171" s="646"/>
      <c r="I171" s="653"/>
      <c r="J171" s="653"/>
      <c r="K171" s="653"/>
      <c r="L171" s="201"/>
      <c r="M171" s="227"/>
      <c r="N171" s="227"/>
      <c r="O171" s="227"/>
      <c r="P171" s="227"/>
      <c r="Q171" s="227"/>
      <c r="R171" s="227"/>
      <c r="S171" s="227"/>
      <c r="T171" s="227"/>
      <c r="U171" s="227"/>
      <c r="V171" s="227"/>
    </row>
    <row r="172" spans="1:22" s="211" customFormat="1" ht="16.5" hidden="1">
      <c r="A172" s="227"/>
      <c r="B172" s="227"/>
      <c r="C172" s="227"/>
      <c r="D172" s="227"/>
      <c r="E172" s="210"/>
      <c r="F172" s="646"/>
      <c r="G172" s="652"/>
      <c r="H172" s="646"/>
      <c r="I172" s="653"/>
      <c r="J172" s="653"/>
      <c r="K172" s="653"/>
      <c r="L172" s="201"/>
      <c r="M172" s="227"/>
      <c r="N172" s="227"/>
      <c r="O172" s="227"/>
      <c r="P172" s="227"/>
      <c r="Q172" s="227"/>
      <c r="R172" s="227"/>
      <c r="S172" s="227"/>
      <c r="T172" s="227"/>
      <c r="U172" s="227"/>
      <c r="V172" s="227"/>
    </row>
    <row r="173" spans="1:22" s="211" customFormat="1" ht="16.5" hidden="1">
      <c r="A173" s="227"/>
      <c r="B173" s="227"/>
      <c r="C173" s="227"/>
      <c r="D173" s="227"/>
      <c r="E173" s="210"/>
      <c r="F173" s="646"/>
      <c r="G173" s="652"/>
      <c r="H173" s="646"/>
      <c r="I173" s="653"/>
      <c r="J173" s="653"/>
      <c r="K173" s="653"/>
      <c r="L173" s="201"/>
      <c r="M173" s="227"/>
      <c r="N173" s="227"/>
      <c r="O173" s="227"/>
      <c r="P173" s="227"/>
      <c r="Q173" s="227"/>
      <c r="R173" s="227"/>
      <c r="S173" s="227"/>
      <c r="T173" s="227"/>
      <c r="U173" s="227"/>
      <c r="V173" s="227"/>
    </row>
    <row r="174" spans="1:22" s="211" customFormat="1" ht="16.5" hidden="1">
      <c r="A174" s="227"/>
      <c r="B174" s="227"/>
      <c r="C174" s="227"/>
      <c r="D174" s="227"/>
      <c r="E174" s="210"/>
      <c r="F174" s="646"/>
      <c r="G174" s="652"/>
      <c r="H174" s="646"/>
      <c r="I174" s="653"/>
      <c r="J174" s="653"/>
      <c r="K174" s="653"/>
      <c r="L174" s="201"/>
      <c r="M174" s="227"/>
      <c r="N174" s="227"/>
      <c r="O174" s="227"/>
      <c r="P174" s="227"/>
      <c r="Q174" s="227"/>
      <c r="R174" s="227"/>
      <c r="S174" s="227"/>
      <c r="T174" s="227"/>
      <c r="U174" s="227"/>
      <c r="V174" s="227"/>
    </row>
    <row r="175" spans="1:22" s="211" customFormat="1" ht="16.5" hidden="1">
      <c r="A175" s="227"/>
      <c r="B175" s="227"/>
      <c r="C175" s="227"/>
      <c r="D175" s="227"/>
      <c r="E175" s="210"/>
      <c r="F175" s="646"/>
      <c r="G175" s="652"/>
      <c r="H175" s="646"/>
      <c r="I175" s="653"/>
      <c r="J175" s="653"/>
      <c r="K175" s="653"/>
      <c r="L175" s="201"/>
      <c r="M175" s="227"/>
      <c r="N175" s="227"/>
      <c r="O175" s="227"/>
      <c r="P175" s="227"/>
      <c r="Q175" s="227"/>
      <c r="R175" s="227"/>
      <c r="S175" s="227"/>
      <c r="T175" s="227"/>
      <c r="U175" s="227"/>
      <c r="V175" s="227"/>
    </row>
    <row r="176" spans="1:22" s="211" customFormat="1" ht="16.5" hidden="1">
      <c r="A176" s="227"/>
      <c r="B176" s="227"/>
      <c r="C176" s="227"/>
      <c r="D176" s="227"/>
      <c r="E176" s="210"/>
      <c r="F176" s="646"/>
      <c r="G176" s="652"/>
      <c r="H176" s="646"/>
      <c r="I176" s="653"/>
      <c r="J176" s="653"/>
      <c r="K176" s="653"/>
      <c r="L176" s="201"/>
      <c r="M176" s="227"/>
      <c r="N176" s="227"/>
      <c r="O176" s="227"/>
      <c r="P176" s="227"/>
      <c r="Q176" s="227"/>
      <c r="R176" s="227"/>
      <c r="S176" s="227"/>
      <c r="T176" s="227"/>
      <c r="U176" s="227"/>
      <c r="V176" s="227"/>
    </row>
    <row r="177" spans="1:22" s="211" customFormat="1" ht="16.5" hidden="1">
      <c r="A177" s="227"/>
      <c r="B177" s="227"/>
      <c r="C177" s="227"/>
      <c r="D177" s="227"/>
      <c r="E177" s="210"/>
      <c r="F177" s="646"/>
      <c r="G177" s="652"/>
      <c r="H177" s="646"/>
      <c r="I177" s="653"/>
      <c r="J177" s="653"/>
      <c r="K177" s="653"/>
      <c r="L177" s="201"/>
      <c r="M177" s="227"/>
      <c r="N177" s="227"/>
      <c r="O177" s="227"/>
      <c r="P177" s="227"/>
      <c r="Q177" s="227"/>
      <c r="R177" s="227"/>
      <c r="S177" s="227"/>
      <c r="T177" s="227"/>
      <c r="U177" s="227"/>
      <c r="V177" s="227"/>
    </row>
    <row r="178" spans="1:22" s="211" customFormat="1" ht="16.5" hidden="1">
      <c r="A178" s="227"/>
      <c r="B178" s="227"/>
      <c r="C178" s="227"/>
      <c r="D178" s="227"/>
      <c r="E178" s="210"/>
      <c r="F178" s="646"/>
      <c r="G178" s="652"/>
      <c r="H178" s="646"/>
      <c r="I178" s="653"/>
      <c r="J178" s="653"/>
      <c r="K178" s="653"/>
      <c r="L178" s="201"/>
      <c r="M178" s="227"/>
      <c r="N178" s="227"/>
      <c r="O178" s="227"/>
      <c r="P178" s="227"/>
      <c r="Q178" s="227"/>
      <c r="R178" s="227"/>
      <c r="S178" s="227"/>
      <c r="T178" s="227"/>
      <c r="U178" s="227"/>
      <c r="V178" s="227"/>
    </row>
    <row r="179" spans="1:22" s="211" customFormat="1" ht="16.5" hidden="1">
      <c r="A179" s="227"/>
      <c r="B179" s="227"/>
      <c r="C179" s="227"/>
      <c r="D179" s="227"/>
      <c r="E179" s="210"/>
      <c r="F179" s="646"/>
      <c r="G179" s="652"/>
      <c r="H179" s="646"/>
      <c r="I179" s="653"/>
      <c r="J179" s="653"/>
      <c r="K179" s="653"/>
      <c r="L179" s="201"/>
      <c r="M179" s="227"/>
      <c r="N179" s="227"/>
      <c r="O179" s="227"/>
      <c r="P179" s="227"/>
      <c r="Q179" s="227"/>
      <c r="R179" s="227"/>
      <c r="S179" s="227"/>
      <c r="T179" s="227"/>
      <c r="U179" s="227"/>
      <c r="V179" s="227"/>
    </row>
    <row r="180" spans="1:22" s="211" customFormat="1" ht="16.5" hidden="1">
      <c r="A180" s="227"/>
      <c r="B180" s="227"/>
      <c r="C180" s="227"/>
      <c r="D180" s="227"/>
      <c r="E180" s="210"/>
      <c r="F180" s="646"/>
      <c r="G180" s="652"/>
      <c r="H180" s="646"/>
      <c r="I180" s="653"/>
      <c r="J180" s="653"/>
      <c r="K180" s="653"/>
      <c r="L180" s="201"/>
      <c r="M180" s="227"/>
      <c r="N180" s="227"/>
      <c r="O180" s="227"/>
      <c r="P180" s="227"/>
      <c r="Q180" s="227"/>
      <c r="R180" s="227"/>
      <c r="S180" s="227"/>
      <c r="T180" s="227"/>
      <c r="U180" s="227"/>
      <c r="V180" s="227"/>
    </row>
    <row r="181" spans="1:22" s="211" customFormat="1" ht="16.5" hidden="1">
      <c r="A181" s="227"/>
      <c r="B181" s="227"/>
      <c r="C181" s="227"/>
      <c r="D181" s="227"/>
      <c r="E181" s="210"/>
      <c r="F181" s="646"/>
      <c r="G181" s="652"/>
      <c r="H181" s="646"/>
      <c r="I181" s="653"/>
      <c r="J181" s="653"/>
      <c r="K181" s="653"/>
      <c r="L181" s="201"/>
      <c r="M181" s="227"/>
      <c r="N181" s="227"/>
      <c r="O181" s="227"/>
      <c r="P181" s="227"/>
      <c r="Q181" s="227"/>
      <c r="R181" s="227"/>
      <c r="S181" s="227"/>
      <c r="T181" s="227"/>
      <c r="U181" s="227"/>
      <c r="V181" s="227"/>
    </row>
    <row r="182" spans="1:22" s="211" customFormat="1" ht="16.5" hidden="1">
      <c r="A182" s="227"/>
      <c r="B182" s="227"/>
      <c r="C182" s="227"/>
      <c r="D182" s="227"/>
      <c r="E182" s="210"/>
      <c r="F182" s="646"/>
      <c r="G182" s="652"/>
      <c r="H182" s="646"/>
      <c r="I182" s="653"/>
      <c r="J182" s="653"/>
      <c r="K182" s="653"/>
      <c r="L182" s="201"/>
      <c r="M182" s="227"/>
      <c r="N182" s="227"/>
      <c r="O182" s="227"/>
      <c r="P182" s="227"/>
      <c r="Q182" s="227"/>
      <c r="R182" s="227"/>
      <c r="S182" s="227"/>
      <c r="T182" s="227"/>
      <c r="U182" s="227"/>
      <c r="V182" s="227"/>
    </row>
    <row r="183" spans="1:22" s="211" customFormat="1" ht="16.5" hidden="1">
      <c r="A183" s="227"/>
      <c r="B183" s="227"/>
      <c r="C183" s="227"/>
      <c r="D183" s="227"/>
      <c r="E183" s="210"/>
      <c r="F183" s="646"/>
      <c r="G183" s="652"/>
      <c r="H183" s="646"/>
      <c r="I183" s="653"/>
      <c r="J183" s="653"/>
      <c r="K183" s="653"/>
      <c r="L183" s="201"/>
      <c r="M183" s="227"/>
      <c r="N183" s="227"/>
      <c r="O183" s="227"/>
      <c r="P183" s="227"/>
      <c r="Q183" s="227"/>
      <c r="R183" s="227"/>
      <c r="S183" s="227"/>
      <c r="T183" s="227"/>
      <c r="U183" s="227"/>
      <c r="V183" s="227"/>
    </row>
    <row r="184" spans="1:22" s="211" customFormat="1" ht="16.5" hidden="1">
      <c r="A184" s="227"/>
      <c r="B184" s="227"/>
      <c r="C184" s="227"/>
      <c r="D184" s="227"/>
      <c r="E184" s="210"/>
      <c r="F184" s="646"/>
      <c r="G184" s="652"/>
      <c r="H184" s="646"/>
      <c r="I184" s="653"/>
      <c r="J184" s="653"/>
      <c r="K184" s="653"/>
      <c r="L184" s="201"/>
      <c r="M184" s="227"/>
      <c r="N184" s="227"/>
      <c r="O184" s="227"/>
      <c r="P184" s="227"/>
      <c r="Q184" s="227"/>
      <c r="R184" s="227"/>
      <c r="S184" s="227"/>
      <c r="T184" s="227"/>
      <c r="U184" s="227"/>
      <c r="V184" s="227"/>
    </row>
    <row r="185" spans="1:22" s="211" customFormat="1" ht="16.5" hidden="1">
      <c r="A185" s="227"/>
      <c r="B185" s="227"/>
      <c r="C185" s="227"/>
      <c r="D185" s="227"/>
      <c r="E185" s="210"/>
      <c r="F185" s="646"/>
      <c r="G185" s="652"/>
      <c r="H185" s="646"/>
      <c r="I185" s="653"/>
      <c r="J185" s="653"/>
      <c r="K185" s="653"/>
      <c r="L185" s="201"/>
      <c r="M185" s="227"/>
      <c r="N185" s="227"/>
      <c r="O185" s="227"/>
      <c r="P185" s="227"/>
      <c r="Q185" s="227"/>
      <c r="R185" s="227"/>
      <c r="S185" s="227"/>
      <c r="T185" s="227"/>
      <c r="U185" s="227"/>
      <c r="V185" s="227"/>
    </row>
    <row r="186" spans="1:22" s="211" customFormat="1" ht="16.5" hidden="1">
      <c r="A186" s="227"/>
      <c r="B186" s="227"/>
      <c r="C186" s="227"/>
      <c r="D186" s="227"/>
      <c r="E186" s="210"/>
      <c r="F186" s="646"/>
      <c r="G186" s="652"/>
      <c r="H186" s="646"/>
      <c r="I186" s="653"/>
      <c r="J186" s="653"/>
      <c r="K186" s="653"/>
      <c r="L186" s="201"/>
      <c r="M186" s="227"/>
      <c r="N186" s="227"/>
      <c r="O186" s="227"/>
      <c r="P186" s="227"/>
      <c r="Q186" s="227"/>
      <c r="R186" s="227"/>
      <c r="S186" s="227"/>
      <c r="T186" s="227"/>
      <c r="U186" s="227"/>
      <c r="V186" s="227"/>
    </row>
    <row r="187" spans="1:22" s="211" customFormat="1" ht="16.5" hidden="1">
      <c r="A187" s="227"/>
      <c r="B187" s="227"/>
      <c r="C187" s="227"/>
      <c r="D187" s="227"/>
      <c r="E187" s="210"/>
      <c r="F187" s="646"/>
      <c r="G187" s="652"/>
      <c r="H187" s="646"/>
      <c r="I187" s="653"/>
      <c r="J187" s="653"/>
      <c r="K187" s="653"/>
      <c r="L187" s="201"/>
      <c r="M187" s="227"/>
      <c r="N187" s="227"/>
      <c r="O187" s="227"/>
      <c r="P187" s="227"/>
      <c r="Q187" s="227"/>
      <c r="R187" s="227"/>
      <c r="S187" s="227"/>
      <c r="T187" s="227"/>
      <c r="U187" s="227"/>
      <c r="V187" s="227"/>
    </row>
    <row r="188" spans="1:22" s="211" customFormat="1" ht="16.5" hidden="1">
      <c r="A188" s="227"/>
      <c r="B188" s="227"/>
      <c r="C188" s="227"/>
      <c r="D188" s="227"/>
      <c r="E188" s="210"/>
      <c r="F188" s="646"/>
      <c r="G188" s="652"/>
      <c r="H188" s="646"/>
      <c r="I188" s="653"/>
      <c r="J188" s="653"/>
      <c r="K188" s="653"/>
      <c r="L188" s="201"/>
      <c r="M188" s="227"/>
      <c r="N188" s="227"/>
      <c r="O188" s="227"/>
      <c r="P188" s="227"/>
      <c r="Q188" s="227"/>
      <c r="R188" s="227"/>
      <c r="S188" s="227"/>
      <c r="T188" s="227"/>
      <c r="U188" s="227"/>
      <c r="V188" s="227"/>
    </row>
    <row r="189" spans="1:22" s="211" customFormat="1" ht="16.5" hidden="1">
      <c r="A189" s="227"/>
      <c r="B189" s="227"/>
      <c r="C189" s="227"/>
      <c r="D189" s="227"/>
      <c r="E189" s="210"/>
      <c r="F189" s="646"/>
      <c r="G189" s="652"/>
      <c r="H189" s="646"/>
      <c r="I189" s="653"/>
      <c r="J189" s="653"/>
      <c r="K189" s="653"/>
      <c r="L189" s="201"/>
      <c r="M189" s="227"/>
      <c r="N189" s="227"/>
      <c r="O189" s="227"/>
      <c r="P189" s="227"/>
      <c r="Q189" s="227"/>
      <c r="R189" s="227"/>
      <c r="S189" s="227"/>
      <c r="T189" s="227"/>
      <c r="U189" s="227"/>
      <c r="V189" s="227"/>
    </row>
    <row r="190" spans="1:22" s="211" customFormat="1" ht="16.5" hidden="1">
      <c r="A190" s="227"/>
      <c r="B190" s="227"/>
      <c r="C190" s="227"/>
      <c r="D190" s="227"/>
      <c r="E190" s="210"/>
      <c r="F190" s="646"/>
      <c r="G190" s="652"/>
      <c r="H190" s="646"/>
      <c r="I190" s="653"/>
      <c r="J190" s="653"/>
      <c r="K190" s="653"/>
      <c r="L190" s="201"/>
      <c r="M190" s="227"/>
      <c r="N190" s="227"/>
      <c r="O190" s="227"/>
      <c r="P190" s="227"/>
      <c r="Q190" s="227"/>
      <c r="R190" s="227"/>
      <c r="S190" s="227"/>
      <c r="T190" s="227"/>
      <c r="U190" s="227"/>
      <c r="V190" s="227"/>
    </row>
    <row r="191" spans="1:22" s="211" customFormat="1" ht="16.5" hidden="1">
      <c r="A191" s="227"/>
      <c r="B191" s="227"/>
      <c r="C191" s="227"/>
      <c r="D191" s="227"/>
      <c r="E191" s="210"/>
      <c r="F191" s="646"/>
      <c r="G191" s="652"/>
      <c r="H191" s="646"/>
      <c r="I191" s="653"/>
      <c r="J191" s="653"/>
      <c r="K191" s="653"/>
      <c r="L191" s="201"/>
      <c r="M191" s="227"/>
      <c r="N191" s="227"/>
      <c r="O191" s="227"/>
      <c r="P191" s="227"/>
      <c r="Q191" s="227"/>
      <c r="R191" s="227"/>
      <c r="S191" s="227"/>
      <c r="T191" s="227"/>
      <c r="U191" s="227"/>
      <c r="V191" s="227"/>
    </row>
    <row r="192" spans="1:22" s="211" customFormat="1" ht="16.5" hidden="1">
      <c r="A192" s="227"/>
      <c r="B192" s="227"/>
      <c r="C192" s="227"/>
      <c r="D192" s="227"/>
      <c r="E192" s="210"/>
      <c r="F192" s="646"/>
      <c r="G192" s="652"/>
      <c r="H192" s="646"/>
      <c r="I192" s="653"/>
      <c r="J192" s="653"/>
      <c r="K192" s="653"/>
      <c r="L192" s="201"/>
      <c r="M192" s="227"/>
      <c r="N192" s="227"/>
      <c r="O192" s="227"/>
      <c r="P192" s="227"/>
      <c r="Q192" s="227"/>
      <c r="R192" s="227"/>
      <c r="S192" s="227"/>
      <c r="T192" s="227"/>
      <c r="U192" s="227"/>
      <c r="V192" s="227"/>
    </row>
    <row r="193" spans="1:22" s="211" customFormat="1" ht="16.5" hidden="1">
      <c r="A193" s="227"/>
      <c r="B193" s="227"/>
      <c r="C193" s="227"/>
      <c r="D193" s="227"/>
      <c r="E193" s="210"/>
      <c r="F193" s="646"/>
      <c r="G193" s="652"/>
      <c r="H193" s="646"/>
      <c r="I193" s="653"/>
      <c r="J193" s="653"/>
      <c r="K193" s="653"/>
      <c r="L193" s="201"/>
      <c r="M193" s="227"/>
      <c r="N193" s="227"/>
      <c r="O193" s="227"/>
      <c r="P193" s="227"/>
      <c r="Q193" s="227"/>
      <c r="R193" s="227"/>
      <c r="S193" s="227"/>
      <c r="T193" s="227"/>
      <c r="U193" s="227"/>
      <c r="V193" s="227"/>
    </row>
    <row r="194" spans="1:22" s="211" customFormat="1" ht="16.5" hidden="1">
      <c r="A194" s="227"/>
      <c r="B194" s="227"/>
      <c r="C194" s="227"/>
      <c r="D194" s="227"/>
      <c r="E194" s="210"/>
      <c r="F194" s="646"/>
      <c r="G194" s="652"/>
      <c r="H194" s="646"/>
      <c r="I194" s="653"/>
      <c r="J194" s="653"/>
      <c r="K194" s="653"/>
      <c r="L194" s="201"/>
      <c r="M194" s="227"/>
      <c r="N194" s="227"/>
      <c r="O194" s="227"/>
      <c r="P194" s="227"/>
      <c r="Q194" s="227"/>
      <c r="R194" s="227"/>
      <c r="S194" s="227"/>
      <c r="T194" s="227"/>
      <c r="U194" s="227"/>
      <c r="V194" s="227"/>
    </row>
    <row r="195" spans="1:22" s="211" customFormat="1" ht="16.5" hidden="1">
      <c r="A195" s="227"/>
      <c r="B195" s="227"/>
      <c r="C195" s="227"/>
      <c r="D195" s="227"/>
      <c r="E195" s="210"/>
      <c r="F195" s="646"/>
      <c r="G195" s="652"/>
      <c r="H195" s="646"/>
      <c r="I195" s="653"/>
      <c r="J195" s="653"/>
      <c r="K195" s="653"/>
      <c r="L195" s="201"/>
      <c r="M195" s="227"/>
      <c r="N195" s="227"/>
      <c r="O195" s="227"/>
      <c r="P195" s="227"/>
      <c r="Q195" s="227"/>
      <c r="R195" s="227"/>
      <c r="S195" s="227"/>
      <c r="T195" s="227"/>
      <c r="U195" s="227"/>
      <c r="V195" s="227"/>
    </row>
    <row r="196" spans="1:22" s="211" customFormat="1" ht="16.5" hidden="1">
      <c r="A196" s="227"/>
      <c r="B196" s="227"/>
      <c r="C196" s="227"/>
      <c r="D196" s="227"/>
      <c r="E196" s="210"/>
      <c r="F196" s="646"/>
      <c r="G196" s="652"/>
      <c r="H196" s="646"/>
      <c r="I196" s="653"/>
      <c r="J196" s="653"/>
      <c r="K196" s="653"/>
      <c r="L196" s="201"/>
      <c r="M196" s="227"/>
      <c r="N196" s="227"/>
      <c r="O196" s="227"/>
      <c r="P196" s="227"/>
      <c r="Q196" s="227"/>
      <c r="R196" s="227"/>
      <c r="S196" s="227"/>
      <c r="T196" s="227"/>
      <c r="U196" s="227"/>
      <c r="V196" s="227"/>
    </row>
    <row r="197" spans="1:22" s="211" customFormat="1" ht="16.5" hidden="1">
      <c r="A197" s="227"/>
      <c r="B197" s="227"/>
      <c r="C197" s="227"/>
      <c r="D197" s="227"/>
      <c r="E197" s="210"/>
      <c r="F197" s="646"/>
      <c r="G197" s="652"/>
      <c r="H197" s="646"/>
      <c r="I197" s="653"/>
      <c r="J197" s="653"/>
      <c r="K197" s="653"/>
      <c r="L197" s="201"/>
      <c r="M197" s="227"/>
      <c r="N197" s="227"/>
      <c r="O197" s="227"/>
      <c r="P197" s="227"/>
      <c r="Q197" s="227"/>
      <c r="R197" s="227"/>
      <c r="S197" s="227"/>
      <c r="T197" s="227"/>
      <c r="U197" s="227"/>
      <c r="V197" s="227"/>
    </row>
    <row r="198" spans="1:22" s="211" customFormat="1" ht="16.5" hidden="1">
      <c r="A198" s="227"/>
      <c r="B198" s="227"/>
      <c r="C198" s="227"/>
      <c r="D198" s="227"/>
      <c r="E198" s="210"/>
      <c r="F198" s="646"/>
      <c r="G198" s="652"/>
      <c r="H198" s="646"/>
      <c r="I198" s="653"/>
      <c r="J198" s="653"/>
      <c r="K198" s="653"/>
      <c r="L198" s="201"/>
      <c r="M198" s="227"/>
      <c r="N198" s="227"/>
      <c r="O198" s="227"/>
      <c r="P198" s="227"/>
      <c r="Q198" s="227"/>
      <c r="R198" s="227"/>
      <c r="S198" s="227"/>
      <c r="T198" s="227"/>
      <c r="U198" s="227"/>
      <c r="V198" s="227"/>
    </row>
    <row r="199" spans="1:22" s="211" customFormat="1" ht="16.5" hidden="1">
      <c r="A199" s="227"/>
      <c r="B199" s="227"/>
      <c r="C199" s="227"/>
      <c r="D199" s="227"/>
      <c r="E199" s="210"/>
      <c r="F199" s="646"/>
      <c r="G199" s="652"/>
      <c r="H199" s="646"/>
      <c r="I199" s="653"/>
      <c r="J199" s="653"/>
      <c r="K199" s="653"/>
      <c r="L199" s="201"/>
      <c r="M199" s="227"/>
      <c r="N199" s="227"/>
      <c r="O199" s="227"/>
      <c r="P199" s="227"/>
      <c r="Q199" s="227"/>
      <c r="R199" s="227"/>
      <c r="S199" s="227"/>
      <c r="T199" s="227"/>
      <c r="U199" s="227"/>
      <c r="V199" s="227"/>
    </row>
    <row r="200" spans="1:22" s="211" customFormat="1" ht="16.5" hidden="1">
      <c r="A200" s="227"/>
      <c r="B200" s="227"/>
      <c r="C200" s="227"/>
      <c r="D200" s="227"/>
      <c r="E200" s="210"/>
      <c r="F200" s="646"/>
      <c r="G200" s="652"/>
      <c r="H200" s="646"/>
      <c r="I200" s="653"/>
      <c r="J200" s="653"/>
      <c r="K200" s="653"/>
      <c r="L200" s="201"/>
      <c r="M200" s="227"/>
      <c r="N200" s="227"/>
      <c r="O200" s="227"/>
      <c r="P200" s="227"/>
      <c r="Q200" s="227"/>
      <c r="R200" s="227"/>
      <c r="S200" s="227"/>
      <c r="T200" s="227"/>
      <c r="U200" s="227"/>
      <c r="V200" s="227"/>
    </row>
    <row r="201" spans="1:22" s="211" customFormat="1" ht="16.5" hidden="1">
      <c r="A201" s="227"/>
      <c r="B201" s="227"/>
      <c r="C201" s="227"/>
      <c r="D201" s="227"/>
      <c r="E201" s="210"/>
      <c r="F201" s="646"/>
      <c r="G201" s="652"/>
      <c r="H201" s="646"/>
      <c r="I201" s="653"/>
      <c r="J201" s="653"/>
      <c r="K201" s="653"/>
      <c r="L201" s="201"/>
      <c r="M201" s="227"/>
      <c r="N201" s="227"/>
      <c r="O201" s="227"/>
      <c r="P201" s="227"/>
      <c r="Q201" s="227"/>
      <c r="R201" s="227"/>
      <c r="S201" s="227"/>
      <c r="T201" s="227"/>
      <c r="U201" s="227"/>
      <c r="V201" s="227"/>
    </row>
    <row r="202" spans="1:22" s="211" customFormat="1" ht="16.5" hidden="1">
      <c r="A202" s="227"/>
      <c r="B202" s="227"/>
      <c r="C202" s="227"/>
      <c r="D202" s="227"/>
      <c r="E202" s="210"/>
      <c r="F202" s="646"/>
      <c r="G202" s="652"/>
      <c r="H202" s="646"/>
      <c r="I202" s="653"/>
      <c r="J202" s="653"/>
      <c r="K202" s="653"/>
      <c r="L202" s="201"/>
      <c r="M202" s="227"/>
      <c r="N202" s="227"/>
      <c r="O202" s="227"/>
      <c r="P202" s="227"/>
      <c r="Q202" s="227"/>
      <c r="R202" s="227"/>
      <c r="S202" s="227"/>
      <c r="T202" s="227"/>
      <c r="U202" s="227"/>
      <c r="V202" s="227"/>
    </row>
    <row r="203" spans="1:22" s="211" customFormat="1" ht="16.5" hidden="1">
      <c r="A203" s="227"/>
      <c r="B203" s="227"/>
      <c r="C203" s="227"/>
      <c r="D203" s="227"/>
      <c r="E203" s="210"/>
      <c r="F203" s="646"/>
      <c r="G203" s="652"/>
      <c r="H203" s="646"/>
      <c r="I203" s="653"/>
      <c r="J203" s="653"/>
      <c r="K203" s="653"/>
      <c r="L203" s="201"/>
      <c r="M203" s="227"/>
      <c r="N203" s="227"/>
      <c r="O203" s="227"/>
      <c r="P203" s="227"/>
      <c r="Q203" s="227"/>
      <c r="R203" s="227"/>
      <c r="S203" s="227"/>
      <c r="T203" s="227"/>
      <c r="U203" s="227"/>
      <c r="V203" s="227"/>
    </row>
    <row r="204" spans="1:22" s="211" customFormat="1" ht="16.5" hidden="1">
      <c r="A204" s="227"/>
      <c r="B204" s="227"/>
      <c r="C204" s="227"/>
      <c r="D204" s="227"/>
      <c r="E204" s="210"/>
      <c r="F204" s="646"/>
      <c r="G204" s="652"/>
      <c r="H204" s="646"/>
      <c r="I204" s="653"/>
      <c r="J204" s="653"/>
      <c r="K204" s="653"/>
      <c r="L204" s="201"/>
      <c r="M204" s="227"/>
      <c r="N204" s="227"/>
      <c r="O204" s="227"/>
      <c r="P204" s="227"/>
      <c r="Q204" s="227"/>
      <c r="R204" s="227"/>
      <c r="S204" s="227"/>
      <c r="T204" s="227"/>
      <c r="U204" s="227"/>
      <c r="V204" s="227"/>
    </row>
    <row r="205" spans="1:22" s="211" customFormat="1" ht="16.5" hidden="1">
      <c r="A205" s="227"/>
      <c r="B205" s="227"/>
      <c r="C205" s="227"/>
      <c r="D205" s="227"/>
      <c r="E205" s="210"/>
      <c r="F205" s="646"/>
      <c r="G205" s="652"/>
      <c r="H205" s="646"/>
      <c r="I205" s="653"/>
      <c r="J205" s="653"/>
      <c r="K205" s="653"/>
      <c r="L205" s="201"/>
      <c r="M205" s="227"/>
      <c r="N205" s="227"/>
      <c r="O205" s="227"/>
      <c r="P205" s="227"/>
      <c r="Q205" s="227"/>
      <c r="R205" s="227"/>
      <c r="S205" s="227"/>
      <c r="T205" s="227"/>
      <c r="U205" s="227"/>
      <c r="V205" s="227"/>
    </row>
    <row r="206" spans="1:22" s="211" customFormat="1" ht="16.5" hidden="1">
      <c r="A206" s="227"/>
      <c r="B206" s="227"/>
      <c r="C206" s="227"/>
      <c r="D206" s="227"/>
      <c r="E206" s="210"/>
      <c r="F206" s="646"/>
      <c r="G206" s="652"/>
      <c r="H206" s="646"/>
      <c r="I206" s="653"/>
      <c r="J206" s="653"/>
      <c r="K206" s="653"/>
      <c r="L206" s="201"/>
      <c r="M206" s="227"/>
      <c r="N206" s="227"/>
      <c r="O206" s="227"/>
      <c r="P206" s="227"/>
      <c r="Q206" s="227"/>
      <c r="R206" s="227"/>
      <c r="S206" s="227"/>
      <c r="T206" s="227"/>
      <c r="U206" s="227"/>
      <c r="V206" s="227"/>
    </row>
    <row r="207" spans="1:22" s="211" customFormat="1" ht="16.5" hidden="1">
      <c r="A207" s="227"/>
      <c r="B207" s="227"/>
      <c r="C207" s="227"/>
      <c r="D207" s="227"/>
      <c r="E207" s="210"/>
      <c r="F207" s="646"/>
      <c r="G207" s="652"/>
      <c r="H207" s="646"/>
      <c r="I207" s="653"/>
      <c r="J207" s="653"/>
      <c r="K207" s="653"/>
      <c r="L207" s="201"/>
      <c r="M207" s="227"/>
      <c r="N207" s="227"/>
      <c r="O207" s="227"/>
      <c r="P207" s="227"/>
      <c r="Q207" s="227"/>
      <c r="R207" s="227"/>
      <c r="S207" s="227"/>
      <c r="T207" s="227"/>
      <c r="U207" s="227"/>
      <c r="V207" s="227"/>
    </row>
    <row r="208" spans="1:22" s="211" customFormat="1" ht="16.5" hidden="1">
      <c r="A208" s="227"/>
      <c r="B208" s="227"/>
      <c r="C208" s="227"/>
      <c r="D208" s="227"/>
      <c r="E208" s="210"/>
      <c r="F208" s="646"/>
      <c r="G208" s="652"/>
      <c r="H208" s="646"/>
      <c r="I208" s="653"/>
      <c r="J208" s="653"/>
      <c r="K208" s="653"/>
      <c r="L208" s="201"/>
      <c r="M208" s="227"/>
      <c r="N208" s="227"/>
      <c r="O208" s="227"/>
      <c r="P208" s="227"/>
      <c r="Q208" s="227"/>
      <c r="R208" s="227"/>
      <c r="S208" s="227"/>
      <c r="T208" s="227"/>
      <c r="U208" s="227"/>
      <c r="V208" s="227"/>
    </row>
    <row r="209" spans="1:22" s="211" customFormat="1" ht="16.5" hidden="1">
      <c r="A209" s="227"/>
      <c r="B209" s="227"/>
      <c r="C209" s="227"/>
      <c r="D209" s="227"/>
      <c r="E209" s="210"/>
      <c r="F209" s="646"/>
      <c r="G209" s="652"/>
      <c r="H209" s="646"/>
      <c r="I209" s="653"/>
      <c r="J209" s="653"/>
      <c r="K209" s="653"/>
      <c r="L209" s="201"/>
      <c r="M209" s="227"/>
      <c r="N209" s="227"/>
      <c r="O209" s="227"/>
      <c r="P209" s="227"/>
      <c r="Q209" s="227"/>
      <c r="R209" s="227"/>
      <c r="S209" s="227"/>
      <c r="T209" s="227"/>
      <c r="U209" s="227"/>
      <c r="V209" s="227"/>
    </row>
    <row r="210" spans="1:22" s="211" customFormat="1" ht="16.5" hidden="1">
      <c r="A210" s="227"/>
      <c r="B210" s="227"/>
      <c r="C210" s="227"/>
      <c r="D210" s="227"/>
      <c r="E210" s="210"/>
      <c r="F210" s="646"/>
      <c r="G210" s="652"/>
      <c r="H210" s="646"/>
      <c r="I210" s="653"/>
      <c r="J210" s="653"/>
      <c r="K210" s="653"/>
      <c r="L210" s="201"/>
      <c r="M210" s="227"/>
      <c r="N210" s="227"/>
      <c r="O210" s="227"/>
      <c r="P210" s="227"/>
      <c r="Q210" s="227"/>
      <c r="R210" s="227"/>
      <c r="S210" s="227"/>
      <c r="T210" s="227"/>
      <c r="U210" s="227"/>
      <c r="V210" s="227"/>
    </row>
    <row r="211" spans="1:22" s="211" customFormat="1" ht="16.5" hidden="1">
      <c r="A211" s="227"/>
      <c r="B211" s="227"/>
      <c r="C211" s="227"/>
      <c r="D211" s="227"/>
      <c r="E211" s="210"/>
      <c r="F211" s="646"/>
      <c r="G211" s="652"/>
      <c r="H211" s="646"/>
      <c r="I211" s="653"/>
      <c r="J211" s="653"/>
      <c r="K211" s="653"/>
      <c r="L211" s="201"/>
      <c r="M211" s="227"/>
      <c r="N211" s="227"/>
      <c r="O211" s="227"/>
      <c r="P211" s="227"/>
      <c r="Q211" s="227"/>
      <c r="R211" s="227"/>
      <c r="S211" s="227"/>
      <c r="T211" s="227"/>
      <c r="U211" s="227"/>
      <c r="V211" s="227"/>
    </row>
    <row r="212" spans="1:22" s="211" customFormat="1" ht="16.5" hidden="1">
      <c r="A212" s="227"/>
      <c r="B212" s="227"/>
      <c r="C212" s="227"/>
      <c r="D212" s="227"/>
      <c r="E212" s="210"/>
      <c r="F212" s="646"/>
      <c r="G212" s="652"/>
      <c r="H212" s="646"/>
      <c r="I212" s="653"/>
      <c r="J212" s="653"/>
      <c r="K212" s="653"/>
      <c r="L212" s="201"/>
      <c r="M212" s="227"/>
      <c r="N212" s="227"/>
      <c r="O212" s="227"/>
      <c r="P212" s="227"/>
      <c r="Q212" s="227"/>
      <c r="R212" s="227"/>
      <c r="S212" s="227"/>
      <c r="T212" s="227"/>
      <c r="U212" s="227"/>
      <c r="V212" s="227"/>
    </row>
    <row r="213" spans="1:22" s="211" customFormat="1" ht="16.5" hidden="1">
      <c r="A213" s="227"/>
      <c r="B213" s="227"/>
      <c r="C213" s="227"/>
      <c r="D213" s="227"/>
      <c r="E213" s="210"/>
      <c r="F213" s="646"/>
      <c r="G213" s="652"/>
      <c r="H213" s="646"/>
      <c r="I213" s="653"/>
      <c r="J213" s="653"/>
      <c r="K213" s="653"/>
      <c r="L213" s="201"/>
      <c r="M213" s="227"/>
      <c r="N213" s="227"/>
      <c r="O213" s="227"/>
      <c r="P213" s="227"/>
      <c r="Q213" s="227"/>
      <c r="R213" s="227"/>
      <c r="S213" s="227"/>
      <c r="T213" s="227"/>
      <c r="U213" s="227"/>
      <c r="V213" s="227"/>
    </row>
    <row r="214" spans="1:22" s="211" customFormat="1" ht="16.5" hidden="1">
      <c r="A214" s="227"/>
      <c r="B214" s="227"/>
      <c r="C214" s="227"/>
      <c r="D214" s="227"/>
      <c r="E214" s="210"/>
      <c r="F214" s="646"/>
      <c r="G214" s="652"/>
      <c r="H214" s="646"/>
      <c r="I214" s="653"/>
      <c r="J214" s="653"/>
      <c r="K214" s="653"/>
      <c r="L214" s="201"/>
      <c r="M214" s="227"/>
      <c r="N214" s="227"/>
      <c r="O214" s="227"/>
      <c r="P214" s="227"/>
      <c r="Q214" s="227"/>
      <c r="R214" s="227"/>
      <c r="S214" s="227"/>
      <c r="T214" s="227"/>
      <c r="U214" s="227"/>
      <c r="V214" s="227"/>
    </row>
    <row r="215" spans="1:22" s="211" customFormat="1" ht="16.5" hidden="1">
      <c r="A215" s="227"/>
      <c r="B215" s="227"/>
      <c r="C215" s="227"/>
      <c r="D215" s="227"/>
      <c r="E215" s="210"/>
      <c r="F215" s="646"/>
      <c r="G215" s="652"/>
      <c r="H215" s="646"/>
      <c r="I215" s="653"/>
      <c r="J215" s="653"/>
      <c r="K215" s="653"/>
      <c r="L215" s="201"/>
      <c r="M215" s="227"/>
      <c r="N215" s="227"/>
      <c r="O215" s="227"/>
      <c r="P215" s="227"/>
      <c r="Q215" s="227"/>
      <c r="R215" s="227"/>
      <c r="S215" s="227"/>
      <c r="T215" s="227"/>
      <c r="U215" s="227"/>
      <c r="V215" s="227"/>
    </row>
    <row r="216" spans="1:22" s="211" customFormat="1" ht="16.5" hidden="1">
      <c r="A216" s="227"/>
      <c r="B216" s="227"/>
      <c r="C216" s="227"/>
      <c r="D216" s="227"/>
      <c r="E216" s="210"/>
      <c r="F216" s="646"/>
      <c r="G216" s="652"/>
      <c r="H216" s="646"/>
      <c r="I216" s="653"/>
      <c r="J216" s="653"/>
      <c r="K216" s="653"/>
      <c r="L216" s="201"/>
      <c r="M216" s="227"/>
      <c r="N216" s="227"/>
      <c r="O216" s="227"/>
      <c r="P216" s="227"/>
      <c r="Q216" s="227"/>
      <c r="R216" s="227"/>
      <c r="S216" s="227"/>
      <c r="T216" s="227"/>
      <c r="U216" s="227"/>
      <c r="V216" s="227"/>
    </row>
    <row r="217" spans="1:22" s="211" customFormat="1" ht="16.5" hidden="1">
      <c r="A217" s="227"/>
      <c r="B217" s="227"/>
      <c r="C217" s="227"/>
      <c r="D217" s="227"/>
      <c r="E217" s="210"/>
      <c r="F217" s="646"/>
      <c r="G217" s="652"/>
      <c r="H217" s="646"/>
      <c r="I217" s="653"/>
      <c r="J217" s="653"/>
      <c r="K217" s="653"/>
      <c r="L217" s="201"/>
      <c r="M217" s="227"/>
      <c r="N217" s="227"/>
      <c r="O217" s="227"/>
      <c r="P217" s="227"/>
      <c r="Q217" s="227"/>
      <c r="R217" s="227"/>
      <c r="S217" s="227"/>
      <c r="T217" s="227"/>
      <c r="U217" s="227"/>
      <c r="V217" s="227"/>
    </row>
    <row r="218" spans="1:22" s="211" customFormat="1" ht="16.5" hidden="1">
      <c r="A218" s="227"/>
      <c r="B218" s="227"/>
      <c r="C218" s="227"/>
      <c r="D218" s="227"/>
      <c r="E218" s="210"/>
      <c r="F218" s="646"/>
      <c r="G218" s="652"/>
      <c r="H218" s="646"/>
      <c r="I218" s="653"/>
      <c r="J218" s="653"/>
      <c r="K218" s="653"/>
      <c r="L218" s="201"/>
      <c r="M218" s="227"/>
      <c r="N218" s="227"/>
      <c r="O218" s="227"/>
      <c r="P218" s="227"/>
      <c r="Q218" s="227"/>
      <c r="R218" s="227"/>
      <c r="S218" s="227"/>
      <c r="T218" s="227"/>
      <c r="U218" s="227"/>
      <c r="V218" s="227"/>
    </row>
    <row r="219" spans="1:22" s="211" customFormat="1" ht="16.5" hidden="1">
      <c r="A219" s="227"/>
      <c r="B219" s="227"/>
      <c r="C219" s="227"/>
      <c r="D219" s="227"/>
      <c r="E219" s="210"/>
      <c r="F219" s="646"/>
      <c r="G219" s="652"/>
      <c r="H219" s="646"/>
      <c r="I219" s="653"/>
      <c r="J219" s="653"/>
      <c r="K219" s="653"/>
      <c r="L219" s="201"/>
      <c r="M219" s="227"/>
      <c r="N219" s="227"/>
      <c r="O219" s="227"/>
      <c r="P219" s="227"/>
      <c r="Q219" s="227"/>
      <c r="R219" s="227"/>
      <c r="S219" s="227"/>
      <c r="T219" s="227"/>
      <c r="U219" s="227"/>
      <c r="V219" s="227"/>
    </row>
    <row r="220" spans="1:22" s="211" customFormat="1" ht="16.5" hidden="1">
      <c r="A220" s="227"/>
      <c r="B220" s="227"/>
      <c r="C220" s="227"/>
      <c r="D220" s="227"/>
      <c r="E220" s="210"/>
      <c r="F220" s="646"/>
      <c r="G220" s="652"/>
      <c r="H220" s="646"/>
      <c r="I220" s="653"/>
      <c r="J220" s="653"/>
      <c r="K220" s="653"/>
      <c r="L220" s="201"/>
      <c r="M220" s="227"/>
      <c r="N220" s="227"/>
      <c r="O220" s="227"/>
      <c r="P220" s="227"/>
      <c r="Q220" s="227"/>
      <c r="R220" s="227"/>
      <c r="S220" s="227"/>
      <c r="T220" s="227"/>
      <c r="U220" s="227"/>
      <c r="V220" s="227"/>
    </row>
    <row r="221" spans="1:22" s="211" customFormat="1" ht="16.5" hidden="1">
      <c r="A221" s="227"/>
      <c r="B221" s="227"/>
      <c r="C221" s="227"/>
      <c r="D221" s="227"/>
      <c r="E221" s="210"/>
      <c r="F221" s="646"/>
      <c r="G221" s="652"/>
      <c r="H221" s="646"/>
      <c r="I221" s="653"/>
      <c r="J221" s="653"/>
      <c r="K221" s="653"/>
      <c r="L221" s="201"/>
      <c r="M221" s="227"/>
      <c r="N221" s="227"/>
      <c r="O221" s="227"/>
      <c r="P221" s="227"/>
      <c r="Q221" s="227"/>
      <c r="R221" s="227"/>
      <c r="S221" s="227"/>
      <c r="T221" s="227"/>
      <c r="U221" s="227"/>
      <c r="V221" s="227"/>
    </row>
    <row r="222" spans="1:22" s="211" customFormat="1" ht="16.5" hidden="1">
      <c r="A222" s="227"/>
      <c r="B222" s="227"/>
      <c r="C222" s="227"/>
      <c r="D222" s="227"/>
      <c r="E222" s="210"/>
      <c r="F222" s="646"/>
      <c r="G222" s="652"/>
      <c r="H222" s="646"/>
      <c r="I222" s="653"/>
      <c r="J222" s="653"/>
      <c r="K222" s="653"/>
      <c r="L222" s="201"/>
      <c r="M222" s="227"/>
      <c r="N222" s="227"/>
      <c r="O222" s="227"/>
      <c r="P222" s="227"/>
      <c r="Q222" s="227"/>
      <c r="R222" s="227"/>
      <c r="S222" s="227"/>
      <c r="T222" s="227"/>
      <c r="U222" s="227"/>
      <c r="V222" s="227"/>
    </row>
    <row r="223" spans="1:22" s="211" customFormat="1" ht="16.5" hidden="1">
      <c r="A223" s="227"/>
      <c r="B223" s="227"/>
      <c r="C223" s="227"/>
      <c r="D223" s="227"/>
      <c r="E223" s="210"/>
      <c r="F223" s="646"/>
      <c r="G223" s="652"/>
      <c r="H223" s="646"/>
      <c r="I223" s="653"/>
      <c r="J223" s="653"/>
      <c r="K223" s="653"/>
      <c r="L223" s="201"/>
      <c r="M223" s="227"/>
      <c r="N223" s="227"/>
      <c r="O223" s="227"/>
      <c r="P223" s="227"/>
      <c r="Q223" s="227"/>
      <c r="R223" s="227"/>
      <c r="S223" s="227"/>
      <c r="T223" s="227"/>
      <c r="U223" s="227"/>
      <c r="V223" s="227"/>
    </row>
    <row r="224" spans="1:22" s="211" customFormat="1" ht="16.5" hidden="1">
      <c r="A224" s="227"/>
      <c r="B224" s="227"/>
      <c r="C224" s="227"/>
      <c r="D224" s="227"/>
      <c r="E224" s="210"/>
      <c r="F224" s="646"/>
      <c r="G224" s="652"/>
      <c r="H224" s="646"/>
      <c r="I224" s="653"/>
      <c r="J224" s="653"/>
      <c r="K224" s="653"/>
      <c r="L224" s="201"/>
      <c r="M224" s="227"/>
      <c r="N224" s="227"/>
      <c r="O224" s="227"/>
      <c r="P224" s="227"/>
      <c r="Q224" s="227"/>
      <c r="R224" s="227"/>
      <c r="S224" s="227"/>
      <c r="T224" s="227"/>
      <c r="U224" s="227"/>
      <c r="V224" s="227"/>
    </row>
    <row r="225" spans="1:22" s="211" customFormat="1" ht="16.5" hidden="1">
      <c r="A225" s="227"/>
      <c r="B225" s="227"/>
      <c r="C225" s="227"/>
      <c r="D225" s="227"/>
      <c r="E225" s="210"/>
      <c r="F225" s="646"/>
      <c r="G225" s="652"/>
      <c r="H225" s="646"/>
      <c r="I225" s="653"/>
      <c r="J225" s="653"/>
      <c r="K225" s="653"/>
      <c r="L225" s="201"/>
      <c r="M225" s="227"/>
      <c r="N225" s="227"/>
      <c r="O225" s="227"/>
      <c r="P225" s="227"/>
      <c r="Q225" s="227"/>
      <c r="R225" s="227"/>
      <c r="S225" s="227"/>
      <c r="T225" s="227"/>
      <c r="U225" s="227"/>
      <c r="V225" s="227"/>
    </row>
    <row r="226" spans="1:22" s="211" customFormat="1" ht="16.5" hidden="1">
      <c r="A226" s="227"/>
      <c r="B226" s="227"/>
      <c r="C226" s="227"/>
      <c r="D226" s="227"/>
      <c r="E226" s="210"/>
      <c r="F226" s="646"/>
      <c r="G226" s="652"/>
      <c r="H226" s="646"/>
      <c r="I226" s="653"/>
      <c r="J226" s="653"/>
      <c r="K226" s="653"/>
      <c r="L226" s="201"/>
      <c r="M226" s="227"/>
      <c r="N226" s="227"/>
      <c r="O226" s="227"/>
      <c r="P226" s="227"/>
      <c r="Q226" s="227"/>
      <c r="R226" s="227"/>
      <c r="S226" s="227"/>
      <c r="T226" s="227"/>
      <c r="U226" s="227"/>
      <c r="V226" s="227"/>
    </row>
    <row r="227" spans="1:22" s="211" customFormat="1" ht="16.5" hidden="1">
      <c r="A227" s="227"/>
      <c r="B227" s="227"/>
      <c r="C227" s="227"/>
      <c r="D227" s="227"/>
      <c r="E227" s="210"/>
      <c r="F227" s="646"/>
      <c r="G227" s="652"/>
      <c r="H227" s="646"/>
      <c r="I227" s="653"/>
      <c r="J227" s="653"/>
      <c r="K227" s="653"/>
      <c r="L227" s="201"/>
      <c r="M227" s="227"/>
      <c r="N227" s="227"/>
      <c r="O227" s="227"/>
      <c r="P227" s="227"/>
      <c r="Q227" s="227"/>
      <c r="R227" s="227"/>
      <c r="S227" s="227"/>
      <c r="T227" s="227"/>
      <c r="U227" s="227"/>
      <c r="V227" s="227"/>
    </row>
    <row r="228" spans="1:22" s="211" customFormat="1" ht="16.5" hidden="1">
      <c r="A228" s="227"/>
      <c r="B228" s="227"/>
      <c r="C228" s="227"/>
      <c r="D228" s="227"/>
      <c r="E228" s="210"/>
      <c r="F228" s="646"/>
      <c r="G228" s="652"/>
      <c r="H228" s="646"/>
      <c r="I228" s="653"/>
      <c r="J228" s="653"/>
      <c r="K228" s="653"/>
      <c r="L228" s="201"/>
      <c r="M228" s="227"/>
      <c r="N228" s="227"/>
      <c r="O228" s="227"/>
      <c r="P228" s="227"/>
      <c r="Q228" s="227"/>
      <c r="R228" s="227"/>
      <c r="S228" s="227"/>
      <c r="T228" s="227"/>
      <c r="U228" s="227"/>
      <c r="V228" s="227"/>
    </row>
    <row r="229" spans="1:22" s="211" customFormat="1" ht="16.5" hidden="1">
      <c r="A229" s="227"/>
      <c r="B229" s="227"/>
      <c r="C229" s="227"/>
      <c r="D229" s="227"/>
      <c r="E229" s="210"/>
      <c r="F229" s="646"/>
      <c r="G229" s="652"/>
      <c r="H229" s="646"/>
      <c r="I229" s="653"/>
      <c r="J229" s="653"/>
      <c r="K229" s="653"/>
      <c r="L229" s="201"/>
      <c r="M229" s="227"/>
      <c r="N229" s="227"/>
      <c r="O229" s="227"/>
      <c r="P229" s="227"/>
      <c r="Q229" s="227"/>
      <c r="R229" s="227"/>
      <c r="S229" s="227"/>
      <c r="T229" s="227"/>
      <c r="U229" s="227"/>
      <c r="V229" s="227"/>
    </row>
    <row r="230" spans="1:22" s="211" customFormat="1" ht="16.5" hidden="1">
      <c r="A230" s="227"/>
      <c r="B230" s="227"/>
      <c r="C230" s="227"/>
      <c r="D230" s="227"/>
      <c r="E230" s="210"/>
      <c r="F230" s="646"/>
      <c r="G230" s="652"/>
      <c r="H230" s="646"/>
      <c r="I230" s="653"/>
      <c r="J230" s="653"/>
      <c r="K230" s="653"/>
      <c r="L230" s="201"/>
      <c r="M230" s="227"/>
      <c r="N230" s="227"/>
      <c r="O230" s="227"/>
      <c r="P230" s="227"/>
      <c r="Q230" s="227"/>
      <c r="R230" s="227"/>
      <c r="S230" s="227"/>
      <c r="T230" s="227"/>
      <c r="U230" s="227"/>
      <c r="V230" s="227"/>
    </row>
    <row r="231" spans="1:22" s="211" customFormat="1" ht="16.5" hidden="1">
      <c r="A231" s="227"/>
      <c r="B231" s="227"/>
      <c r="C231" s="227"/>
      <c r="D231" s="227"/>
      <c r="E231" s="210"/>
      <c r="F231" s="646"/>
      <c r="G231" s="652"/>
      <c r="H231" s="646"/>
      <c r="I231" s="653"/>
      <c r="J231" s="653"/>
      <c r="K231" s="653"/>
      <c r="L231" s="201"/>
      <c r="M231" s="227"/>
      <c r="N231" s="227"/>
      <c r="O231" s="227"/>
      <c r="P231" s="227"/>
      <c r="Q231" s="227"/>
      <c r="R231" s="227"/>
      <c r="S231" s="227"/>
      <c r="T231" s="227"/>
      <c r="U231" s="227"/>
      <c r="V231" s="227"/>
    </row>
    <row r="232" spans="1:22" s="211" customFormat="1" ht="16.5" hidden="1">
      <c r="A232" s="227"/>
      <c r="B232" s="227"/>
      <c r="C232" s="227"/>
      <c r="D232" s="227"/>
      <c r="E232" s="210"/>
      <c r="F232" s="646"/>
      <c r="G232" s="652"/>
      <c r="H232" s="646"/>
      <c r="I232" s="653"/>
      <c r="J232" s="653"/>
      <c r="K232" s="653"/>
      <c r="L232" s="201"/>
      <c r="M232" s="227"/>
      <c r="N232" s="227"/>
      <c r="O232" s="227"/>
      <c r="P232" s="227"/>
      <c r="Q232" s="227"/>
      <c r="R232" s="227"/>
      <c r="S232" s="227"/>
      <c r="T232" s="227"/>
      <c r="U232" s="227"/>
      <c r="V232" s="227"/>
    </row>
    <row r="233" spans="1:22" s="211" customFormat="1" ht="16.5" hidden="1">
      <c r="A233" s="227"/>
      <c r="B233" s="227"/>
      <c r="C233" s="227"/>
      <c r="D233" s="227"/>
      <c r="E233" s="210"/>
      <c r="F233" s="646"/>
      <c r="G233" s="652"/>
      <c r="H233" s="646"/>
      <c r="I233" s="653"/>
      <c r="J233" s="653"/>
      <c r="K233" s="653"/>
      <c r="L233" s="201"/>
      <c r="M233" s="227"/>
      <c r="N233" s="227"/>
      <c r="O233" s="227"/>
      <c r="P233" s="227"/>
      <c r="Q233" s="227"/>
      <c r="R233" s="227"/>
      <c r="S233" s="227"/>
      <c r="T233" s="227"/>
      <c r="U233" s="227"/>
      <c r="V233" s="227"/>
    </row>
    <row r="234" spans="1:22" s="211" customFormat="1" ht="16.5" hidden="1">
      <c r="A234" s="227"/>
      <c r="B234" s="227"/>
      <c r="C234" s="227"/>
      <c r="D234" s="227"/>
      <c r="E234" s="210"/>
      <c r="F234" s="646"/>
      <c r="G234" s="652"/>
      <c r="H234" s="646"/>
      <c r="I234" s="653"/>
      <c r="J234" s="653"/>
      <c r="K234" s="653"/>
      <c r="L234" s="201"/>
      <c r="M234" s="227"/>
      <c r="N234" s="227"/>
      <c r="O234" s="227"/>
      <c r="P234" s="227"/>
      <c r="Q234" s="227"/>
      <c r="R234" s="227"/>
      <c r="S234" s="227"/>
      <c r="T234" s="227"/>
      <c r="U234" s="227"/>
      <c r="V234" s="227"/>
    </row>
    <row r="235" spans="1:22" s="211" customFormat="1" ht="16.5" hidden="1">
      <c r="A235" s="227"/>
      <c r="B235" s="227"/>
      <c r="C235" s="227"/>
      <c r="D235" s="227"/>
      <c r="E235" s="210"/>
      <c r="F235" s="646"/>
      <c r="G235" s="652"/>
      <c r="H235" s="646"/>
      <c r="I235" s="653"/>
      <c r="J235" s="653"/>
      <c r="K235" s="653"/>
      <c r="L235" s="201"/>
      <c r="M235" s="227"/>
      <c r="N235" s="227"/>
      <c r="O235" s="227"/>
      <c r="P235" s="227"/>
      <c r="Q235" s="227"/>
      <c r="R235" s="227"/>
      <c r="S235" s="227"/>
      <c r="T235" s="227"/>
      <c r="U235" s="227"/>
      <c r="V235" s="227"/>
    </row>
    <row r="236" spans="1:22" s="211" customFormat="1" ht="16.5" hidden="1">
      <c r="A236" s="227"/>
      <c r="B236" s="227"/>
      <c r="C236" s="227"/>
      <c r="D236" s="227"/>
      <c r="E236" s="210"/>
      <c r="F236" s="646"/>
      <c r="G236" s="652"/>
      <c r="H236" s="646"/>
      <c r="I236" s="653"/>
      <c r="J236" s="653"/>
      <c r="K236" s="653"/>
      <c r="L236" s="201"/>
      <c r="M236" s="227"/>
      <c r="N236" s="227"/>
      <c r="O236" s="227"/>
      <c r="P236" s="227"/>
      <c r="Q236" s="227"/>
      <c r="R236" s="227"/>
      <c r="S236" s="227"/>
      <c r="T236" s="227"/>
      <c r="U236" s="227"/>
      <c r="V236" s="227"/>
    </row>
    <row r="237" spans="1:22" s="211" customFormat="1" ht="16.5" hidden="1">
      <c r="A237" s="227"/>
      <c r="B237" s="227"/>
      <c r="C237" s="227"/>
      <c r="D237" s="227"/>
      <c r="E237" s="210"/>
      <c r="F237" s="646"/>
      <c r="G237" s="652"/>
      <c r="H237" s="646"/>
      <c r="I237" s="653"/>
      <c r="J237" s="653"/>
      <c r="K237" s="653"/>
      <c r="L237" s="201"/>
      <c r="M237" s="227"/>
      <c r="N237" s="227"/>
      <c r="O237" s="227"/>
      <c r="P237" s="227"/>
      <c r="Q237" s="227"/>
      <c r="R237" s="227"/>
      <c r="S237" s="227"/>
      <c r="T237" s="227"/>
      <c r="U237" s="227"/>
      <c r="V237" s="227"/>
    </row>
    <row r="238" spans="1:22" s="211" customFormat="1" ht="16.5" hidden="1">
      <c r="A238" s="227"/>
      <c r="B238" s="227"/>
      <c r="C238" s="227"/>
      <c r="D238" s="227"/>
      <c r="E238" s="210"/>
      <c r="F238" s="646"/>
      <c r="G238" s="652"/>
      <c r="H238" s="646"/>
      <c r="I238" s="653"/>
      <c r="J238" s="653"/>
      <c r="K238" s="653"/>
      <c r="L238" s="201"/>
      <c r="M238" s="227"/>
      <c r="N238" s="227"/>
      <c r="O238" s="227"/>
      <c r="P238" s="227"/>
      <c r="Q238" s="227"/>
      <c r="R238" s="227"/>
      <c r="S238" s="227"/>
      <c r="T238" s="227"/>
      <c r="U238" s="227"/>
      <c r="V238" s="227"/>
    </row>
    <row r="239" spans="1:22" s="211" customFormat="1" ht="16.5" hidden="1">
      <c r="A239" s="227"/>
      <c r="B239" s="227"/>
      <c r="C239" s="227"/>
      <c r="D239" s="227"/>
      <c r="E239" s="210"/>
      <c r="F239" s="646"/>
      <c r="G239" s="652"/>
      <c r="H239" s="646"/>
      <c r="I239" s="653"/>
      <c r="J239" s="653"/>
      <c r="K239" s="653"/>
      <c r="L239" s="201"/>
      <c r="M239" s="227"/>
      <c r="N239" s="227"/>
      <c r="O239" s="227"/>
      <c r="P239" s="227"/>
      <c r="Q239" s="227"/>
      <c r="R239" s="227"/>
      <c r="S239" s="227"/>
      <c r="T239" s="227"/>
      <c r="U239" s="227"/>
      <c r="V239" s="227"/>
    </row>
    <row r="240" spans="1:22" s="211" customFormat="1" ht="16.5" hidden="1">
      <c r="A240" s="227"/>
      <c r="B240" s="227"/>
      <c r="C240" s="227"/>
      <c r="D240" s="227"/>
      <c r="E240" s="210"/>
      <c r="F240" s="646"/>
      <c r="G240" s="652"/>
      <c r="H240" s="646"/>
      <c r="I240" s="653"/>
      <c r="J240" s="653"/>
      <c r="K240" s="653"/>
      <c r="L240" s="201"/>
      <c r="M240" s="227"/>
      <c r="N240" s="227"/>
      <c r="O240" s="227"/>
      <c r="P240" s="227"/>
      <c r="Q240" s="227"/>
      <c r="R240" s="227"/>
      <c r="S240" s="227"/>
      <c r="T240" s="227"/>
      <c r="U240" s="227"/>
      <c r="V240" s="227"/>
    </row>
    <row r="241" spans="1:22" s="211" customFormat="1" ht="16.5" hidden="1">
      <c r="A241" s="227"/>
      <c r="B241" s="227"/>
      <c r="C241" s="227"/>
      <c r="D241" s="227"/>
      <c r="E241" s="210"/>
      <c r="F241" s="646"/>
      <c r="G241" s="652"/>
      <c r="H241" s="646"/>
      <c r="I241" s="653"/>
      <c r="J241" s="653"/>
      <c r="K241" s="653"/>
      <c r="L241" s="201"/>
      <c r="M241" s="227"/>
      <c r="N241" s="227"/>
      <c r="O241" s="227"/>
      <c r="P241" s="227"/>
      <c r="Q241" s="227"/>
      <c r="R241" s="227"/>
      <c r="S241" s="227"/>
      <c r="T241" s="227"/>
      <c r="U241" s="227"/>
      <c r="V241" s="227"/>
    </row>
    <row r="242" spans="1:22" s="211" customFormat="1" ht="16.5" hidden="1">
      <c r="A242" s="227"/>
      <c r="B242" s="227"/>
      <c r="C242" s="227"/>
      <c r="D242" s="227"/>
      <c r="E242" s="210"/>
      <c r="F242" s="646"/>
      <c r="G242" s="652"/>
      <c r="H242" s="646"/>
      <c r="I242" s="653"/>
      <c r="J242" s="653"/>
      <c r="K242" s="653"/>
      <c r="L242" s="201"/>
      <c r="M242" s="227"/>
      <c r="N242" s="227"/>
      <c r="O242" s="227"/>
      <c r="P242" s="227"/>
      <c r="Q242" s="227"/>
      <c r="R242" s="227"/>
      <c r="S242" s="227"/>
      <c r="T242" s="227"/>
      <c r="U242" s="227"/>
      <c r="V242" s="227"/>
    </row>
    <row r="243" spans="1:22" s="211" customFormat="1" ht="16.5" hidden="1">
      <c r="A243" s="227"/>
      <c r="B243" s="227"/>
      <c r="C243" s="227"/>
      <c r="D243" s="227"/>
      <c r="E243" s="210"/>
      <c r="F243" s="646"/>
      <c r="G243" s="652"/>
      <c r="H243" s="646"/>
      <c r="I243" s="653"/>
      <c r="J243" s="653"/>
      <c r="K243" s="653"/>
      <c r="L243" s="201"/>
      <c r="M243" s="227"/>
      <c r="N243" s="227"/>
      <c r="O243" s="227"/>
      <c r="P243" s="227"/>
      <c r="Q243" s="227"/>
      <c r="R243" s="227"/>
      <c r="S243" s="227"/>
      <c r="T243" s="227"/>
      <c r="U243" s="227"/>
      <c r="V243" s="227"/>
    </row>
    <row r="244" spans="1:22" s="211" customFormat="1" ht="16.5" hidden="1">
      <c r="A244" s="227"/>
      <c r="B244" s="227"/>
      <c r="C244" s="227"/>
      <c r="D244" s="227"/>
      <c r="E244" s="210"/>
      <c r="F244" s="646"/>
      <c r="G244" s="652"/>
      <c r="H244" s="646"/>
      <c r="I244" s="653"/>
      <c r="J244" s="653"/>
      <c r="K244" s="653"/>
      <c r="L244" s="201"/>
      <c r="M244" s="227"/>
      <c r="N244" s="227"/>
      <c r="O244" s="227"/>
      <c r="P244" s="227"/>
      <c r="Q244" s="227"/>
      <c r="R244" s="227"/>
      <c r="S244" s="227"/>
      <c r="T244" s="227"/>
      <c r="U244" s="227"/>
      <c r="V244" s="227"/>
    </row>
    <row r="245" spans="1:22" s="211" customFormat="1" ht="16.5" hidden="1">
      <c r="A245" s="227"/>
      <c r="B245" s="227"/>
      <c r="C245" s="227"/>
      <c r="D245" s="227"/>
      <c r="E245" s="210"/>
      <c r="F245" s="646"/>
      <c r="G245" s="652"/>
      <c r="H245" s="646"/>
      <c r="I245" s="653"/>
      <c r="J245" s="653"/>
      <c r="K245" s="653"/>
      <c r="L245" s="201"/>
      <c r="M245" s="227"/>
      <c r="N245" s="227"/>
      <c r="O245" s="227"/>
      <c r="P245" s="227"/>
      <c r="Q245" s="227"/>
      <c r="R245" s="227"/>
      <c r="S245" s="227"/>
      <c r="T245" s="227"/>
      <c r="U245" s="227"/>
      <c r="V245" s="227"/>
    </row>
    <row r="246" spans="1:22" s="211" customFormat="1" ht="16.5" hidden="1">
      <c r="A246" s="227"/>
      <c r="B246" s="227"/>
      <c r="C246" s="227"/>
      <c r="D246" s="227"/>
      <c r="E246" s="210"/>
      <c r="F246" s="646"/>
      <c r="G246" s="652"/>
      <c r="H246" s="646"/>
      <c r="I246" s="653"/>
      <c r="J246" s="653"/>
      <c r="K246" s="653"/>
      <c r="L246" s="201"/>
      <c r="M246" s="227"/>
      <c r="N246" s="227"/>
      <c r="O246" s="227"/>
      <c r="P246" s="227"/>
      <c r="Q246" s="227"/>
      <c r="R246" s="227"/>
      <c r="S246" s="227"/>
      <c r="T246" s="227"/>
      <c r="U246" s="227"/>
      <c r="V246" s="227"/>
    </row>
    <row r="247" spans="1:22" s="211" customFormat="1" ht="16.5" hidden="1">
      <c r="A247" s="227"/>
      <c r="B247" s="227"/>
      <c r="C247" s="227"/>
      <c r="D247" s="227"/>
      <c r="E247" s="210"/>
      <c r="F247" s="646"/>
      <c r="G247" s="652"/>
      <c r="H247" s="646"/>
      <c r="I247" s="653"/>
      <c r="J247" s="653"/>
      <c r="K247" s="653"/>
      <c r="L247" s="201"/>
      <c r="M247" s="227"/>
      <c r="N247" s="227"/>
      <c r="O247" s="227"/>
      <c r="P247" s="227"/>
      <c r="Q247" s="227"/>
      <c r="R247" s="227"/>
      <c r="S247" s="227"/>
      <c r="T247" s="227"/>
      <c r="U247" s="227"/>
      <c r="V247" s="227"/>
    </row>
    <row r="248" spans="1:22" s="211" customFormat="1" ht="16.5" hidden="1">
      <c r="A248" s="227"/>
      <c r="B248" s="227"/>
      <c r="C248" s="227"/>
      <c r="D248" s="227"/>
      <c r="E248" s="210"/>
      <c r="F248" s="646"/>
      <c r="G248" s="652"/>
      <c r="H248" s="646"/>
      <c r="I248" s="653"/>
      <c r="J248" s="653"/>
      <c r="K248" s="653"/>
      <c r="L248" s="201"/>
      <c r="M248" s="227"/>
      <c r="N248" s="227"/>
      <c r="O248" s="227"/>
      <c r="P248" s="227"/>
      <c r="Q248" s="227"/>
      <c r="R248" s="227"/>
      <c r="S248" s="227"/>
      <c r="T248" s="227"/>
      <c r="U248" s="227"/>
      <c r="V248" s="227"/>
    </row>
    <row r="249" spans="1:22" s="211" customFormat="1" ht="16.5" hidden="1">
      <c r="A249" s="227"/>
      <c r="B249" s="227"/>
      <c r="C249" s="227"/>
      <c r="D249" s="227"/>
      <c r="E249" s="210"/>
      <c r="F249" s="646"/>
      <c r="G249" s="652"/>
      <c r="H249" s="646"/>
      <c r="I249" s="653"/>
      <c r="J249" s="653"/>
      <c r="K249" s="653"/>
      <c r="L249" s="201"/>
      <c r="M249" s="227"/>
      <c r="N249" s="227"/>
      <c r="O249" s="227"/>
      <c r="P249" s="227"/>
      <c r="Q249" s="227"/>
      <c r="R249" s="227"/>
      <c r="S249" s="227"/>
      <c r="T249" s="227"/>
      <c r="U249" s="227"/>
      <c r="V249" s="227"/>
    </row>
    <row r="250" spans="1:22" s="211" customFormat="1" ht="16.5" hidden="1">
      <c r="A250" s="227"/>
      <c r="B250" s="227"/>
      <c r="C250" s="227"/>
      <c r="D250" s="227"/>
      <c r="E250" s="210"/>
      <c r="F250" s="646"/>
      <c r="G250" s="652"/>
      <c r="H250" s="646"/>
      <c r="I250" s="653"/>
      <c r="J250" s="653"/>
      <c r="K250" s="653"/>
      <c r="L250" s="201"/>
      <c r="M250" s="227"/>
      <c r="N250" s="227"/>
      <c r="O250" s="227"/>
      <c r="P250" s="227"/>
      <c r="Q250" s="227"/>
      <c r="R250" s="227"/>
      <c r="S250" s="227"/>
      <c r="T250" s="227"/>
      <c r="U250" s="227"/>
      <c r="V250" s="227"/>
    </row>
    <row r="251" spans="1:22" s="211" customFormat="1" ht="16.5" hidden="1">
      <c r="A251" s="227"/>
      <c r="B251" s="227"/>
      <c r="C251" s="227"/>
      <c r="D251" s="227"/>
      <c r="E251" s="210"/>
      <c r="F251" s="646"/>
      <c r="G251" s="652"/>
      <c r="H251" s="646"/>
      <c r="I251" s="653"/>
      <c r="J251" s="653"/>
      <c r="K251" s="653"/>
      <c r="L251" s="201"/>
      <c r="M251" s="227"/>
      <c r="N251" s="227"/>
      <c r="O251" s="227"/>
      <c r="P251" s="227"/>
      <c r="Q251" s="227"/>
      <c r="R251" s="227"/>
      <c r="S251" s="227"/>
      <c r="T251" s="227"/>
      <c r="U251" s="227"/>
      <c r="V251" s="227"/>
    </row>
    <row r="252" spans="1:22" s="211" customFormat="1" ht="16.5" hidden="1">
      <c r="A252" s="227"/>
      <c r="B252" s="227"/>
      <c r="C252" s="227"/>
      <c r="D252" s="227"/>
      <c r="E252" s="210"/>
      <c r="F252" s="646"/>
      <c r="G252" s="652"/>
      <c r="H252" s="646"/>
      <c r="I252" s="653"/>
      <c r="J252" s="653"/>
      <c r="K252" s="653"/>
      <c r="L252" s="201"/>
      <c r="M252" s="227"/>
      <c r="N252" s="227"/>
      <c r="O252" s="227"/>
      <c r="P252" s="227"/>
      <c r="Q252" s="227"/>
      <c r="R252" s="227"/>
      <c r="S252" s="227"/>
      <c r="T252" s="227"/>
      <c r="U252" s="227"/>
      <c r="V252" s="227"/>
    </row>
    <row r="253" spans="1:22" s="211" customFormat="1" ht="16.5" hidden="1">
      <c r="A253" s="227"/>
      <c r="B253" s="227"/>
      <c r="C253" s="227"/>
      <c r="D253" s="227"/>
      <c r="E253" s="210"/>
      <c r="F253" s="646"/>
      <c r="G253" s="652"/>
      <c r="H253" s="646"/>
      <c r="I253" s="653"/>
      <c r="J253" s="653"/>
      <c r="K253" s="653"/>
      <c r="L253" s="201"/>
      <c r="M253" s="227"/>
      <c r="N253" s="227"/>
      <c r="O253" s="227"/>
      <c r="P253" s="227"/>
      <c r="Q253" s="227"/>
      <c r="R253" s="227"/>
      <c r="S253" s="227"/>
      <c r="T253" s="227"/>
      <c r="U253" s="227"/>
      <c r="V253" s="227"/>
    </row>
    <row r="254" spans="1:22" s="211" customFormat="1" ht="16.5" hidden="1">
      <c r="A254" s="227"/>
      <c r="B254" s="227"/>
      <c r="C254" s="227"/>
      <c r="D254" s="227"/>
      <c r="E254" s="210"/>
      <c r="F254" s="646"/>
      <c r="G254" s="652"/>
      <c r="H254" s="646"/>
      <c r="I254" s="653"/>
      <c r="J254" s="653"/>
      <c r="K254" s="653"/>
      <c r="L254" s="201"/>
      <c r="M254" s="227"/>
      <c r="N254" s="227"/>
      <c r="O254" s="227"/>
      <c r="P254" s="227"/>
      <c r="Q254" s="227"/>
      <c r="R254" s="227"/>
      <c r="S254" s="227"/>
      <c r="T254" s="227"/>
      <c r="U254" s="227"/>
      <c r="V254" s="227"/>
    </row>
    <row r="255" spans="1:22" s="211" customFormat="1" ht="16.5" hidden="1">
      <c r="A255" s="227"/>
      <c r="B255" s="227"/>
      <c r="C255" s="227"/>
      <c r="D255" s="227"/>
      <c r="E255" s="210"/>
      <c r="F255" s="646"/>
      <c r="G255" s="652"/>
      <c r="H255" s="646"/>
      <c r="I255" s="653"/>
      <c r="J255" s="653"/>
      <c r="K255" s="653"/>
      <c r="L255" s="201"/>
      <c r="M255" s="227"/>
      <c r="N255" s="227"/>
      <c r="O255" s="227"/>
      <c r="P255" s="227"/>
      <c r="Q255" s="227"/>
      <c r="R255" s="227"/>
      <c r="S255" s="227"/>
      <c r="T255" s="227"/>
      <c r="U255" s="227"/>
      <c r="V255" s="227"/>
    </row>
    <row r="256" spans="1:22" s="211" customFormat="1" ht="16.5" hidden="1">
      <c r="A256" s="227"/>
      <c r="B256" s="227"/>
      <c r="C256" s="227"/>
      <c r="D256" s="227"/>
      <c r="E256" s="210"/>
      <c r="F256" s="646"/>
      <c r="G256" s="652"/>
      <c r="H256" s="646"/>
      <c r="I256" s="653"/>
      <c r="J256" s="653"/>
      <c r="K256" s="653"/>
      <c r="L256" s="201"/>
      <c r="M256" s="227"/>
      <c r="N256" s="227"/>
      <c r="O256" s="227"/>
      <c r="P256" s="227"/>
      <c r="Q256" s="227"/>
      <c r="R256" s="227"/>
      <c r="S256" s="227"/>
      <c r="T256" s="227"/>
      <c r="U256" s="227"/>
      <c r="V256" s="227"/>
    </row>
    <row r="257" spans="1:22" s="211" customFormat="1" ht="16.5" hidden="1">
      <c r="A257" s="227"/>
      <c r="B257" s="227"/>
      <c r="C257" s="227"/>
      <c r="D257" s="227"/>
      <c r="E257" s="210"/>
      <c r="F257" s="646"/>
      <c r="G257" s="652"/>
      <c r="H257" s="646"/>
      <c r="I257" s="653"/>
      <c r="J257" s="653"/>
      <c r="K257" s="653"/>
      <c r="L257" s="201"/>
      <c r="M257" s="227"/>
      <c r="N257" s="227"/>
      <c r="O257" s="227"/>
      <c r="P257" s="227"/>
      <c r="Q257" s="227"/>
      <c r="R257" s="227"/>
      <c r="S257" s="227"/>
      <c r="T257" s="227"/>
      <c r="U257" s="227"/>
      <c r="V257" s="227"/>
    </row>
    <row r="258" spans="1:22" s="211" customFormat="1" ht="16.5" hidden="1">
      <c r="A258" s="227"/>
      <c r="B258" s="227"/>
      <c r="C258" s="227"/>
      <c r="D258" s="227"/>
      <c r="E258" s="210"/>
      <c r="F258" s="646"/>
      <c r="G258" s="652"/>
      <c r="H258" s="646"/>
      <c r="I258" s="653"/>
      <c r="J258" s="653"/>
      <c r="K258" s="653"/>
      <c r="L258" s="201"/>
      <c r="M258" s="227"/>
      <c r="N258" s="227"/>
      <c r="O258" s="227"/>
      <c r="P258" s="227"/>
      <c r="Q258" s="227"/>
      <c r="R258" s="227"/>
      <c r="S258" s="227"/>
      <c r="T258" s="227"/>
      <c r="U258" s="227"/>
      <c r="V258" s="227"/>
    </row>
    <row r="259" spans="1:22" s="211" customFormat="1" ht="16.5" hidden="1">
      <c r="A259" s="227"/>
      <c r="B259" s="227"/>
      <c r="C259" s="227"/>
      <c r="D259" s="227"/>
      <c r="E259" s="210"/>
      <c r="F259" s="646"/>
      <c r="G259" s="652"/>
      <c r="H259" s="646"/>
      <c r="I259" s="653"/>
      <c r="J259" s="653"/>
      <c r="K259" s="653"/>
      <c r="L259" s="201"/>
      <c r="M259" s="227"/>
      <c r="N259" s="227"/>
      <c r="O259" s="227"/>
      <c r="P259" s="227"/>
      <c r="Q259" s="227"/>
      <c r="R259" s="227"/>
      <c r="S259" s="227"/>
      <c r="T259" s="227"/>
      <c r="U259" s="227"/>
      <c r="V259" s="227"/>
    </row>
    <row r="260" spans="1:22" s="211" customFormat="1" ht="16.5" hidden="1">
      <c r="A260" s="227"/>
      <c r="B260" s="227"/>
      <c r="C260" s="227"/>
      <c r="D260" s="227"/>
      <c r="E260" s="210"/>
      <c r="F260" s="646"/>
      <c r="G260" s="652"/>
      <c r="H260" s="646"/>
      <c r="I260" s="653"/>
      <c r="J260" s="653"/>
      <c r="K260" s="653"/>
      <c r="L260" s="201"/>
      <c r="M260" s="227"/>
      <c r="N260" s="227"/>
      <c r="O260" s="227"/>
      <c r="P260" s="227"/>
      <c r="Q260" s="227"/>
      <c r="R260" s="227"/>
      <c r="S260" s="227"/>
      <c r="T260" s="227"/>
      <c r="U260" s="227"/>
      <c r="V260" s="227"/>
    </row>
    <row r="261" spans="1:22" s="211" customFormat="1" ht="16.5" hidden="1">
      <c r="A261" s="227"/>
      <c r="B261" s="227"/>
      <c r="C261" s="227"/>
      <c r="D261" s="227"/>
      <c r="E261" s="210"/>
      <c r="F261" s="646"/>
      <c r="G261" s="652"/>
      <c r="H261" s="646"/>
      <c r="I261" s="653"/>
      <c r="J261" s="653"/>
      <c r="K261" s="653"/>
      <c r="L261" s="201"/>
      <c r="M261" s="227"/>
      <c r="N261" s="227"/>
      <c r="O261" s="227"/>
      <c r="P261" s="227"/>
      <c r="Q261" s="227"/>
      <c r="R261" s="227"/>
      <c r="S261" s="227"/>
      <c r="T261" s="227"/>
      <c r="U261" s="227"/>
      <c r="V261" s="227"/>
    </row>
    <row r="262" spans="1:22" s="211" customFormat="1" ht="16.5" hidden="1">
      <c r="A262" s="227"/>
      <c r="B262" s="227"/>
      <c r="C262" s="227"/>
      <c r="D262" s="227"/>
      <c r="E262" s="210"/>
      <c r="F262" s="646"/>
      <c r="G262" s="652"/>
      <c r="H262" s="646"/>
      <c r="I262" s="653"/>
      <c r="J262" s="653"/>
      <c r="K262" s="653"/>
      <c r="L262" s="201"/>
      <c r="M262" s="227"/>
      <c r="N262" s="227"/>
      <c r="O262" s="227"/>
      <c r="P262" s="227"/>
      <c r="Q262" s="227"/>
      <c r="R262" s="227"/>
      <c r="S262" s="227"/>
      <c r="T262" s="227"/>
      <c r="U262" s="227"/>
      <c r="V262" s="227"/>
    </row>
    <row r="263" spans="1:22" s="211" customFormat="1" ht="16.5" hidden="1">
      <c r="A263" s="227"/>
      <c r="B263" s="227"/>
      <c r="C263" s="227"/>
      <c r="D263" s="227"/>
      <c r="E263" s="210"/>
      <c r="F263" s="646"/>
      <c r="G263" s="652"/>
      <c r="H263" s="646"/>
      <c r="I263" s="653"/>
      <c r="J263" s="653"/>
      <c r="K263" s="653"/>
      <c r="L263" s="201"/>
      <c r="M263" s="227"/>
      <c r="N263" s="227"/>
      <c r="O263" s="227"/>
      <c r="P263" s="227"/>
      <c r="Q263" s="227"/>
      <c r="R263" s="227"/>
      <c r="S263" s="227"/>
      <c r="T263" s="227"/>
      <c r="U263" s="227"/>
      <c r="V263" s="227"/>
    </row>
    <row r="264" spans="1:22" s="211" customFormat="1" ht="16.5" hidden="1">
      <c r="A264" s="227"/>
      <c r="B264" s="227"/>
      <c r="C264" s="227"/>
      <c r="D264" s="227"/>
      <c r="E264" s="210"/>
      <c r="F264" s="646"/>
      <c r="G264" s="652"/>
      <c r="H264" s="646"/>
      <c r="I264" s="653"/>
      <c r="J264" s="653"/>
      <c r="K264" s="653"/>
      <c r="L264" s="201"/>
      <c r="M264" s="227"/>
      <c r="N264" s="227"/>
      <c r="O264" s="227"/>
      <c r="P264" s="227"/>
      <c r="Q264" s="227"/>
      <c r="R264" s="227"/>
      <c r="S264" s="227"/>
      <c r="T264" s="227"/>
      <c r="U264" s="227"/>
      <c r="V264" s="227"/>
    </row>
    <row r="265" spans="1:22" s="211" customFormat="1" ht="16.5" hidden="1">
      <c r="A265" s="227"/>
      <c r="B265" s="227"/>
      <c r="C265" s="227"/>
      <c r="D265" s="227"/>
      <c r="E265" s="210"/>
      <c r="F265" s="646"/>
      <c r="G265" s="652"/>
      <c r="H265" s="646"/>
      <c r="I265" s="653"/>
      <c r="J265" s="653"/>
      <c r="K265" s="653"/>
      <c r="L265" s="201"/>
      <c r="M265" s="227"/>
      <c r="N265" s="227"/>
      <c r="O265" s="227"/>
      <c r="P265" s="227"/>
      <c r="Q265" s="227"/>
      <c r="R265" s="227"/>
      <c r="S265" s="227"/>
      <c r="T265" s="227"/>
      <c r="U265" s="227"/>
      <c r="V265" s="227"/>
    </row>
    <row r="266" spans="1:22" s="211" customFormat="1" ht="16.5" hidden="1">
      <c r="A266" s="227"/>
      <c r="B266" s="227"/>
      <c r="C266" s="227"/>
      <c r="D266" s="227"/>
      <c r="E266" s="210"/>
      <c r="F266" s="646"/>
      <c r="G266" s="652"/>
      <c r="H266" s="646"/>
      <c r="I266" s="653"/>
      <c r="J266" s="653"/>
      <c r="K266" s="653"/>
      <c r="L266" s="201"/>
      <c r="M266" s="227"/>
      <c r="N266" s="227"/>
      <c r="O266" s="227"/>
      <c r="P266" s="227"/>
      <c r="Q266" s="227"/>
      <c r="R266" s="227"/>
      <c r="S266" s="227"/>
      <c r="T266" s="227"/>
      <c r="U266" s="227"/>
      <c r="V266" s="227"/>
    </row>
    <row r="267" spans="1:22" s="211" customFormat="1" ht="16.5" hidden="1">
      <c r="A267" s="227"/>
      <c r="B267" s="227"/>
      <c r="C267" s="227"/>
      <c r="D267" s="227"/>
      <c r="E267" s="210"/>
      <c r="F267" s="646"/>
      <c r="G267" s="652"/>
      <c r="H267" s="646"/>
      <c r="I267" s="653"/>
      <c r="J267" s="653"/>
      <c r="K267" s="653"/>
      <c r="L267" s="201"/>
      <c r="M267" s="227"/>
      <c r="N267" s="227"/>
      <c r="O267" s="227"/>
      <c r="P267" s="227"/>
      <c r="Q267" s="227"/>
      <c r="R267" s="227"/>
      <c r="S267" s="227"/>
      <c r="T267" s="227"/>
      <c r="U267" s="227"/>
      <c r="V267" s="227"/>
    </row>
    <row r="268" spans="1:22" s="211" customFormat="1" ht="16.5" hidden="1">
      <c r="A268" s="227"/>
      <c r="B268" s="227"/>
      <c r="C268" s="227"/>
      <c r="D268" s="227"/>
      <c r="E268" s="210"/>
      <c r="F268" s="646"/>
      <c r="G268" s="652"/>
      <c r="H268" s="646"/>
      <c r="I268" s="653"/>
      <c r="J268" s="653"/>
      <c r="K268" s="653"/>
      <c r="L268" s="201"/>
      <c r="M268" s="227"/>
      <c r="N268" s="227"/>
      <c r="O268" s="227"/>
      <c r="P268" s="227"/>
      <c r="Q268" s="227"/>
      <c r="R268" s="227"/>
      <c r="S268" s="227"/>
      <c r="T268" s="227"/>
      <c r="U268" s="227"/>
      <c r="V268" s="227"/>
    </row>
    <row r="269" spans="1:22" s="211" customFormat="1" ht="16.5" hidden="1">
      <c r="A269" s="227"/>
      <c r="B269" s="227"/>
      <c r="C269" s="227"/>
      <c r="D269" s="227"/>
      <c r="E269" s="210"/>
      <c r="F269" s="646"/>
      <c r="G269" s="652"/>
      <c r="H269" s="646"/>
      <c r="I269" s="653"/>
      <c r="J269" s="653"/>
      <c r="K269" s="653"/>
      <c r="L269" s="201"/>
      <c r="M269" s="227"/>
      <c r="N269" s="227"/>
      <c r="O269" s="227"/>
      <c r="P269" s="227"/>
      <c r="Q269" s="227"/>
      <c r="R269" s="227"/>
      <c r="S269" s="227"/>
      <c r="T269" s="227"/>
      <c r="U269" s="227"/>
      <c r="V269" s="227"/>
    </row>
    <row r="270" spans="1:22" s="211" customFormat="1" ht="16.5" hidden="1">
      <c r="A270" s="227"/>
      <c r="B270" s="227"/>
      <c r="C270" s="227"/>
      <c r="D270" s="227"/>
      <c r="E270" s="210"/>
      <c r="F270" s="646"/>
      <c r="G270" s="652"/>
      <c r="H270" s="646"/>
      <c r="I270" s="653"/>
      <c r="J270" s="653"/>
      <c r="K270" s="653"/>
      <c r="L270" s="201"/>
      <c r="M270" s="227"/>
      <c r="N270" s="227"/>
      <c r="O270" s="227"/>
      <c r="P270" s="227"/>
      <c r="Q270" s="227"/>
      <c r="R270" s="227"/>
      <c r="S270" s="227"/>
      <c r="T270" s="227"/>
      <c r="U270" s="227"/>
      <c r="V270" s="227"/>
    </row>
    <row r="271" spans="1:22" s="211" customFormat="1" ht="16.5" hidden="1">
      <c r="A271" s="227"/>
      <c r="B271" s="227"/>
      <c r="C271" s="227"/>
      <c r="D271" s="227"/>
      <c r="E271" s="210"/>
      <c r="F271" s="646"/>
      <c r="G271" s="652"/>
      <c r="H271" s="646"/>
      <c r="I271" s="653"/>
      <c r="J271" s="653"/>
      <c r="K271" s="653"/>
      <c r="L271" s="201"/>
      <c r="M271" s="227"/>
      <c r="N271" s="227"/>
      <c r="O271" s="227"/>
      <c r="P271" s="227"/>
      <c r="Q271" s="227"/>
      <c r="R271" s="227"/>
      <c r="S271" s="227"/>
      <c r="T271" s="227"/>
      <c r="U271" s="227"/>
      <c r="V271" s="227"/>
    </row>
    <row r="272" spans="1:22" s="211" customFormat="1" ht="16.5" hidden="1">
      <c r="A272" s="227"/>
      <c r="B272" s="227"/>
      <c r="C272" s="227"/>
      <c r="D272" s="227"/>
      <c r="E272" s="210"/>
      <c r="F272" s="646"/>
      <c r="G272" s="652"/>
      <c r="H272" s="646"/>
      <c r="I272" s="653"/>
      <c r="J272" s="653"/>
      <c r="K272" s="653"/>
      <c r="L272" s="201"/>
      <c r="M272" s="227"/>
      <c r="N272" s="227"/>
      <c r="O272" s="227"/>
      <c r="P272" s="227"/>
      <c r="Q272" s="227"/>
      <c r="R272" s="227"/>
      <c r="S272" s="227"/>
      <c r="T272" s="227"/>
      <c r="U272" s="227"/>
      <c r="V272" s="227"/>
    </row>
    <row r="273" spans="1:25" s="211" customFormat="1" ht="16.5" hidden="1">
      <c r="A273" s="227"/>
      <c r="B273" s="227"/>
      <c r="C273" s="227"/>
      <c r="D273" s="227"/>
      <c r="E273" s="210"/>
      <c r="F273" s="646"/>
      <c r="G273" s="652"/>
      <c r="H273" s="646"/>
      <c r="I273" s="653"/>
      <c r="J273" s="653"/>
      <c r="K273" s="653"/>
      <c r="L273" s="201"/>
      <c r="M273" s="227"/>
      <c r="N273" s="227"/>
      <c r="O273" s="227"/>
      <c r="P273" s="227"/>
      <c r="Q273" s="227"/>
      <c r="R273" s="227"/>
      <c r="S273" s="227"/>
      <c r="T273" s="227"/>
      <c r="U273" s="227"/>
      <c r="V273" s="227"/>
    </row>
    <row r="274" spans="1:25" s="211" customFormat="1" ht="16.5" hidden="1">
      <c r="A274" s="227"/>
      <c r="B274" s="227"/>
      <c r="C274" s="227"/>
      <c r="D274" s="227"/>
      <c r="E274" s="210"/>
      <c r="F274" s="624"/>
      <c r="G274" s="625"/>
      <c r="H274" s="626"/>
      <c r="I274" s="655"/>
      <c r="J274" s="654"/>
      <c r="K274" s="654"/>
      <c r="L274" s="201"/>
      <c r="M274" s="227"/>
      <c r="N274" s="227"/>
      <c r="O274" s="227"/>
      <c r="P274" s="227"/>
      <c r="Q274" s="227"/>
      <c r="R274" s="227"/>
      <c r="S274" s="227"/>
      <c r="T274" s="227"/>
      <c r="U274" s="227"/>
      <c r="V274" s="227"/>
    </row>
    <row r="275" spans="1:25" s="211" customFormat="1" ht="16.5" hidden="1">
      <c r="A275" s="227"/>
      <c r="B275" s="227"/>
      <c r="C275" s="227"/>
      <c r="D275" s="227"/>
      <c r="E275" s="210"/>
      <c r="F275" s="624"/>
      <c r="G275" s="625"/>
      <c r="H275" s="626"/>
      <c r="I275" s="655"/>
      <c r="J275" s="654"/>
      <c r="K275" s="654"/>
      <c r="L275" s="201"/>
      <c r="M275" s="227"/>
      <c r="N275" s="227"/>
      <c r="O275" s="227"/>
      <c r="P275" s="227"/>
      <c r="Q275" s="227"/>
      <c r="R275" s="227"/>
      <c r="S275" s="227"/>
      <c r="T275" s="227"/>
      <c r="U275" s="227"/>
      <c r="V275" s="227"/>
    </row>
    <row r="276" spans="1:25" s="211" customFormat="1" ht="16.5" hidden="1">
      <c r="A276" s="227"/>
      <c r="B276" s="227"/>
      <c r="C276" s="227"/>
      <c r="D276" s="227"/>
      <c r="E276" s="210"/>
      <c r="F276" s="624"/>
      <c r="G276" s="625"/>
      <c r="H276" s="626"/>
      <c r="I276" s="655"/>
      <c r="J276" s="654"/>
      <c r="K276" s="654"/>
      <c r="L276" s="201"/>
      <c r="M276" s="227"/>
      <c r="N276" s="227"/>
      <c r="O276" s="227"/>
      <c r="P276" s="227"/>
      <c r="Q276" s="227"/>
      <c r="R276" s="227"/>
      <c r="S276" s="227"/>
      <c r="T276" s="227"/>
      <c r="U276" s="227"/>
      <c r="V276" s="227"/>
    </row>
    <row r="277" spans="1:25" s="211" customFormat="1" ht="16.5" hidden="1">
      <c r="A277" s="227"/>
      <c r="B277" s="227"/>
      <c r="C277" s="227"/>
      <c r="D277" s="227"/>
      <c r="E277" s="210"/>
      <c r="F277" s="624"/>
      <c r="G277" s="625"/>
      <c r="H277" s="626"/>
      <c r="I277" s="655"/>
      <c r="J277" s="654"/>
      <c r="K277" s="654"/>
      <c r="L277" s="201"/>
      <c r="M277" s="227"/>
      <c r="N277" s="227"/>
      <c r="O277" s="227"/>
      <c r="P277" s="227"/>
      <c r="Q277" s="227"/>
      <c r="R277" s="227"/>
      <c r="S277" s="227"/>
      <c r="T277" s="227"/>
      <c r="U277" s="227"/>
      <c r="V277" s="227"/>
    </row>
    <row r="278" spans="1:25" s="211" customFormat="1" ht="16.5" hidden="1">
      <c r="A278" s="227"/>
      <c r="B278" s="227"/>
      <c r="C278" s="227"/>
      <c r="D278" s="227"/>
      <c r="E278" s="210"/>
      <c r="F278" s="624"/>
      <c r="G278" s="625"/>
      <c r="H278" s="626"/>
      <c r="I278" s="655"/>
      <c r="J278" s="654"/>
      <c r="K278" s="654"/>
      <c r="L278" s="201"/>
      <c r="M278" s="227"/>
      <c r="N278" s="227"/>
      <c r="O278" s="227"/>
      <c r="P278" s="227"/>
      <c r="Q278" s="227"/>
      <c r="R278" s="227"/>
      <c r="S278" s="227"/>
      <c r="T278" s="227"/>
      <c r="U278" s="227"/>
      <c r="V278" s="227"/>
    </row>
    <row r="279" spans="1:25" s="211" customFormat="1" ht="16.5" hidden="1">
      <c r="A279" s="227"/>
      <c r="B279" s="227"/>
      <c r="C279" s="227"/>
      <c r="D279" s="227"/>
      <c r="E279" s="210"/>
      <c r="F279" s="624"/>
      <c r="G279" s="625"/>
      <c r="H279" s="626"/>
      <c r="I279" s="655"/>
      <c r="J279" s="654"/>
      <c r="K279" s="654"/>
      <c r="L279" s="201"/>
      <c r="M279" s="227"/>
      <c r="N279" s="227"/>
      <c r="O279" s="227"/>
      <c r="P279" s="227"/>
      <c r="Q279" s="227"/>
      <c r="R279" s="227"/>
      <c r="S279" s="227"/>
      <c r="T279" s="227"/>
      <c r="U279" s="227"/>
      <c r="V279" s="227"/>
    </row>
    <row r="280" spans="1:25" s="211" customFormat="1" ht="16.5" hidden="1">
      <c r="A280" s="227"/>
      <c r="B280" s="227"/>
      <c r="C280" s="227"/>
      <c r="D280" s="227"/>
      <c r="E280" s="210"/>
      <c r="F280" s="624"/>
      <c r="G280" s="625"/>
      <c r="H280" s="626"/>
      <c r="I280" s="655"/>
      <c r="J280" s="654"/>
      <c r="K280" s="654"/>
      <c r="L280" s="201"/>
      <c r="M280" s="227"/>
      <c r="N280" s="227"/>
      <c r="O280" s="227"/>
      <c r="P280" s="227"/>
      <c r="Q280" s="227"/>
      <c r="R280" s="227"/>
      <c r="S280" s="227"/>
      <c r="T280" s="227"/>
      <c r="U280" s="227"/>
      <c r="V280" s="227"/>
    </row>
    <row r="281" spans="1:25" s="211" customFormat="1" ht="16.5" hidden="1">
      <c r="A281" s="227"/>
      <c r="B281" s="227"/>
      <c r="C281" s="227"/>
      <c r="D281" s="227"/>
      <c r="E281" s="210"/>
      <c r="F281" s="624"/>
      <c r="G281" s="625"/>
      <c r="H281" s="626"/>
      <c r="I281" s="655"/>
      <c r="J281" s="654"/>
      <c r="K281" s="654"/>
      <c r="L281" s="201"/>
      <c r="M281" s="227"/>
      <c r="N281" s="227"/>
      <c r="O281" s="227"/>
      <c r="P281" s="227"/>
      <c r="Q281" s="227"/>
      <c r="R281" s="227"/>
      <c r="S281" s="227"/>
      <c r="T281" s="227"/>
      <c r="U281" s="227"/>
      <c r="V281" s="227"/>
    </row>
    <row r="282" spans="1:25" s="211" customFormat="1" ht="16.5" hidden="1">
      <c r="A282" s="227"/>
      <c r="B282" s="227"/>
      <c r="C282" s="227"/>
      <c r="D282" s="227"/>
      <c r="E282" s="210"/>
      <c r="F282" s="624"/>
      <c r="G282" s="625"/>
      <c r="H282" s="626"/>
      <c r="I282" s="655"/>
      <c r="J282" s="654"/>
      <c r="K282" s="654"/>
      <c r="L282" s="201"/>
      <c r="M282" s="227"/>
      <c r="N282" s="227"/>
      <c r="O282" s="227"/>
      <c r="P282" s="227"/>
      <c r="Q282" s="227"/>
      <c r="R282" s="227"/>
      <c r="S282" s="227"/>
      <c r="T282" s="227"/>
      <c r="U282" s="227"/>
      <c r="V282" s="227"/>
    </row>
    <row r="283" spans="1:25" s="211" customFormat="1" ht="16.5">
      <c r="A283" s="227"/>
      <c r="B283" s="227"/>
      <c r="C283" s="227"/>
      <c r="D283" s="227"/>
      <c r="E283" s="210"/>
      <c r="F283" s="671"/>
      <c r="G283" s="310"/>
      <c r="H283" s="313"/>
      <c r="I283" s="687"/>
      <c r="J283" s="688"/>
      <c r="K283" s="688"/>
      <c r="L283" s="201"/>
      <c r="M283" s="227"/>
      <c r="N283" s="227"/>
      <c r="O283" s="227"/>
      <c r="P283" s="227"/>
      <c r="Q283" s="227"/>
      <c r="R283" s="227"/>
      <c r="S283" s="227"/>
      <c r="T283" s="227"/>
      <c r="U283" s="227"/>
      <c r="V283" s="227"/>
    </row>
    <row r="284" spans="1:25" s="211" customFormat="1" ht="16.5">
      <c r="A284" s="227"/>
      <c r="B284" s="227"/>
      <c r="C284" s="227"/>
      <c r="D284" s="227"/>
      <c r="E284" s="223" t="str">
        <f>IF(E44&lt;&gt;"","7/","6/")</f>
        <v>7/</v>
      </c>
      <c r="F284" s="208" t="s">
        <v>4381</v>
      </c>
      <c r="G284" s="224"/>
      <c r="H284" s="224"/>
      <c r="I284" s="224"/>
      <c r="J284" s="224"/>
      <c r="K284" s="210"/>
      <c r="L284" s="210"/>
      <c r="M284" s="227"/>
      <c r="N284" s="227"/>
      <c r="O284" s="227"/>
      <c r="P284" s="227"/>
      <c r="Q284" s="227"/>
      <c r="R284" s="227"/>
      <c r="S284" s="227"/>
      <c r="T284" s="227"/>
      <c r="U284" s="227"/>
      <c r="V284" s="227"/>
    </row>
    <row r="285" spans="1:25" s="211" customFormat="1" ht="20.25" customHeight="1">
      <c r="A285" s="227"/>
      <c r="B285" s="227"/>
      <c r="C285" s="227"/>
      <c r="D285" s="227"/>
      <c r="E285" s="223" t="str">
        <f>IF(E44&lt;&gt;"","8/","7/")</f>
        <v>8/</v>
      </c>
      <c r="F285" s="208" t="s">
        <v>4383</v>
      </c>
      <c r="G285" s="225"/>
      <c r="H285" s="225"/>
      <c r="I285" s="225"/>
      <c r="J285" s="225"/>
      <c r="K285" s="210"/>
      <c r="L285" s="210"/>
      <c r="M285" s="227"/>
      <c r="N285" s="227"/>
      <c r="O285" s="227"/>
      <c r="P285" s="227"/>
      <c r="Q285" s="227"/>
      <c r="R285" s="227"/>
      <c r="S285" s="227"/>
      <c r="T285" s="227"/>
      <c r="U285" s="227"/>
      <c r="V285" s="227"/>
      <c r="W285" s="1634"/>
      <c r="X285" s="1634"/>
      <c r="Y285" s="1634"/>
    </row>
    <row r="286" spans="1:25" ht="16.5">
      <c r="A286" s="227"/>
      <c r="B286" s="227"/>
      <c r="C286" s="227"/>
      <c r="D286" s="227"/>
      <c r="E286" s="1635" t="s">
        <v>446</v>
      </c>
      <c r="F286" s="1635"/>
      <c r="G286" s="1635"/>
      <c r="H286" s="256"/>
      <c r="I286" s="1635" t="s">
        <v>447</v>
      </c>
      <c r="J286" s="1635"/>
      <c r="K286" s="1635"/>
      <c r="L286" s="1635"/>
      <c r="M286" s="227"/>
      <c r="N286" s="227"/>
      <c r="O286" s="227"/>
      <c r="P286" s="227"/>
      <c r="Q286" s="227"/>
      <c r="R286" s="227"/>
      <c r="S286" s="227"/>
      <c r="T286" s="227"/>
      <c r="U286" s="227"/>
      <c r="V286" s="227"/>
    </row>
    <row r="287" spans="1:25" ht="16.5">
      <c r="A287" s="227"/>
      <c r="B287" s="227"/>
      <c r="C287" s="227"/>
      <c r="D287" s="227"/>
      <c r="E287" s="224"/>
      <c r="F287" s="224"/>
      <c r="G287" s="434"/>
      <c r="H287" s="434"/>
      <c r="I287" s="224"/>
      <c r="J287" s="224"/>
      <c r="K287" s="224"/>
      <c r="L287" s="224"/>
      <c r="M287" s="227"/>
      <c r="N287" s="227"/>
      <c r="O287" s="227"/>
      <c r="P287" s="227"/>
      <c r="Q287" s="227"/>
      <c r="R287" s="227"/>
      <c r="S287" s="227"/>
      <c r="T287" s="227"/>
      <c r="U287" s="227"/>
      <c r="V287" s="227"/>
    </row>
    <row r="288" spans="1:25" ht="16.5">
      <c r="A288" s="227"/>
      <c r="B288" s="227"/>
      <c r="C288" s="227"/>
      <c r="D288" s="227"/>
      <c r="E288" s="224"/>
      <c r="F288" s="224"/>
      <c r="G288" s="434"/>
      <c r="H288" s="434"/>
      <c r="I288" s="224"/>
      <c r="J288" s="224"/>
      <c r="K288" s="224"/>
      <c r="L288" s="224"/>
      <c r="M288" s="227"/>
      <c r="N288" s="227"/>
      <c r="O288" s="227"/>
      <c r="P288" s="227"/>
      <c r="Q288" s="227"/>
      <c r="R288" s="227"/>
      <c r="S288" s="227"/>
      <c r="T288" s="227"/>
      <c r="U288" s="227"/>
      <c r="V288" s="227"/>
    </row>
    <row r="289" spans="1:22" ht="16.5">
      <c r="A289" s="227"/>
      <c r="B289" s="227"/>
      <c r="C289" s="227"/>
      <c r="D289" s="227"/>
      <c r="E289" s="224"/>
      <c r="F289" s="224"/>
      <c r="G289" s="434"/>
      <c r="H289" s="434"/>
      <c r="I289" s="224"/>
      <c r="J289" s="224"/>
      <c r="K289" s="224"/>
      <c r="L289" s="224"/>
      <c r="M289" s="227"/>
      <c r="N289" s="227"/>
      <c r="O289" s="227"/>
      <c r="P289" s="227"/>
      <c r="Q289" s="227"/>
      <c r="R289" s="227"/>
      <c r="S289" s="227"/>
      <c r="T289" s="227"/>
      <c r="U289" s="227"/>
      <c r="V289" s="227"/>
    </row>
    <row r="290" spans="1:22" ht="16.5">
      <c r="A290" s="227"/>
      <c r="B290" s="227"/>
      <c r="C290" s="227"/>
      <c r="D290" s="227"/>
      <c r="E290" s="224"/>
      <c r="F290" s="224"/>
      <c r="G290" s="224"/>
      <c r="H290" s="224"/>
      <c r="I290" s="224"/>
      <c r="J290" s="224"/>
      <c r="K290" s="224"/>
      <c r="L290" s="224"/>
      <c r="M290" s="227"/>
      <c r="N290" s="227"/>
      <c r="O290" s="227"/>
      <c r="P290" s="227"/>
      <c r="Q290" s="227"/>
      <c r="R290" s="227"/>
      <c r="S290" s="227"/>
      <c r="T290" s="227"/>
      <c r="U290" s="227"/>
      <c r="V290" s="227"/>
    </row>
    <row r="291" spans="1:22" ht="16.5">
      <c r="A291" s="227"/>
      <c r="B291" s="227"/>
      <c r="C291" s="227"/>
      <c r="D291" s="227"/>
      <c r="E291" s="1635" t="str">
        <f>CBGS1</f>
        <v>Trần Trọng Liêm</v>
      </c>
      <c r="F291" s="1635"/>
      <c r="G291" s="1635"/>
      <c r="H291" s="256"/>
      <c r="I291" s="1635" t="str">
        <f>CBKT1</f>
        <v>Hoàng Đình Tảng</v>
      </c>
      <c r="J291" s="1635"/>
      <c r="K291" s="1635"/>
      <c r="L291" s="1635"/>
      <c r="M291" s="227"/>
      <c r="N291" s="227"/>
      <c r="O291" s="227"/>
      <c r="P291" s="227"/>
      <c r="Q291" s="227"/>
      <c r="R291" s="227"/>
      <c r="S291" s="227"/>
      <c r="T291" s="227"/>
      <c r="U291" s="227"/>
      <c r="V291" s="227"/>
    </row>
    <row r="292" spans="1:22" ht="16.5">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sheetData>
  <mergeCells count="37">
    <mergeCell ref="E291:G291"/>
    <mergeCell ref="I291:L291"/>
    <mergeCell ref="G37:H38"/>
    <mergeCell ref="G39:H39"/>
    <mergeCell ref="G40:H40"/>
    <mergeCell ref="G41:H41"/>
    <mergeCell ref="G42:H42"/>
    <mergeCell ref="K37:K38"/>
    <mergeCell ref="F37:F38"/>
    <mergeCell ref="I37:J37"/>
    <mergeCell ref="W285:Y285"/>
    <mergeCell ref="E286:G286"/>
    <mergeCell ref="I286:L286"/>
    <mergeCell ref="F36:G36"/>
    <mergeCell ref="F45:K45"/>
    <mergeCell ref="F46:K54"/>
    <mergeCell ref="F30:L30"/>
    <mergeCell ref="E21:L21"/>
    <mergeCell ref="E25:L25"/>
    <mergeCell ref="E18:L18"/>
    <mergeCell ref="E19:L19"/>
    <mergeCell ref="E33:L33"/>
    <mergeCell ref="E34:L34"/>
    <mergeCell ref="E35:L35"/>
    <mergeCell ref="E8:L8"/>
    <mergeCell ref="E1:L1"/>
    <mergeCell ref="E2:L2"/>
    <mergeCell ref="E3:L3"/>
    <mergeCell ref="E5:L5"/>
    <mergeCell ref="E6:L6"/>
    <mergeCell ref="E7:L7"/>
    <mergeCell ref="F31:L31"/>
    <mergeCell ref="E10:L10"/>
    <mergeCell ref="E12:L12"/>
    <mergeCell ref="E13:L13"/>
    <mergeCell ref="E14:L14"/>
    <mergeCell ref="E15:L15"/>
  </mergeCells>
  <dataValidations count="4">
    <dataValidation allowBlank="1" showInputMessage="1" showErrorMessage="1" prompt="Ô chứa hình minh hoạ" sqref="A3" xr:uid="{00000000-0002-0000-2B00-000000000000}"/>
    <dataValidation allowBlank="1" showInputMessage="1" showErrorMessage="1" prompt="Ô chứa tên nội dung kiểm tra" sqref="B1" xr:uid="{00000000-0002-0000-2B00-000001000000}"/>
    <dataValidation allowBlank="1" showInputMessage="1" showErrorMessage="1" prompt="Ô đầu tiên của bảng" sqref="B2" xr:uid="{00000000-0002-0000-2B00-000002000000}"/>
    <dataValidation allowBlank="1" showInputMessage="1" showErrorMessage="1" prompt="Ô cuối bảng" sqref="B3" xr:uid="{00000000-0002-0000-2B00-000003000000}"/>
  </dataValidations>
  <pageMargins left="0.70866141732283472" right="0.39370078740157483" top="0.47244094488188981" bottom="0.46" header="0.55118110236220474" footer="0.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2353" r:id="rId4" name="Spinner 1">
              <controlPr defaultSize="0" autoPict="0" macro="[0]!BBKT_Homong_Spinner1_Change">
                <anchor moveWithCells="1" sizeWithCells="1">
                  <from>
                    <xdr:col>14</xdr:col>
                    <xdr:colOff>133350</xdr:colOff>
                    <xdr:row>0</xdr:row>
                    <xdr:rowOff>0</xdr:rowOff>
                  </from>
                  <to>
                    <xdr:col>14</xdr:col>
                    <xdr:colOff>400050</xdr:colOff>
                    <xdr:row>2</xdr:row>
                    <xdr:rowOff>133350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9"/>
  <dimension ref="A1:W188"/>
  <sheetViews>
    <sheetView showGridLines="0" zoomScaleNormal="100" workbookViewId="0">
      <pane xSplit="23" ySplit="4" topLeftCell="X15" activePane="bottomRight" state="frozen"/>
      <selection pane="topRight" activeCell="Y1" sqref="Y1"/>
      <selection pane="bottomLeft" activeCell="A5" sqref="A5"/>
      <selection pane="bottomRight" activeCell="C12" sqref="C12"/>
    </sheetView>
  </sheetViews>
  <sheetFormatPr defaultRowHeight="15.75"/>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13.109375" style="202" customWidth="1"/>
    <col min="8" max="8" width="7.109375" style="202" customWidth="1"/>
    <col min="9" max="9" width="6.33203125" style="202" customWidth="1"/>
    <col min="10" max="11" width="6.44140625" style="202" customWidth="1"/>
    <col min="12" max="13" width="6.109375" style="202" customWidth="1"/>
    <col min="14" max="14" width="6.5546875" style="202" customWidth="1"/>
    <col min="15" max="15" width="6.6640625" style="202" customWidth="1"/>
    <col min="16" max="16" width="7.33203125" style="202" customWidth="1"/>
    <col min="17" max="17" width="1.77734375" style="202" customWidth="1"/>
    <col min="18" max="18" width="4.21875" style="202" customWidth="1"/>
    <col min="19" max="19" width="4.5546875" style="202" customWidth="1"/>
    <col min="20" max="16384" width="8.88671875" style="202"/>
  </cols>
  <sheetData>
    <row r="1" spans="1:23" ht="20.25">
      <c r="A1" s="1258" t="str">
        <f>IFERROR(MID(VLOOKUP($S$2,LIST_BBKT_DAP!$A$6:$H$700,8,0),1,FIND("/",VLOOKUP($S$2,LIST_BBKT_DAP!$A$6:$H$700,8,0))-1),"")</f>
        <v/>
      </c>
      <c r="B1" s="1258" t="str">
        <f ca="1">SUBSTITUTE(CELL("address",F47),"$","")</f>
        <v>F47</v>
      </c>
      <c r="C1" s="736"/>
      <c r="D1" s="227"/>
      <c r="E1" s="1623" t="str">
        <f>E10</f>
        <v>BIÊN BẢN KIỂM TRA CAO ĐỘ, KÍCH THƯỚC HÌNH HỌC ĐẮP ĐẤT</v>
      </c>
      <c r="F1" s="1623"/>
      <c r="G1" s="1623"/>
      <c r="H1" s="1623"/>
      <c r="I1" s="1623"/>
      <c r="J1" s="1623"/>
      <c r="K1" s="1623"/>
      <c r="L1" s="1623"/>
      <c r="M1" s="1623"/>
      <c r="N1" s="1623"/>
      <c r="O1" s="1623"/>
      <c r="P1" s="1623"/>
      <c r="Q1" s="1623"/>
      <c r="R1" s="227"/>
      <c r="S1" s="227"/>
      <c r="T1" s="227"/>
      <c r="U1" s="736"/>
      <c r="V1" s="736"/>
      <c r="W1" s="736"/>
    </row>
    <row r="2" spans="1:23" ht="16.5">
      <c r="A2" s="1258" t="str">
        <f>IFERROR(MID(VLOOKUP($S$2,LIST_BBKT_DAP!$A$6:$H$700,8,0),FIND("/",VLOOKUP($S$2,LIST_BBKT_DAP!$A$6:$H$700,8,0))+1,100),"")</f>
        <v/>
      </c>
      <c r="B2" s="1258" t="str">
        <f ca="1">SUBSTITUTE(CELL("address",F61),"$","")</f>
        <v>F61</v>
      </c>
      <c r="C2" s="736">
        <f>ROW(F167)</f>
        <v>167</v>
      </c>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1624"/>
      <c r="N2" s="1624"/>
      <c r="O2" s="1624"/>
      <c r="P2" s="1624"/>
      <c r="Q2" s="1624"/>
      <c r="R2" s="227"/>
      <c r="S2" s="294">
        <v>1</v>
      </c>
      <c r="T2" s="227"/>
      <c r="U2" s="736"/>
      <c r="V2" s="736"/>
      <c r="W2" s="736"/>
    </row>
    <row r="3" spans="1:23" ht="16.5">
      <c r="A3" s="1259" t="str">
        <f ca="1">SUBSTITUTE(CELL("address",F49),"$","")</f>
        <v>F49</v>
      </c>
      <c r="B3" s="1258" t="str">
        <f ca="1">SUBSTITUTE(CELL("address",F164),"$","")</f>
        <v>F164</v>
      </c>
      <c r="C3" s="736">
        <f>+ROW(E173)</f>
        <v>173</v>
      </c>
      <c r="D3" s="227"/>
      <c r="E3" s="1624" t="str">
        <f>"     Địa điểm XD: "&amp;DDXD</f>
        <v xml:space="preserve">     Địa điểm XD: Huyện Ninh Hải - Tỉnh Ninh Thuận</v>
      </c>
      <c r="F3" s="1624"/>
      <c r="G3" s="1624"/>
      <c r="H3" s="1624"/>
      <c r="I3" s="1624"/>
      <c r="J3" s="1624"/>
      <c r="K3" s="1624"/>
      <c r="L3" s="1624"/>
      <c r="M3" s="1624"/>
      <c r="N3" s="1624"/>
      <c r="O3" s="1624"/>
      <c r="P3" s="1624"/>
      <c r="Q3" s="1624"/>
      <c r="R3" s="227"/>
      <c r="S3" s="227"/>
      <c r="T3" s="227"/>
      <c r="U3" s="736"/>
      <c r="V3" s="736"/>
      <c r="W3" s="736"/>
    </row>
    <row r="4" spans="1:23" ht="13.5" customHeight="1">
      <c r="A4" s="1260"/>
      <c r="B4" s="736"/>
      <c r="C4" s="736"/>
      <c r="D4" s="227"/>
      <c r="E4" s="227"/>
      <c r="F4" s="227"/>
      <c r="G4" s="227"/>
      <c r="H4" s="227"/>
      <c r="I4" s="227"/>
      <c r="J4" s="227"/>
      <c r="K4" s="227"/>
      <c r="L4" s="227"/>
      <c r="M4" s="227"/>
      <c r="N4" s="227"/>
      <c r="O4" s="227"/>
      <c r="P4" s="227"/>
      <c r="Q4" s="227"/>
      <c r="R4" s="227"/>
      <c r="S4" s="227"/>
      <c r="T4" s="227"/>
      <c r="U4" s="736"/>
      <c r="V4" s="736"/>
      <c r="W4" s="736"/>
    </row>
    <row r="5" spans="1:23" ht="16.5">
      <c r="A5" s="746"/>
      <c r="B5" s="746"/>
      <c r="C5" s="746"/>
      <c r="D5" s="227"/>
      <c r="E5" s="1625" t="s">
        <v>158</v>
      </c>
      <c r="F5" s="1625"/>
      <c r="G5" s="1625"/>
      <c r="H5" s="1625"/>
      <c r="I5" s="1625"/>
      <c r="J5" s="1625"/>
      <c r="K5" s="1625"/>
      <c r="L5" s="1625"/>
      <c r="M5" s="1625"/>
      <c r="N5" s="1625"/>
      <c r="O5" s="1625"/>
      <c r="P5" s="1625"/>
      <c r="Q5" s="1625"/>
      <c r="R5" s="227"/>
      <c r="S5" s="227"/>
      <c r="T5" s="227"/>
      <c r="U5" s="736"/>
      <c r="V5" s="736"/>
      <c r="W5" s="736"/>
    </row>
    <row r="6" spans="1:23" ht="15" customHeight="1">
      <c r="A6" s="227"/>
      <c r="B6" s="227"/>
      <c r="C6" s="227"/>
      <c r="D6" s="227"/>
      <c r="E6" s="1626" t="s">
        <v>161</v>
      </c>
      <c r="F6" s="1626"/>
      <c r="G6" s="1626"/>
      <c r="H6" s="1626"/>
      <c r="I6" s="1626"/>
      <c r="J6" s="1626"/>
      <c r="K6" s="1626"/>
      <c r="L6" s="1626"/>
      <c r="M6" s="1626"/>
      <c r="N6" s="1626"/>
      <c r="O6" s="1626"/>
      <c r="P6" s="1626"/>
      <c r="Q6" s="1626"/>
      <c r="R6" s="227"/>
      <c r="S6" s="227"/>
      <c r="T6" s="227"/>
      <c r="U6" s="736"/>
      <c r="V6" s="736"/>
      <c r="W6" s="736"/>
    </row>
    <row r="7" spans="1:23" ht="6.75" customHeight="1">
      <c r="A7" s="227"/>
      <c r="B7" s="227"/>
      <c r="C7" s="227"/>
      <c r="D7" s="227"/>
      <c r="E7" s="1627"/>
      <c r="F7" s="1627"/>
      <c r="G7" s="1627"/>
      <c r="H7" s="1627"/>
      <c r="I7" s="1627"/>
      <c r="J7" s="1627"/>
      <c r="K7" s="1627"/>
      <c r="L7" s="1627"/>
      <c r="M7" s="1627"/>
      <c r="N7" s="1627"/>
      <c r="O7" s="1627"/>
      <c r="P7" s="1627"/>
      <c r="Q7" s="1627"/>
      <c r="R7" s="227"/>
      <c r="S7" s="227"/>
      <c r="T7" s="227"/>
      <c r="U7" s="736"/>
      <c r="V7" s="736"/>
      <c r="W7" s="736"/>
    </row>
    <row r="8" spans="1:23" ht="16.5">
      <c r="A8" s="227"/>
      <c r="B8" s="227"/>
      <c r="C8" s="227"/>
      <c r="D8" s="227"/>
      <c r="E8" s="205"/>
      <c r="F8" s="205"/>
      <c r="G8" s="1622" t="str">
        <f>Diadanh&amp;", "&amp;IFERROR(Doingay(VLOOKUP($S$2,LIST_BBKT_DAP!$A$6:$H$700,6,0))," ngày ….. tháng ….. năm …..")</f>
        <v>Ninh Hải,  ngày ..... tháng ..... năm .....</v>
      </c>
      <c r="H8" s="1622"/>
      <c r="I8" s="1622"/>
      <c r="J8" s="1622"/>
      <c r="K8" s="1622"/>
      <c r="L8" s="1622"/>
      <c r="M8" s="1622"/>
      <c r="N8" s="1622"/>
      <c r="O8" s="1622"/>
      <c r="P8" s="1622"/>
      <c r="Q8" s="1622"/>
      <c r="R8" s="227"/>
      <c r="S8" s="227"/>
      <c r="T8" s="227"/>
      <c r="U8" s="736"/>
      <c r="V8" s="736"/>
      <c r="W8" s="736"/>
    </row>
    <row r="9" spans="1:23" ht="9.75" customHeight="1">
      <c r="A9" s="227"/>
      <c r="B9" s="227"/>
      <c r="C9" s="227"/>
      <c r="D9" s="227"/>
      <c r="E9" s="205"/>
      <c r="F9" s="205"/>
      <c r="G9" s="666"/>
      <c r="H9" s="731"/>
      <c r="I9" s="666"/>
      <c r="J9" s="666"/>
      <c r="K9" s="666"/>
      <c r="L9" s="666"/>
      <c r="M9" s="666"/>
      <c r="N9" s="666"/>
      <c r="O9" s="666"/>
      <c r="P9" s="666"/>
      <c r="Q9" s="666"/>
      <c r="R9" s="227"/>
      <c r="S9" s="227"/>
      <c r="T9" s="227"/>
      <c r="U9" s="736"/>
      <c r="V9" s="736"/>
      <c r="W9" s="736"/>
    </row>
    <row r="10" spans="1:23" ht="20.25">
      <c r="A10" s="227"/>
      <c r="B10" s="227"/>
      <c r="C10" s="227"/>
      <c r="D10" s="227"/>
      <c r="E10" s="1657" t="s">
        <v>4319</v>
      </c>
      <c r="F10" s="1657"/>
      <c r="G10" s="1657"/>
      <c r="H10" s="1657"/>
      <c r="I10" s="1657"/>
      <c r="J10" s="1657"/>
      <c r="K10" s="1657"/>
      <c r="L10" s="1657"/>
      <c r="M10" s="1657"/>
      <c r="N10" s="1657"/>
      <c r="O10" s="1657"/>
      <c r="P10" s="1657"/>
      <c r="Q10" s="1657"/>
      <c r="R10" s="227"/>
      <c r="S10" s="227"/>
      <c r="T10" s="227"/>
      <c r="U10" s="736"/>
      <c r="V10" s="736"/>
      <c r="W10" s="736"/>
    </row>
    <row r="11" spans="1:23" ht="11.25" customHeight="1">
      <c r="A11" s="227"/>
      <c r="B11" s="227"/>
      <c r="C11" s="227"/>
      <c r="D11" s="227"/>
      <c r="E11" s="663"/>
      <c r="F11" s="663"/>
      <c r="G11" s="663"/>
      <c r="H11" s="730"/>
      <c r="I11" s="663"/>
      <c r="J11" s="663"/>
      <c r="K11" s="663"/>
      <c r="L11" s="663"/>
      <c r="M11" s="663"/>
      <c r="N11" s="663"/>
      <c r="O11" s="663"/>
      <c r="P11" s="663"/>
      <c r="Q11" s="663"/>
      <c r="R11" s="227"/>
      <c r="S11" s="227"/>
      <c r="T11" s="227"/>
      <c r="U11" s="736"/>
      <c r="V11" s="736"/>
      <c r="W11" s="736"/>
    </row>
    <row r="12" spans="1:23"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1630"/>
      <c r="N12" s="1630"/>
      <c r="O12" s="1630"/>
      <c r="P12" s="1630"/>
      <c r="Q12" s="1630"/>
      <c r="R12" s="227"/>
      <c r="S12" s="227"/>
      <c r="T12" s="227"/>
      <c r="U12" s="736">
        <f>ROW()</f>
        <v>12</v>
      </c>
      <c r="V12" s="736">
        <f>ROW(E12)</f>
        <v>12</v>
      </c>
      <c r="W12" s="736"/>
    </row>
    <row r="13" spans="1:23" ht="20.100000000000001" hidden="1" customHeight="1">
      <c r="A13" s="227"/>
      <c r="B13" s="227"/>
      <c r="C13" s="227"/>
      <c r="D13" s="227"/>
      <c r="E13" s="1630" t="str">
        <f>IF(NDtieude2&lt;&gt;"",Tieude2&amp;": "&amp;NDtieude2,"")</f>
        <v/>
      </c>
      <c r="F13" s="1630"/>
      <c r="G13" s="1630"/>
      <c r="H13" s="1630"/>
      <c r="I13" s="1630"/>
      <c r="J13" s="1630"/>
      <c r="K13" s="1630"/>
      <c r="L13" s="1630"/>
      <c r="M13" s="1630"/>
      <c r="N13" s="1630"/>
      <c r="O13" s="1630"/>
      <c r="P13" s="1630"/>
      <c r="Q13" s="1630"/>
      <c r="R13" s="227"/>
      <c r="S13" s="227"/>
      <c r="T13" s="227"/>
      <c r="U13" s="736">
        <f>ROW()</f>
        <v>13</v>
      </c>
      <c r="V13" s="736">
        <f>ROW(E13)</f>
        <v>13</v>
      </c>
      <c r="W13" s="736"/>
    </row>
    <row r="14" spans="1:23" ht="20.100000000000001" customHeight="1">
      <c r="A14" s="227"/>
      <c r="B14" s="227"/>
      <c r="C14" s="227"/>
      <c r="D14" s="227"/>
      <c r="E14" s="1630" t="str">
        <f>IF(NDtieude3&lt;&gt;"",Tieude3&amp;": "&amp;NDtieude3,"")</f>
        <v>Hạng mục: Kênh và Công trình trên kênh</v>
      </c>
      <c r="F14" s="1630"/>
      <c r="G14" s="1630"/>
      <c r="H14" s="1630"/>
      <c r="I14" s="1630"/>
      <c r="J14" s="1630"/>
      <c r="K14" s="1630"/>
      <c r="L14" s="1630"/>
      <c r="M14" s="1630"/>
      <c r="N14" s="1630"/>
      <c r="O14" s="1630"/>
      <c r="P14" s="1630"/>
      <c r="Q14" s="1630"/>
      <c r="R14" s="227"/>
      <c r="S14" s="227"/>
      <c r="T14" s="227"/>
      <c r="U14" s="736">
        <f>ROW()</f>
        <v>14</v>
      </c>
      <c r="V14" s="736">
        <f>ROW(E14)</f>
        <v>14</v>
      </c>
      <c r="W14" s="736"/>
    </row>
    <row r="15" spans="1:23" ht="22.5"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1630"/>
      <c r="N15" s="1630"/>
      <c r="O15" s="1630"/>
      <c r="P15" s="1630"/>
      <c r="Q15" s="1630"/>
      <c r="R15" s="227"/>
      <c r="S15" s="227"/>
      <c r="T15" s="227"/>
      <c r="U15" s="736"/>
      <c r="V15" s="736">
        <f>ROW(E15)</f>
        <v>15</v>
      </c>
      <c r="W15" s="736"/>
    </row>
    <row r="16" spans="1:23" ht="4.5" customHeight="1">
      <c r="A16" s="227"/>
      <c r="B16" s="227"/>
      <c r="C16" s="227"/>
      <c r="D16" s="227"/>
      <c r="E16" s="201"/>
      <c r="L16" s="201"/>
      <c r="M16" s="201"/>
      <c r="N16" s="201"/>
      <c r="O16" s="201"/>
      <c r="P16" s="201"/>
      <c r="Q16" s="201"/>
      <c r="R16" s="227"/>
      <c r="S16" s="227"/>
      <c r="T16" s="227"/>
      <c r="U16" s="736"/>
      <c r="V16" s="736"/>
      <c r="W16" s="736"/>
    </row>
    <row r="17" spans="1:23" ht="18" customHeight="1">
      <c r="A17" s="227"/>
      <c r="B17" s="227"/>
      <c r="C17" s="227"/>
      <c r="D17" s="227"/>
      <c r="E17" s="204" t="s">
        <v>3889</v>
      </c>
      <c r="F17" s="205" t="s">
        <v>4337</v>
      </c>
      <c r="G17" s="201"/>
      <c r="H17" s="201"/>
      <c r="I17" s="201"/>
      <c r="J17" s="201"/>
      <c r="K17" s="201"/>
      <c r="L17" s="201"/>
      <c r="M17" s="201"/>
      <c r="N17" s="206"/>
      <c r="O17" s="206"/>
      <c r="P17" s="207"/>
      <c r="Q17" s="207"/>
      <c r="R17" s="227"/>
      <c r="S17" s="227"/>
      <c r="T17" s="227"/>
      <c r="U17" s="736"/>
      <c r="V17" s="736"/>
      <c r="W17" s="736"/>
    </row>
    <row r="18" spans="1:23" ht="20.100000000000001" customHeight="1">
      <c r="A18" s="227"/>
      <c r="B18" s="227"/>
      <c r="C18" s="227"/>
      <c r="D18" s="227"/>
      <c r="E18" s="1633" t="str">
        <f>"+ Đối tượng kiểm tra: "&amp;IFERROR(VLOOKUP($S$2,LIST_BBKT_DAP!$A$6:$H$700,4,0),"")</f>
        <v xml:space="preserve">+ Đối tượng kiểm tra: </v>
      </c>
      <c r="F18" s="1633"/>
      <c r="G18" s="1633"/>
      <c r="H18" s="1633"/>
      <c r="I18" s="1633"/>
      <c r="J18" s="1633"/>
      <c r="K18" s="1633"/>
      <c r="L18" s="1633"/>
      <c r="M18" s="1633"/>
      <c r="N18" s="1633"/>
      <c r="O18" s="1633"/>
      <c r="P18" s="1633"/>
      <c r="Q18" s="1633"/>
      <c r="R18" s="227"/>
      <c r="S18" s="227"/>
      <c r="T18" s="736">
        <f>ROW()</f>
        <v>18</v>
      </c>
      <c r="U18" s="736">
        <f>ROW()</f>
        <v>18</v>
      </c>
      <c r="V18" s="736"/>
      <c r="W18" s="736"/>
    </row>
    <row r="19" spans="1:23" ht="20.100000000000001" customHeight="1">
      <c r="A19" s="227"/>
      <c r="B19" s="227"/>
      <c r="C19" s="227"/>
      <c r="D19" s="227"/>
      <c r="E19" s="1633" t="str">
        <f>"+ Vị trí xây dựng trên công trình: "&amp;IFERROR(VLOOKUP($S$2,LIST_BBKT_DAP!$A$6:$H$700,5,0),"")</f>
        <v xml:space="preserve">+ Vị trí xây dựng trên công trình: </v>
      </c>
      <c r="F19" s="1633"/>
      <c r="G19" s="1633"/>
      <c r="H19" s="1633"/>
      <c r="I19" s="1633"/>
      <c r="J19" s="1633"/>
      <c r="K19" s="1633"/>
      <c r="L19" s="1633"/>
      <c r="M19" s="1633"/>
      <c r="N19" s="1633"/>
      <c r="O19" s="1633"/>
      <c r="P19" s="1633"/>
      <c r="Q19" s="1633"/>
      <c r="R19" s="227"/>
      <c r="S19" s="227"/>
      <c r="T19" s="736">
        <f>ROW()</f>
        <v>19</v>
      </c>
      <c r="U19" s="736">
        <f>ROW()</f>
        <v>19</v>
      </c>
      <c r="V19" s="736"/>
      <c r="W19" s="736"/>
    </row>
    <row r="20" spans="1:23" ht="3.75" customHeight="1">
      <c r="A20" s="227"/>
      <c r="B20" s="227"/>
      <c r="C20" s="227"/>
      <c r="D20" s="227"/>
      <c r="E20" s="204"/>
      <c r="F20" s="668"/>
      <c r="G20" s="668"/>
      <c r="H20" s="728"/>
      <c r="I20" s="668"/>
      <c r="J20" s="668"/>
      <c r="K20" s="668"/>
      <c r="L20" s="668"/>
      <c r="M20" s="668"/>
      <c r="N20" s="668"/>
      <c r="O20" s="668"/>
      <c r="P20" s="668"/>
      <c r="Q20" s="668"/>
      <c r="R20" s="227"/>
      <c r="S20" s="227"/>
      <c r="T20" s="736"/>
      <c r="U20" s="736"/>
      <c r="V20" s="736"/>
      <c r="W20" s="736"/>
    </row>
    <row r="21" spans="1:23" ht="16.5">
      <c r="A21" s="227"/>
      <c r="B21" s="227"/>
      <c r="C21" s="227"/>
      <c r="D21" s="227"/>
      <c r="E21" s="1264" t="s">
        <v>3891</v>
      </c>
      <c r="F21" s="205" t="s">
        <v>4336</v>
      </c>
      <c r="G21" s="205"/>
      <c r="H21" s="205"/>
      <c r="I21" s="205"/>
      <c r="J21" s="205"/>
      <c r="K21" s="205"/>
      <c r="L21" s="201"/>
      <c r="M21" s="201"/>
      <c r="N21" s="201"/>
      <c r="O21" s="201"/>
      <c r="P21" s="201"/>
      <c r="Q21" s="201"/>
      <c r="R21" s="227"/>
      <c r="S21" s="227"/>
      <c r="T21" s="227"/>
      <c r="U21" s="736"/>
      <c r="V21" s="736"/>
      <c r="W21" s="736"/>
    </row>
    <row r="22" spans="1:23" ht="22.5" customHeight="1">
      <c r="A22" s="227"/>
      <c r="B22" s="227"/>
      <c r="C22" s="227"/>
      <c r="D22" s="227"/>
      <c r="E22" s="1632" t="str">
        <f>"a. Đại diện "&amp;LOWER(MID(Td_DVGS,1,1))&amp;MID(Td_DVGS,2,LEN(Td_DVGS))&amp;": "&amp;DVGS</f>
        <v>a. Đại diện đơn vị tư vấn giám sát: Công ty TNHH Tư vấn Đầu tư Xây dựng Huy Đạt</v>
      </c>
      <c r="F22" s="1632"/>
      <c r="G22" s="1632"/>
      <c r="H22" s="1632"/>
      <c r="I22" s="1632"/>
      <c r="J22" s="1632"/>
      <c r="K22" s="1632"/>
      <c r="L22" s="1632"/>
      <c r="M22" s="1632"/>
      <c r="N22" s="1632"/>
      <c r="O22" s="1632"/>
      <c r="P22" s="1632"/>
      <c r="Q22" s="1632"/>
      <c r="R22" s="227"/>
      <c r="S22" s="227"/>
      <c r="T22" s="227"/>
      <c r="U22" s="736">
        <f>ROW(E21)</f>
        <v>21</v>
      </c>
      <c r="V22" s="736">
        <f>ROW(E22)</f>
        <v>22</v>
      </c>
      <c r="W22" s="736"/>
    </row>
    <row r="23" spans="1:23" ht="18" customHeight="1">
      <c r="A23" s="227"/>
      <c r="B23" s="227"/>
      <c r="C23" s="227"/>
      <c r="D23" s="227"/>
      <c r="E23" s="201"/>
      <c r="F23" s="246" t="str">
        <f>GT_GS1&amp;CBGS1</f>
        <v>Ông: Trần Trọng Liêm</v>
      </c>
      <c r="I23" s="39"/>
      <c r="J23" s="39"/>
      <c r="K23" s="39"/>
      <c r="L23" s="435" t="str">
        <f>"Chức vụ: "&amp;CV_CBGS1</f>
        <v>Chức vụ: Giám sát trưởng</v>
      </c>
      <c r="P23" s="201"/>
      <c r="Q23" s="201"/>
      <c r="R23" s="227"/>
      <c r="S23" s="227"/>
      <c r="T23" s="227"/>
      <c r="U23" s="736"/>
      <c r="V23" s="736"/>
      <c r="W23" s="736"/>
    </row>
    <row r="24" spans="1:23" ht="18" customHeight="1">
      <c r="A24" s="227"/>
      <c r="B24" s="227"/>
      <c r="C24" s="227"/>
      <c r="D24" s="227"/>
      <c r="E24" s="201"/>
      <c r="F24" s="246" t="str">
        <f>GT_GS2&amp;CBGS2</f>
        <v>Bà  : Nguyễn Thị Minh</v>
      </c>
      <c r="I24" s="39"/>
      <c r="J24" s="39"/>
      <c r="K24" s="39"/>
      <c r="L24" s="670" t="str">
        <f>"Chức vụ: "&amp;CV_CBGS2</f>
        <v>Chức vụ: Giám sát viên</v>
      </c>
      <c r="P24" s="201"/>
      <c r="Q24" s="201"/>
      <c r="R24" s="227"/>
      <c r="S24" s="227"/>
      <c r="T24" s="227"/>
      <c r="U24" s="736"/>
      <c r="V24" s="736"/>
      <c r="W24" s="736"/>
    </row>
    <row r="25" spans="1:23" ht="18" hidden="1" customHeight="1">
      <c r="A25" s="227"/>
      <c r="B25" s="227"/>
      <c r="C25" s="227"/>
      <c r="D25" s="227"/>
      <c r="E25" s="201"/>
      <c r="F25" s="246" t="str">
        <f>GT_GS3&amp;CBGS3</f>
        <v>Ông: ………………………..</v>
      </c>
      <c r="I25" s="39"/>
      <c r="J25" s="39"/>
      <c r="K25" s="39"/>
      <c r="L25" s="670" t="str">
        <f>"Chức vụ: "&amp;CV_CBGS3</f>
        <v>Chức vụ:  …………………</v>
      </c>
      <c r="P25" s="201"/>
      <c r="Q25" s="201"/>
      <c r="R25" s="227"/>
      <c r="S25" s="227"/>
      <c r="T25" s="227"/>
      <c r="U25" s="736"/>
      <c r="V25" s="736"/>
      <c r="W25" s="736"/>
    </row>
    <row r="26" spans="1:23" ht="17.25" customHeight="1">
      <c r="A26" s="227"/>
      <c r="B26" s="227"/>
      <c r="C26" s="227"/>
      <c r="D26" s="227"/>
      <c r="E26" s="1632" t="str">
        <f>"b. Đại diện "&amp;LOWER(MID(Td_DVTC,1,1))&amp;MID(Td_DVTC,2,LEN(Td_DVTC))&amp;": "&amp;DVTC</f>
        <v>b. Đại diện đơn vị thi công: Công ty TNHH Xây dựng Thịnh Dũng</v>
      </c>
      <c r="F26" s="1524"/>
      <c r="G26" s="1524"/>
      <c r="H26" s="1524"/>
      <c r="I26" s="1524"/>
      <c r="J26" s="1524"/>
      <c r="K26" s="1524"/>
      <c r="L26" s="1524"/>
      <c r="M26" s="1524"/>
      <c r="N26" s="1524"/>
      <c r="O26" s="1524"/>
      <c r="P26" s="1524"/>
      <c r="Q26" s="1524"/>
      <c r="R26" s="227"/>
      <c r="S26" s="227"/>
      <c r="T26" s="227"/>
      <c r="U26" s="736">
        <f>ROW()</f>
        <v>26</v>
      </c>
      <c r="V26" s="736">
        <f>ROW(E26)</f>
        <v>26</v>
      </c>
      <c r="W26" s="736"/>
    </row>
    <row r="27" spans="1:23" ht="18" customHeight="1">
      <c r="A27" s="227"/>
      <c r="B27" s="227"/>
      <c r="C27" s="227"/>
      <c r="D27" s="227"/>
      <c r="E27" s="201"/>
      <c r="F27" s="62" t="str">
        <f>GT_CBKT1&amp;CBKT1</f>
        <v>Ông: Hoàng Đình Tảng</v>
      </c>
      <c r="I27" s="62"/>
      <c r="J27" s="62"/>
      <c r="K27" s="62"/>
      <c r="L27" s="51" t="str">
        <f>"Chức vụ: "&amp;CV_CBKT1</f>
        <v>Chức vụ: Chỉ huy công trường</v>
      </c>
      <c r="M27" s="63"/>
      <c r="P27" s="201"/>
      <c r="Q27" s="201"/>
      <c r="R27" s="227"/>
      <c r="S27" s="227"/>
      <c r="T27" s="227"/>
      <c r="U27" s="736"/>
      <c r="V27" s="736"/>
      <c r="W27" s="736"/>
    </row>
    <row r="28" spans="1:23" ht="18" customHeight="1">
      <c r="A28" s="227"/>
      <c r="B28" s="227"/>
      <c r="C28" s="227"/>
      <c r="D28" s="227"/>
      <c r="E28" s="201"/>
      <c r="F28" s="62" t="str">
        <f>GT_CBKT1&amp;CBKT2</f>
        <v>Ông: Lê Thiên Phương</v>
      </c>
      <c r="I28" s="62"/>
      <c r="J28" s="62"/>
      <c r="K28" s="62"/>
      <c r="L28" s="51" t="str">
        <f>"Chức vụ: "&amp;CV_CBKT2</f>
        <v>Chức vụ: Kỹ thuật thi công</v>
      </c>
      <c r="M28" s="63"/>
      <c r="P28" s="201"/>
      <c r="Q28" s="201"/>
      <c r="R28" s="227"/>
      <c r="S28" s="227"/>
      <c r="T28" s="227"/>
      <c r="U28" s="736"/>
      <c r="V28" s="736"/>
      <c r="W28" s="736"/>
    </row>
    <row r="29" spans="1:23" ht="18" hidden="1" customHeight="1">
      <c r="A29" s="227"/>
      <c r="B29" s="227"/>
      <c r="C29" s="227"/>
      <c r="D29" s="227"/>
      <c r="E29" s="201"/>
      <c r="F29" s="62" t="str">
        <f>GT_CBKT1&amp;CBKT3</f>
        <v>Ông: ………………………..</v>
      </c>
      <c r="I29" s="62"/>
      <c r="J29" s="62"/>
      <c r="K29" s="62"/>
      <c r="L29" s="51" t="str">
        <f>"Chức vụ: "&amp;CV_CBKT3</f>
        <v>Chức vụ: ………………………..</v>
      </c>
      <c r="M29" s="63"/>
      <c r="P29" s="201"/>
      <c r="Q29" s="201"/>
      <c r="R29" s="227"/>
      <c r="S29" s="227"/>
      <c r="T29" s="227"/>
      <c r="U29" s="736"/>
      <c r="V29" s="736"/>
      <c r="W29" s="736"/>
    </row>
    <row r="30" spans="1:23" ht="10.5" customHeight="1">
      <c r="A30" s="227"/>
      <c r="B30" s="227"/>
      <c r="C30" s="227"/>
      <c r="D30" s="227"/>
      <c r="E30" s="201"/>
      <c r="F30" s="61"/>
      <c r="G30" s="62"/>
      <c r="H30" s="62"/>
      <c r="I30" s="62"/>
      <c r="J30" s="62"/>
      <c r="K30" s="62"/>
      <c r="L30" s="51"/>
      <c r="M30" s="63"/>
      <c r="P30" s="201"/>
      <c r="Q30" s="201"/>
      <c r="R30" s="227"/>
      <c r="S30" s="227"/>
      <c r="T30" s="227"/>
      <c r="U30" s="736"/>
      <c r="V30" s="736"/>
      <c r="W30" s="736"/>
    </row>
    <row r="31" spans="1:23" ht="18" customHeight="1">
      <c r="A31" s="227"/>
      <c r="B31" s="227"/>
      <c r="C31" s="227"/>
      <c r="D31" s="227"/>
      <c r="E31" s="204" t="s">
        <v>3893</v>
      </c>
      <c r="F31" s="205" t="s">
        <v>3894</v>
      </c>
      <c r="G31" s="201"/>
      <c r="H31" s="201"/>
      <c r="I31" s="201"/>
      <c r="J31" s="201"/>
      <c r="K31" s="201"/>
      <c r="L31" s="201"/>
      <c r="M31" s="201"/>
      <c r="N31" s="209"/>
      <c r="O31" s="209"/>
      <c r="P31" s="209"/>
      <c r="Q31" s="201"/>
      <c r="R31" s="227"/>
      <c r="S31" s="227"/>
      <c r="T31" s="227"/>
      <c r="U31" s="736"/>
      <c r="V31" s="736"/>
      <c r="W31" s="736"/>
    </row>
    <row r="32" spans="1:23" s="211" customFormat="1" ht="18" customHeight="1">
      <c r="A32" s="227"/>
      <c r="B32" s="227"/>
      <c r="C32" s="227"/>
      <c r="D32" s="227"/>
      <c r="E32" s="210"/>
      <c r="F32" s="1631" t="str">
        <f>" + Bắt đấu: ……. giờ ….. phút, "&amp;IFERROR(Doingay(VLOOKUP($S$2,LIST_BBKT_DAP!$A$6:$H$700,6,0))," ngày ….. tháng ….. năm …..")</f>
        <v xml:space="preserve"> + Bắt đấu: ……. giờ ….. phút,  ngày ..... tháng ..... năm .....</v>
      </c>
      <c r="G32" s="1631"/>
      <c r="H32" s="1631"/>
      <c r="I32" s="1631"/>
      <c r="J32" s="1631"/>
      <c r="K32" s="1631"/>
      <c r="L32" s="1631"/>
      <c r="M32" s="1631"/>
      <c r="N32" s="1631"/>
      <c r="O32" s="1631"/>
      <c r="P32" s="1631"/>
      <c r="Q32" s="1631"/>
      <c r="R32" s="227"/>
      <c r="S32" s="227"/>
      <c r="T32" s="227"/>
      <c r="U32" s="736"/>
      <c r="V32" s="736"/>
      <c r="W32" s="736"/>
    </row>
    <row r="33" spans="1:23" s="211" customFormat="1" ht="18" customHeight="1">
      <c r="A33" s="227"/>
      <c r="B33" s="227"/>
      <c r="C33" s="227"/>
      <c r="D33" s="227"/>
      <c r="E33" s="210"/>
      <c r="F33" s="1628" t="str">
        <f>" + Kết thúc: ……. giờ ….. phút, "&amp;IFERROR(Doingay(VLOOKUP($S$2,LIST_BBKT_DAP!$A$6:$H$700,6,0))," ngày ….. tháng ….. năm …..")</f>
        <v xml:space="preserve"> + Kết thúc: ……. giờ ….. phút,  ngày ..... tháng ..... năm .....</v>
      </c>
      <c r="G33" s="1628"/>
      <c r="H33" s="1628"/>
      <c r="I33" s="1628"/>
      <c r="J33" s="1628"/>
      <c r="K33" s="1628"/>
      <c r="L33" s="1628"/>
      <c r="M33" s="1628"/>
      <c r="N33" s="1628"/>
      <c r="O33" s="1628"/>
      <c r="P33" s="1628"/>
      <c r="Q33" s="1628"/>
      <c r="R33" s="227"/>
      <c r="S33" s="227"/>
      <c r="T33" s="227"/>
      <c r="U33" s="736"/>
      <c r="V33" s="736"/>
      <c r="W33" s="736"/>
    </row>
    <row r="34" spans="1:23" s="211" customFormat="1" ht="12" customHeight="1">
      <c r="A34" s="227"/>
      <c r="B34" s="227"/>
      <c r="C34" s="227"/>
      <c r="D34" s="227"/>
      <c r="E34" s="210"/>
      <c r="F34" s="433"/>
      <c r="G34" s="433"/>
      <c r="H34" s="733"/>
      <c r="I34" s="669"/>
      <c r="J34" s="669"/>
      <c r="K34" s="669"/>
      <c r="L34" s="433"/>
      <c r="M34" s="669"/>
      <c r="N34" s="433"/>
      <c r="O34" s="433"/>
      <c r="P34" s="433"/>
      <c r="Q34" s="433"/>
      <c r="R34" s="227"/>
      <c r="S34" s="227"/>
      <c r="T34" s="227"/>
      <c r="U34" s="736"/>
      <c r="V34" s="736"/>
      <c r="W34" s="736"/>
    </row>
    <row r="35" spans="1:23" ht="18" customHeight="1">
      <c r="A35" s="227"/>
      <c r="B35" s="227"/>
      <c r="C35" s="227"/>
      <c r="D35" s="227"/>
      <c r="E35" s="204" t="s">
        <v>3895</v>
      </c>
      <c r="F35" s="205" t="s">
        <v>4296</v>
      </c>
      <c r="G35" s="201"/>
      <c r="H35" s="201"/>
      <c r="I35" s="201"/>
      <c r="J35" s="201"/>
      <c r="K35" s="201"/>
      <c r="L35" s="201"/>
      <c r="M35" s="201"/>
      <c r="N35" s="201"/>
      <c r="O35" s="201"/>
      <c r="P35" s="201"/>
      <c r="Q35" s="201"/>
      <c r="R35" s="227"/>
      <c r="S35" s="227"/>
      <c r="T35" s="227"/>
      <c r="U35" s="736"/>
      <c r="V35" s="736"/>
      <c r="W35" s="736"/>
    </row>
    <row r="36" spans="1:23" ht="36.6" customHeight="1">
      <c r="A36" s="227"/>
      <c r="B36" s="227"/>
      <c r="C36" s="227"/>
      <c r="D36" s="227"/>
      <c r="E36"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6" s="1620"/>
      <c r="G36" s="1620"/>
      <c r="H36" s="1620"/>
      <c r="I36" s="1620"/>
      <c r="J36" s="1620"/>
      <c r="K36" s="1620"/>
      <c r="L36" s="1620"/>
      <c r="M36" s="1620"/>
      <c r="N36" s="1620"/>
      <c r="O36" s="1620"/>
      <c r="P36" s="1620"/>
      <c r="Q36" s="1620"/>
      <c r="R36" s="227"/>
      <c r="S36" s="227"/>
      <c r="T36" s="227"/>
      <c r="U36" s="736">
        <f>ROW()</f>
        <v>36</v>
      </c>
      <c r="V36" s="736">
        <f>ROW(E36)</f>
        <v>36</v>
      </c>
      <c r="W36" s="736"/>
    </row>
    <row r="37" spans="1:23" ht="20.100000000000001" customHeight="1">
      <c r="A37" s="227"/>
      <c r="B37" s="227"/>
      <c r="C37" s="227"/>
      <c r="D37" s="227"/>
      <c r="E37" s="1621" t="s">
        <v>4298</v>
      </c>
      <c r="F37" s="1621"/>
      <c r="G37" s="1621"/>
      <c r="H37" s="1621"/>
      <c r="I37" s="1621"/>
      <c r="J37" s="1621"/>
      <c r="K37" s="1621"/>
      <c r="L37" s="1621"/>
      <c r="M37" s="1621"/>
      <c r="N37" s="1621"/>
      <c r="O37" s="1621"/>
      <c r="P37" s="1621"/>
      <c r="Q37" s="1621"/>
      <c r="R37" s="227"/>
      <c r="S37" s="227"/>
      <c r="T37" s="227"/>
      <c r="U37" s="736">
        <f>ROW()</f>
        <v>37</v>
      </c>
      <c r="V37" s="736">
        <f>ROW(E37)</f>
        <v>37</v>
      </c>
      <c r="W37" s="736"/>
    </row>
    <row r="38" spans="1:23" ht="53.1" customHeight="1">
      <c r="A38" s="227"/>
      <c r="B38" s="227"/>
      <c r="C38" s="227"/>
      <c r="D38" s="227"/>
      <c r="E38"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8" s="1621"/>
      <c r="G38" s="1621"/>
      <c r="H38" s="1621"/>
      <c r="I38" s="1621"/>
      <c r="J38" s="1621"/>
      <c r="K38" s="1621"/>
      <c r="L38" s="1621"/>
      <c r="M38" s="1621"/>
      <c r="N38" s="1621"/>
      <c r="O38" s="1621"/>
      <c r="P38" s="1621"/>
      <c r="Q38" s="1621"/>
      <c r="R38" s="227"/>
      <c r="S38" s="227"/>
      <c r="T38" s="227"/>
      <c r="U38" s="736">
        <f>ROW()</f>
        <v>38</v>
      </c>
      <c r="V38" s="736">
        <f>ROW(E38)</f>
        <v>38</v>
      </c>
      <c r="W38" s="736"/>
    </row>
    <row r="39" spans="1:23" ht="15" customHeight="1">
      <c r="A39" s="227"/>
      <c r="B39" s="227"/>
      <c r="C39" s="227"/>
      <c r="D39" s="227"/>
      <c r="E39" s="204" t="s">
        <v>3896</v>
      </c>
      <c r="F39" s="1636" t="s">
        <v>3897</v>
      </c>
      <c r="G39" s="1636"/>
      <c r="H39" s="732"/>
      <c r="I39" s="667"/>
      <c r="J39" s="667"/>
      <c r="K39" s="667"/>
      <c r="L39" s="212"/>
      <c r="M39" s="212"/>
      <c r="N39" s="212"/>
      <c r="O39" s="212"/>
      <c r="P39" s="212"/>
      <c r="Q39" s="212"/>
      <c r="R39" s="227"/>
      <c r="S39" s="227"/>
      <c r="T39" s="227"/>
      <c r="U39" s="736"/>
      <c r="V39" s="736"/>
      <c r="W39" s="736"/>
    </row>
    <row r="40" spans="1:23" ht="15" customHeight="1">
      <c r="A40" s="227"/>
      <c r="B40" s="227"/>
      <c r="C40" s="227"/>
      <c r="D40" s="227"/>
      <c r="E40" s="204"/>
      <c r="F40" s="1650"/>
      <c r="G40" s="1650"/>
      <c r="H40" s="1650"/>
      <c r="I40" s="1650"/>
      <c r="J40" s="1650"/>
      <c r="K40" s="1650"/>
      <c r="L40" s="1650"/>
      <c r="M40" s="1650"/>
      <c r="N40" s="1650"/>
      <c r="O40" s="1650"/>
      <c r="P40" s="1650"/>
      <c r="Q40" s="212"/>
      <c r="R40" s="227"/>
      <c r="S40" s="227"/>
      <c r="T40" s="227"/>
      <c r="U40" s="736"/>
      <c r="V40" s="736"/>
      <c r="W40" s="736"/>
    </row>
    <row r="41" spans="1:23" s="211" customFormat="1" ht="16.5">
      <c r="A41" s="227"/>
      <c r="B41" s="227"/>
      <c r="C41" s="227"/>
      <c r="D41" s="227"/>
      <c r="E41" s="210"/>
      <c r="F41" s="1646" t="s">
        <v>21</v>
      </c>
      <c r="G41" s="1639" t="s">
        <v>3897</v>
      </c>
      <c r="H41" s="1651"/>
      <c r="I41" s="1652"/>
      <c r="J41" s="1652"/>
      <c r="K41" s="1652"/>
      <c r="L41" s="1640"/>
      <c r="M41" s="678"/>
      <c r="N41" s="1647" t="s">
        <v>4303</v>
      </c>
      <c r="O41" s="1648"/>
      <c r="P41" s="1654" t="s">
        <v>20</v>
      </c>
      <c r="Q41" s="210"/>
      <c r="R41" s="227"/>
      <c r="S41" s="227"/>
      <c r="T41" s="227"/>
      <c r="U41" s="736"/>
      <c r="V41" s="736"/>
      <c r="W41" s="736"/>
    </row>
    <row r="42" spans="1:23" s="211" customFormat="1" ht="16.5">
      <c r="A42" s="227"/>
      <c r="B42" s="227"/>
      <c r="C42" s="227"/>
      <c r="D42" s="227"/>
      <c r="E42" s="210"/>
      <c r="F42" s="1646"/>
      <c r="G42" s="1641"/>
      <c r="H42" s="1653"/>
      <c r="I42" s="1653"/>
      <c r="J42" s="1653"/>
      <c r="K42" s="1653"/>
      <c r="L42" s="1642"/>
      <c r="M42" s="665"/>
      <c r="N42" s="431" t="s">
        <v>3899</v>
      </c>
      <c r="O42" s="430" t="s">
        <v>4307</v>
      </c>
      <c r="P42" s="1655"/>
      <c r="Q42" s="210"/>
      <c r="R42" s="227"/>
      <c r="S42" s="227"/>
      <c r="T42" s="227"/>
      <c r="U42" s="736"/>
      <c r="V42" s="736"/>
      <c r="W42" s="736"/>
    </row>
    <row r="43" spans="1:23" s="211" customFormat="1" ht="36" customHeight="1">
      <c r="A43" s="227"/>
      <c r="B43" s="227"/>
      <c r="C43" s="227"/>
      <c r="D43" s="227"/>
      <c r="E43" s="210"/>
      <c r="F43" s="624">
        <v>1</v>
      </c>
      <c r="G43" s="1643" t="s">
        <v>4304</v>
      </c>
      <c r="H43" s="1649"/>
      <c r="I43" s="1649"/>
      <c r="J43" s="1649"/>
      <c r="K43" s="1649"/>
      <c r="L43" s="1643"/>
      <c r="M43" s="679"/>
      <c r="N43" s="630" t="s">
        <v>3900</v>
      </c>
      <c r="O43" s="628" t="s">
        <v>3901</v>
      </c>
      <c r="P43" s="628"/>
      <c r="Q43" s="210"/>
      <c r="R43" s="227"/>
      <c r="S43" s="227"/>
      <c r="T43" s="227"/>
      <c r="U43" s="736"/>
      <c r="V43" s="736"/>
      <c r="W43" s="736"/>
    </row>
    <row r="44" spans="1:23" s="211" customFormat="1" ht="46.5" customHeight="1">
      <c r="A44" s="227"/>
      <c r="B44" s="227"/>
      <c r="C44" s="227"/>
      <c r="D44" s="227"/>
      <c r="E44" s="210"/>
      <c r="F44" s="624">
        <v>2</v>
      </c>
      <c r="G44" s="1643" t="s">
        <v>4305</v>
      </c>
      <c r="H44" s="1649"/>
      <c r="I44" s="1649"/>
      <c r="J44" s="1649"/>
      <c r="K44" s="1649"/>
      <c r="L44" s="1643"/>
      <c r="M44" s="679"/>
      <c r="N44" s="630" t="s">
        <v>3900</v>
      </c>
      <c r="O44" s="628" t="s">
        <v>3901</v>
      </c>
      <c r="P44" s="628"/>
      <c r="Q44" s="201"/>
      <c r="R44" s="227"/>
      <c r="S44" s="227"/>
      <c r="T44" s="227"/>
      <c r="U44" s="736"/>
      <c r="V44" s="736"/>
      <c r="W44" s="736"/>
    </row>
    <row r="45" spans="1:23" s="211" customFormat="1" ht="16.5">
      <c r="A45" s="227"/>
      <c r="B45" s="227"/>
      <c r="C45" s="227"/>
      <c r="D45" s="227"/>
      <c r="E45" s="210"/>
      <c r="F45" s="624">
        <v>3</v>
      </c>
      <c r="G45" s="1643" t="s">
        <v>4306</v>
      </c>
      <c r="H45" s="1649"/>
      <c r="I45" s="1649"/>
      <c r="J45" s="1649"/>
      <c r="K45" s="1649"/>
      <c r="L45" s="1643"/>
      <c r="M45" s="679"/>
      <c r="N45" s="630" t="s">
        <v>3900</v>
      </c>
      <c r="O45" s="628" t="s">
        <v>3901</v>
      </c>
      <c r="P45" s="628"/>
      <c r="Q45" s="201"/>
      <c r="R45" s="227"/>
      <c r="S45" s="227"/>
      <c r="T45" s="227"/>
      <c r="U45" s="736"/>
      <c r="V45" s="736"/>
      <c r="W45" s="736"/>
    </row>
    <row r="46" spans="1:23" s="211" customFormat="1" ht="9" customHeight="1">
      <c r="A46" s="227"/>
      <c r="B46" s="227"/>
      <c r="C46" s="227"/>
      <c r="D46" s="227"/>
      <c r="E46" s="210"/>
      <c r="F46" s="671"/>
      <c r="G46" s="682"/>
      <c r="H46" s="682"/>
      <c r="I46" s="682"/>
      <c r="J46" s="682"/>
      <c r="K46" s="682"/>
      <c r="L46" s="682"/>
      <c r="M46" s="682"/>
      <c r="N46" s="673"/>
      <c r="O46" s="312"/>
      <c r="P46" s="312"/>
      <c r="Q46" s="201"/>
      <c r="R46" s="227"/>
      <c r="S46" s="227"/>
      <c r="T46" s="227"/>
      <c r="U46" s="736"/>
      <c r="V46" s="736"/>
      <c r="W46" s="736"/>
    </row>
    <row r="47" spans="1:23" s="211" customFormat="1" ht="16.5" hidden="1">
      <c r="A47" s="227"/>
      <c r="B47" s="227"/>
      <c r="C47" s="227"/>
      <c r="D47" s="227"/>
      <c r="E47" s="204" t="str">
        <f>IF(A2&lt;&gt;"","6/","")</f>
        <v/>
      </c>
      <c r="F47" s="629" t="str">
        <f>IF(A2&lt;&gt;"","Kết quả kiểm tra","")</f>
        <v/>
      </c>
      <c r="G47" s="682"/>
      <c r="H47" s="682"/>
      <c r="I47" s="682"/>
      <c r="J47" s="682"/>
      <c r="K47" s="682"/>
      <c r="L47" s="682"/>
      <c r="M47" s="682"/>
      <c r="N47" s="673"/>
      <c r="O47" s="312"/>
      <c r="P47" s="312"/>
      <c r="Q47" s="201"/>
      <c r="R47" s="227"/>
      <c r="S47" s="227"/>
      <c r="T47" s="227"/>
      <c r="U47" s="736"/>
      <c r="V47" s="736"/>
      <c r="W47" s="736"/>
    </row>
    <row r="48" spans="1:23" s="211" customFormat="1" ht="16.5" hidden="1">
      <c r="A48" s="227"/>
      <c r="B48" s="227"/>
      <c r="C48" s="227"/>
      <c r="D48" s="227"/>
      <c r="E48" s="210"/>
      <c r="F48" s="683" t="s">
        <v>4297</v>
      </c>
      <c r="G48" s="684"/>
      <c r="H48" s="684"/>
      <c r="I48" s="684"/>
      <c r="J48" s="684"/>
      <c r="K48" s="684"/>
      <c r="L48" s="684"/>
      <c r="M48" s="684"/>
      <c r="N48" s="685"/>
      <c r="O48" s="686"/>
      <c r="P48" s="686"/>
      <c r="Q48" s="201"/>
      <c r="R48" s="227"/>
      <c r="S48" s="227"/>
      <c r="T48" s="227"/>
      <c r="U48" s="736"/>
      <c r="V48" s="736"/>
      <c r="W48" s="736"/>
    </row>
    <row r="49" spans="1:23" s="211" customFormat="1" ht="16.5" hidden="1">
      <c r="A49" s="227"/>
      <c r="B49" s="227"/>
      <c r="C49" s="227"/>
      <c r="D49" s="227"/>
      <c r="E49" s="210"/>
      <c r="F49" s="1656"/>
      <c r="G49" s="1656"/>
      <c r="H49" s="1656"/>
      <c r="I49" s="1656"/>
      <c r="J49" s="1656"/>
      <c r="K49" s="1656"/>
      <c r="L49" s="1656"/>
      <c r="M49" s="1656"/>
      <c r="N49" s="1656"/>
      <c r="O49" s="1656"/>
      <c r="P49" s="1656"/>
      <c r="Q49" s="201"/>
      <c r="R49" s="227"/>
      <c r="S49" s="227"/>
      <c r="T49" s="227"/>
      <c r="U49" s="736"/>
      <c r="V49" s="736"/>
      <c r="W49" s="736"/>
    </row>
    <row r="50" spans="1:23" s="211" customFormat="1" ht="16.5" hidden="1">
      <c r="A50" s="227"/>
      <c r="B50" s="227"/>
      <c r="C50" s="227"/>
      <c r="D50" s="227"/>
      <c r="E50" s="210"/>
      <c r="F50" s="1656"/>
      <c r="G50" s="1656"/>
      <c r="H50" s="1656"/>
      <c r="I50" s="1656"/>
      <c r="J50" s="1656"/>
      <c r="K50" s="1656"/>
      <c r="L50" s="1656"/>
      <c r="M50" s="1656"/>
      <c r="N50" s="1656"/>
      <c r="O50" s="1656"/>
      <c r="P50" s="1656"/>
      <c r="Q50" s="201"/>
      <c r="R50" s="227"/>
      <c r="S50" s="227"/>
      <c r="T50" s="227"/>
      <c r="U50" s="736"/>
      <c r="V50" s="736"/>
      <c r="W50" s="736"/>
    </row>
    <row r="51" spans="1:23" s="211" customFormat="1" ht="16.5" hidden="1">
      <c r="A51" s="227"/>
      <c r="B51" s="227"/>
      <c r="C51" s="227"/>
      <c r="D51" s="227"/>
      <c r="E51" s="210"/>
      <c r="F51" s="1656"/>
      <c r="G51" s="1656"/>
      <c r="H51" s="1656"/>
      <c r="I51" s="1656"/>
      <c r="J51" s="1656"/>
      <c r="K51" s="1656"/>
      <c r="L51" s="1656"/>
      <c r="M51" s="1656"/>
      <c r="N51" s="1656"/>
      <c r="O51" s="1656"/>
      <c r="P51" s="1656"/>
      <c r="Q51" s="201"/>
      <c r="R51" s="227"/>
      <c r="S51" s="227"/>
      <c r="T51" s="227"/>
      <c r="U51" s="736"/>
      <c r="V51" s="736"/>
      <c r="W51" s="736"/>
    </row>
    <row r="52" spans="1:23" s="211" customFormat="1" ht="16.5" hidden="1">
      <c r="A52" s="227"/>
      <c r="B52" s="227"/>
      <c r="C52" s="227"/>
      <c r="D52" s="227"/>
      <c r="E52" s="210"/>
      <c r="F52" s="1656"/>
      <c r="G52" s="1656"/>
      <c r="H52" s="1656"/>
      <c r="I52" s="1656"/>
      <c r="J52" s="1656"/>
      <c r="K52" s="1656"/>
      <c r="L52" s="1656"/>
      <c r="M52" s="1656"/>
      <c r="N52" s="1656"/>
      <c r="O52" s="1656"/>
      <c r="P52" s="1656"/>
      <c r="Q52" s="201"/>
      <c r="R52" s="227"/>
      <c r="S52" s="227"/>
      <c r="T52" s="227"/>
      <c r="U52" s="736"/>
      <c r="V52" s="736"/>
      <c r="W52" s="736"/>
    </row>
    <row r="53" spans="1:23" s="211" customFormat="1" ht="16.5" hidden="1">
      <c r="A53" s="227"/>
      <c r="B53" s="227"/>
      <c r="C53" s="227"/>
      <c r="D53" s="227"/>
      <c r="E53" s="210"/>
      <c r="F53" s="1656"/>
      <c r="G53" s="1656"/>
      <c r="H53" s="1656"/>
      <c r="I53" s="1656"/>
      <c r="J53" s="1656"/>
      <c r="K53" s="1656"/>
      <c r="L53" s="1656"/>
      <c r="M53" s="1656"/>
      <c r="N53" s="1656"/>
      <c r="O53" s="1656"/>
      <c r="P53" s="1656"/>
      <c r="Q53" s="201"/>
      <c r="R53" s="227"/>
      <c r="S53" s="227"/>
      <c r="T53" s="227"/>
      <c r="U53" s="736"/>
      <c r="V53" s="736"/>
      <c r="W53" s="736"/>
    </row>
    <row r="54" spans="1:23" s="211" customFormat="1" ht="16.5" hidden="1">
      <c r="A54" s="227"/>
      <c r="B54" s="227"/>
      <c r="C54" s="227"/>
      <c r="D54" s="227"/>
      <c r="E54" s="210"/>
      <c r="F54" s="1656"/>
      <c r="G54" s="1656"/>
      <c r="H54" s="1656"/>
      <c r="I54" s="1656"/>
      <c r="J54" s="1656"/>
      <c r="K54" s="1656"/>
      <c r="L54" s="1656"/>
      <c r="M54" s="1656"/>
      <c r="N54" s="1656"/>
      <c r="O54" s="1656"/>
      <c r="P54" s="1656"/>
      <c r="Q54" s="201"/>
      <c r="R54" s="227"/>
      <c r="S54" s="227"/>
      <c r="T54" s="227"/>
      <c r="U54" s="736"/>
      <c r="V54" s="736"/>
      <c r="W54" s="736"/>
    </row>
    <row r="55" spans="1:23" s="211" customFormat="1" ht="16.5" hidden="1">
      <c r="A55" s="227"/>
      <c r="B55" s="227"/>
      <c r="C55" s="227"/>
      <c r="D55" s="227"/>
      <c r="E55" s="210"/>
      <c r="F55" s="1656"/>
      <c r="G55" s="1656"/>
      <c r="H55" s="1656"/>
      <c r="I55" s="1656"/>
      <c r="J55" s="1656"/>
      <c r="K55" s="1656"/>
      <c r="L55" s="1656"/>
      <c r="M55" s="1656"/>
      <c r="N55" s="1656"/>
      <c r="O55" s="1656"/>
      <c r="P55" s="1656"/>
      <c r="Q55" s="201"/>
      <c r="R55" s="227"/>
      <c r="S55" s="227"/>
      <c r="T55" s="227"/>
      <c r="U55" s="736"/>
      <c r="V55" s="736"/>
      <c r="W55" s="736"/>
    </row>
    <row r="56" spans="1:23" s="211" customFormat="1" ht="16.5" hidden="1">
      <c r="A56" s="227"/>
      <c r="B56" s="227"/>
      <c r="C56" s="227"/>
      <c r="D56" s="227"/>
      <c r="E56" s="210"/>
      <c r="F56" s="1656"/>
      <c r="G56" s="1656"/>
      <c r="H56" s="1656"/>
      <c r="I56" s="1656"/>
      <c r="J56" s="1656"/>
      <c r="K56" s="1656"/>
      <c r="L56" s="1656"/>
      <c r="M56" s="1656"/>
      <c r="N56" s="1656"/>
      <c r="O56" s="1656"/>
      <c r="P56" s="1656"/>
      <c r="Q56" s="201"/>
      <c r="R56" s="227"/>
      <c r="S56" s="227"/>
      <c r="T56" s="227"/>
      <c r="U56" s="736"/>
      <c r="V56" s="736"/>
      <c r="W56" s="736"/>
    </row>
    <row r="57" spans="1:23" s="211" customFormat="1" ht="16.5" hidden="1">
      <c r="A57" s="227"/>
      <c r="B57" s="227"/>
      <c r="C57" s="227"/>
      <c r="D57" s="227"/>
      <c r="G57" s="310"/>
      <c r="H57" s="310"/>
      <c r="I57" s="310"/>
      <c r="J57" s="310"/>
      <c r="K57" s="310"/>
      <c r="L57" s="313"/>
      <c r="M57" s="313"/>
      <c r="N57" s="311"/>
      <c r="O57" s="312"/>
      <c r="P57" s="312"/>
      <c r="Q57" s="201"/>
      <c r="R57" s="227"/>
      <c r="S57" s="227"/>
      <c r="T57" s="227"/>
      <c r="U57" s="736"/>
      <c r="V57" s="736"/>
      <c r="W57" s="736"/>
    </row>
    <row r="58" spans="1:23" s="211" customFormat="1" ht="16.5" hidden="1">
      <c r="A58" s="227"/>
      <c r="B58" s="227"/>
      <c r="C58" s="227"/>
      <c r="D58" s="227"/>
      <c r="E58" s="210"/>
      <c r="F58" s="1661" t="s">
        <v>21</v>
      </c>
      <c r="G58" s="1661" t="s">
        <v>4262</v>
      </c>
      <c r="H58" s="1658" t="s">
        <v>4263</v>
      </c>
      <c r="I58" s="1662" t="s">
        <v>159</v>
      </c>
      <c r="J58" s="1663"/>
      <c r="K58" s="1663"/>
      <c r="L58" s="1664"/>
      <c r="M58" s="1662" t="s">
        <v>3906</v>
      </c>
      <c r="N58" s="1663"/>
      <c r="O58" s="1663"/>
      <c r="P58" s="1664"/>
      <c r="Q58" s="201"/>
      <c r="R58" s="227"/>
      <c r="S58" s="227"/>
      <c r="T58" s="227"/>
      <c r="U58" s="736"/>
      <c r="V58" s="736"/>
      <c r="W58" s="736"/>
    </row>
    <row r="59" spans="1:23" s="211" customFormat="1" ht="16.5" hidden="1">
      <c r="A59" s="227"/>
      <c r="B59" s="227"/>
      <c r="C59" s="227"/>
      <c r="D59" s="227"/>
      <c r="E59" s="210"/>
      <c r="F59" s="1659"/>
      <c r="G59" s="1659"/>
      <c r="H59" s="1659"/>
      <c r="I59" s="1662" t="s">
        <v>4264</v>
      </c>
      <c r="J59" s="1663"/>
      <c r="K59" s="1664"/>
      <c r="L59" s="1661" t="s">
        <v>4335</v>
      </c>
      <c r="M59" s="1662" t="s">
        <v>4264</v>
      </c>
      <c r="N59" s="1663"/>
      <c r="O59" s="1664"/>
      <c r="P59" s="1661" t="s">
        <v>4335</v>
      </c>
      <c r="Q59" s="201"/>
      <c r="R59" s="227"/>
      <c r="S59" s="227"/>
      <c r="T59" s="227"/>
      <c r="U59" s="736"/>
      <c r="V59" s="736"/>
      <c r="W59" s="736"/>
    </row>
    <row r="60" spans="1:23" s="211" customFormat="1" ht="16.5" hidden="1">
      <c r="A60" s="227"/>
      <c r="B60" s="227"/>
      <c r="C60" s="227"/>
      <c r="D60" s="227"/>
      <c r="E60" s="210"/>
      <c r="F60" s="1660"/>
      <c r="G60" s="1660"/>
      <c r="H60" s="1660"/>
      <c r="I60" s="681" t="s">
        <v>4266</v>
      </c>
      <c r="J60" s="681" t="s">
        <v>4267</v>
      </c>
      <c r="K60" s="681" t="s">
        <v>4268</v>
      </c>
      <c r="L60" s="1660"/>
      <c r="M60" s="681" t="s">
        <v>4266</v>
      </c>
      <c r="N60" s="681" t="s">
        <v>4267</v>
      </c>
      <c r="O60" s="681" t="s">
        <v>4268</v>
      </c>
      <c r="P60" s="1660"/>
      <c r="Q60" s="201"/>
      <c r="R60" s="227"/>
      <c r="S60" s="227"/>
      <c r="T60" s="227"/>
      <c r="U60" s="736"/>
      <c r="V60" s="736"/>
      <c r="W60" s="736"/>
    </row>
    <row r="61" spans="1:23" s="211" customFormat="1" ht="16.5" hidden="1">
      <c r="A61" s="227"/>
      <c r="B61" s="227"/>
      <c r="C61" s="227"/>
      <c r="D61" s="227"/>
      <c r="E61" s="210"/>
      <c r="F61" s="646">
        <v>1</v>
      </c>
      <c r="G61" s="646" t="s">
        <v>4392</v>
      </c>
      <c r="H61" s="748"/>
      <c r="I61" s="749">
        <v>3.4</v>
      </c>
      <c r="J61" s="749">
        <v>3.48</v>
      </c>
      <c r="K61" s="749">
        <v>3.4</v>
      </c>
      <c r="L61" s="646">
        <v>8</v>
      </c>
      <c r="M61" s="749">
        <v>3.4</v>
      </c>
      <c r="N61" s="646">
        <v>3.4820000000000002</v>
      </c>
      <c r="O61" s="646">
        <v>3.3940000000000001</v>
      </c>
      <c r="P61" s="646">
        <v>8</v>
      </c>
      <c r="Q61" s="201"/>
      <c r="R61" s="227"/>
      <c r="S61" s="227"/>
      <c r="T61" s="227"/>
      <c r="U61" s="736"/>
      <c r="V61" s="736"/>
      <c r="W61" s="736"/>
    </row>
    <row r="62" spans="1:23" s="211" customFormat="1" ht="16.5" hidden="1">
      <c r="A62" s="227"/>
      <c r="B62" s="227"/>
      <c r="C62" s="227"/>
      <c r="D62" s="227"/>
      <c r="E62" s="210"/>
      <c r="F62" s="646"/>
      <c r="G62" s="646"/>
      <c r="H62" s="748">
        <v>8.9999999000000006</v>
      </c>
      <c r="I62" s="749"/>
      <c r="J62" s="749"/>
      <c r="K62" s="749"/>
      <c r="L62" s="646"/>
      <c r="M62" s="749"/>
      <c r="N62" s="646"/>
      <c r="O62" s="646"/>
      <c r="P62" s="646"/>
      <c r="Q62" s="201"/>
      <c r="R62" s="227"/>
      <c r="S62" s="227"/>
      <c r="T62" s="227"/>
      <c r="U62" s="736"/>
      <c r="V62" s="736"/>
      <c r="W62" s="736"/>
    </row>
    <row r="63" spans="1:23" s="211" customFormat="1" ht="16.5" hidden="1">
      <c r="A63" s="227"/>
      <c r="B63" s="227"/>
      <c r="C63" s="227"/>
      <c r="D63" s="227"/>
      <c r="E63" s="210"/>
      <c r="F63" s="646">
        <v>2</v>
      </c>
      <c r="G63" s="646" t="s">
        <v>4393</v>
      </c>
      <c r="H63" s="748"/>
      <c r="I63" s="749">
        <v>3.39</v>
      </c>
      <c r="J63" s="749">
        <v>3.47</v>
      </c>
      <c r="K63" s="749">
        <v>3.39</v>
      </c>
      <c r="L63" s="646">
        <v>8</v>
      </c>
      <c r="M63" s="749">
        <v>3.3919999999999999</v>
      </c>
      <c r="N63" s="646">
        <v>3.4689999999999999</v>
      </c>
      <c r="O63" s="646">
        <v>3.395</v>
      </c>
      <c r="P63" s="646">
        <v>8</v>
      </c>
      <c r="Q63" s="201"/>
      <c r="R63" s="227"/>
      <c r="S63" s="227"/>
      <c r="T63" s="227"/>
      <c r="U63" s="736"/>
      <c r="V63" s="736"/>
      <c r="W63" s="736"/>
    </row>
    <row r="64" spans="1:23" s="211" customFormat="1" ht="16.5" hidden="1">
      <c r="A64" s="227"/>
      <c r="B64" s="227"/>
      <c r="C64" s="227"/>
      <c r="D64" s="227"/>
      <c r="E64" s="210"/>
      <c r="F64" s="646"/>
      <c r="G64" s="646"/>
      <c r="H64" s="748">
        <v>21</v>
      </c>
      <c r="I64" s="749"/>
      <c r="J64" s="749"/>
      <c r="K64" s="749"/>
      <c r="L64" s="646"/>
      <c r="M64" s="749"/>
      <c r="N64" s="646"/>
      <c r="O64" s="646"/>
      <c r="P64" s="646"/>
      <c r="Q64" s="201"/>
      <c r="R64" s="227"/>
      <c r="S64" s="227"/>
      <c r="T64" s="227"/>
      <c r="U64" s="736"/>
      <c r="V64" s="736"/>
      <c r="W64" s="736"/>
    </row>
    <row r="65" spans="1:23" s="211" customFormat="1" ht="16.5" hidden="1">
      <c r="A65" s="227"/>
      <c r="B65" s="227"/>
      <c r="C65" s="227"/>
      <c r="D65" s="227"/>
      <c r="E65" s="210"/>
      <c r="F65" s="646">
        <v>3</v>
      </c>
      <c r="G65" s="646" t="s">
        <v>4394</v>
      </c>
      <c r="H65" s="748"/>
      <c r="I65" s="749">
        <v>3.38</v>
      </c>
      <c r="J65" s="749">
        <v>3.46</v>
      </c>
      <c r="K65" s="749">
        <v>3.38</v>
      </c>
      <c r="L65" s="646">
        <v>8</v>
      </c>
      <c r="M65" s="749">
        <v>3.3820000000000001</v>
      </c>
      <c r="N65" s="646">
        <v>3.46</v>
      </c>
      <c r="O65" s="646">
        <v>3.3820000000000001</v>
      </c>
      <c r="P65" s="646">
        <v>8</v>
      </c>
      <c r="Q65" s="201"/>
      <c r="R65" s="227"/>
      <c r="S65" s="227"/>
      <c r="T65" s="227"/>
      <c r="U65" s="736"/>
      <c r="V65" s="736"/>
      <c r="W65" s="736"/>
    </row>
    <row r="66" spans="1:23" s="211" customFormat="1" ht="16.5" hidden="1">
      <c r="A66" s="227"/>
      <c r="B66" s="227"/>
      <c r="C66" s="227"/>
      <c r="D66" s="227"/>
      <c r="E66" s="210"/>
      <c r="F66" s="646"/>
      <c r="G66" s="646"/>
      <c r="H66" s="748">
        <v>13</v>
      </c>
      <c r="I66" s="749"/>
      <c r="J66" s="749"/>
      <c r="K66" s="749"/>
      <c r="L66" s="646"/>
      <c r="M66" s="749"/>
      <c r="N66" s="646"/>
      <c r="O66" s="646"/>
      <c r="P66" s="646"/>
      <c r="Q66" s="201"/>
      <c r="R66" s="227"/>
      <c r="S66" s="227"/>
      <c r="T66" s="227"/>
      <c r="U66" s="736"/>
      <c r="V66" s="736"/>
      <c r="W66" s="736"/>
    </row>
    <row r="67" spans="1:23" s="211" customFormat="1" ht="16.5" hidden="1">
      <c r="A67" s="227"/>
      <c r="B67" s="227"/>
      <c r="C67" s="227"/>
      <c r="D67" s="227"/>
      <c r="E67" s="210"/>
      <c r="F67" s="749">
        <v>4</v>
      </c>
      <c r="G67" s="749" t="s">
        <v>4395</v>
      </c>
      <c r="H67" s="748"/>
      <c r="I67" s="749">
        <v>3.38</v>
      </c>
      <c r="J67" s="749">
        <v>3.46</v>
      </c>
      <c r="K67" s="749">
        <v>3.38</v>
      </c>
      <c r="L67" s="749">
        <v>8</v>
      </c>
      <c r="M67" s="749">
        <v>3.38</v>
      </c>
      <c r="N67" s="749">
        <v>3.4620000000000002</v>
      </c>
      <c r="O67" s="749">
        <v>3.3809999999999998</v>
      </c>
      <c r="P67" s="749">
        <v>8</v>
      </c>
      <c r="Q67" s="201"/>
      <c r="R67" s="227"/>
      <c r="S67" s="227"/>
      <c r="T67" s="227"/>
      <c r="U67" s="736"/>
      <c r="V67" s="736"/>
      <c r="W67" s="736"/>
    </row>
    <row r="68" spans="1:23" s="211" customFormat="1" ht="16.5" hidden="1">
      <c r="A68" s="227"/>
      <c r="B68" s="227"/>
      <c r="C68" s="227"/>
      <c r="D68" s="227"/>
      <c r="E68" s="210"/>
      <c r="F68" s="749"/>
      <c r="G68" s="749"/>
      <c r="H68" s="748">
        <v>9</v>
      </c>
      <c r="I68" s="749"/>
      <c r="J68" s="749"/>
      <c r="K68" s="749"/>
      <c r="L68" s="749"/>
      <c r="M68" s="749"/>
      <c r="N68" s="749"/>
      <c r="O68" s="749"/>
      <c r="P68" s="749"/>
      <c r="Q68" s="201"/>
      <c r="R68" s="227"/>
      <c r="S68" s="227"/>
      <c r="T68" s="227"/>
      <c r="U68" s="736"/>
      <c r="V68" s="736"/>
      <c r="W68" s="736"/>
    </row>
    <row r="69" spans="1:23" s="211" customFormat="1" ht="16.5" hidden="1">
      <c r="A69" s="227"/>
      <c r="B69" s="227"/>
      <c r="C69" s="227"/>
      <c r="D69" s="227"/>
      <c r="E69" s="210"/>
      <c r="F69" s="749">
        <v>5</v>
      </c>
      <c r="G69" s="749" t="s">
        <v>4396</v>
      </c>
      <c r="H69" s="748"/>
      <c r="I69" s="749">
        <v>3.37</v>
      </c>
      <c r="J69" s="749">
        <v>3.45</v>
      </c>
      <c r="K69" s="749">
        <v>3.37</v>
      </c>
      <c r="L69" s="749">
        <v>8</v>
      </c>
      <c r="M69" s="749">
        <v>3.3730000000000002</v>
      </c>
      <c r="N69" s="749">
        <v>3.452</v>
      </c>
      <c r="O69" s="749">
        <v>3.363</v>
      </c>
      <c r="P69" s="749">
        <v>8</v>
      </c>
      <c r="Q69" s="201"/>
      <c r="R69" s="227"/>
      <c r="S69" s="227"/>
      <c r="T69" s="227"/>
      <c r="U69" s="736"/>
      <c r="V69" s="736"/>
      <c r="W69" s="736"/>
    </row>
    <row r="70" spans="1:23" s="211" customFormat="1" ht="16.5" hidden="1">
      <c r="A70" s="227"/>
      <c r="B70" s="227"/>
      <c r="C70" s="227"/>
      <c r="D70" s="227"/>
      <c r="E70" s="210"/>
      <c r="F70" s="749"/>
      <c r="G70" s="749"/>
      <c r="H70" s="748">
        <v>9</v>
      </c>
      <c r="I70" s="749"/>
      <c r="J70" s="749"/>
      <c r="K70" s="749"/>
      <c r="L70" s="749"/>
      <c r="M70" s="749"/>
      <c r="N70" s="749"/>
      <c r="O70" s="749"/>
      <c r="P70" s="749"/>
      <c r="Q70" s="201"/>
      <c r="R70" s="227"/>
      <c r="S70" s="227"/>
      <c r="T70" s="227"/>
      <c r="U70" s="736"/>
      <c r="V70" s="736"/>
      <c r="W70" s="736"/>
    </row>
    <row r="71" spans="1:23" s="211" customFormat="1" ht="16.5" hidden="1">
      <c r="A71" s="227"/>
      <c r="B71" s="227"/>
      <c r="C71" s="227"/>
      <c r="D71" s="227"/>
      <c r="E71" s="210"/>
      <c r="F71" s="749">
        <v>6</v>
      </c>
      <c r="G71" s="749" t="s">
        <v>4397</v>
      </c>
      <c r="H71" s="748"/>
      <c r="I71" s="749">
        <v>3.37</v>
      </c>
      <c r="J71" s="749">
        <v>3.45</v>
      </c>
      <c r="K71" s="749">
        <v>3.37</v>
      </c>
      <c r="L71" s="749">
        <v>8</v>
      </c>
      <c r="M71" s="749">
        <v>3.3690000000000002</v>
      </c>
      <c r="N71" s="749">
        <v>3.4510000000000001</v>
      </c>
      <c r="O71" s="749">
        <v>3.3650000000000002</v>
      </c>
      <c r="P71" s="749">
        <v>8</v>
      </c>
      <c r="Q71" s="201"/>
      <c r="R71" s="227"/>
      <c r="S71" s="227"/>
      <c r="T71" s="227"/>
      <c r="U71" s="736"/>
      <c r="V71" s="736"/>
      <c r="W71" s="736"/>
    </row>
    <row r="72" spans="1:23" s="211" customFormat="1" ht="16.5" hidden="1">
      <c r="A72" s="227"/>
      <c r="B72" s="227"/>
      <c r="C72" s="227"/>
      <c r="D72" s="227"/>
      <c r="E72" s="210"/>
      <c r="F72" s="749"/>
      <c r="G72" s="749"/>
      <c r="H72" s="748">
        <v>14</v>
      </c>
      <c r="I72" s="749"/>
      <c r="J72" s="749"/>
      <c r="K72" s="749"/>
      <c r="L72" s="749"/>
      <c r="M72" s="749"/>
      <c r="N72" s="749"/>
      <c r="O72" s="749"/>
      <c r="P72" s="749"/>
      <c r="Q72" s="201"/>
      <c r="R72" s="227"/>
      <c r="S72" s="227"/>
      <c r="T72" s="227"/>
      <c r="U72" s="736"/>
      <c r="V72" s="736"/>
      <c r="W72" s="736"/>
    </row>
    <row r="73" spans="1:23" s="211" customFormat="1" ht="16.5" hidden="1">
      <c r="A73" s="227"/>
      <c r="B73" s="227"/>
      <c r="C73" s="227"/>
      <c r="D73" s="227"/>
      <c r="E73" s="210"/>
      <c r="F73" s="749">
        <v>7</v>
      </c>
      <c r="G73" s="749" t="s">
        <v>4398</v>
      </c>
      <c r="H73" s="748"/>
      <c r="I73" s="749">
        <v>3.37</v>
      </c>
      <c r="J73" s="749">
        <v>3.45</v>
      </c>
      <c r="K73" s="749">
        <v>3.37</v>
      </c>
      <c r="L73" s="749">
        <v>8</v>
      </c>
      <c r="M73" s="749">
        <v>3.371</v>
      </c>
      <c r="N73" s="749">
        <v>3.45</v>
      </c>
      <c r="O73" s="749">
        <v>3.371</v>
      </c>
      <c r="P73" s="749">
        <v>8</v>
      </c>
      <c r="Q73" s="201"/>
      <c r="R73" s="227"/>
      <c r="S73" s="227"/>
      <c r="T73" s="227"/>
      <c r="U73" s="736"/>
      <c r="V73" s="736"/>
      <c r="W73" s="736"/>
    </row>
    <row r="74" spans="1:23" s="211" customFormat="1" ht="16.5" hidden="1">
      <c r="A74" s="227"/>
      <c r="B74" s="227"/>
      <c r="C74" s="227"/>
      <c r="D74" s="227"/>
      <c r="E74" s="210"/>
      <c r="F74" s="749"/>
      <c r="G74" s="749"/>
      <c r="H74" s="748">
        <v>15</v>
      </c>
      <c r="I74" s="749"/>
      <c r="J74" s="749"/>
      <c r="K74" s="749"/>
      <c r="L74" s="749"/>
      <c r="M74" s="749"/>
      <c r="N74" s="749"/>
      <c r="O74" s="749"/>
      <c r="P74" s="749"/>
      <c r="Q74" s="201"/>
      <c r="R74" s="227"/>
      <c r="S74" s="227"/>
      <c r="T74" s="227"/>
      <c r="U74" s="736"/>
      <c r="V74" s="736"/>
      <c r="W74" s="736"/>
    </row>
    <row r="75" spans="1:23" s="211" customFormat="1" ht="16.5" hidden="1">
      <c r="A75" s="227"/>
      <c r="B75" s="227"/>
      <c r="C75" s="227"/>
      <c r="D75" s="227"/>
      <c r="E75" s="210"/>
      <c r="F75" s="749">
        <v>8</v>
      </c>
      <c r="G75" s="749" t="s">
        <v>4399</v>
      </c>
      <c r="H75" s="748"/>
      <c r="I75" s="749">
        <v>3.36</v>
      </c>
      <c r="J75" s="749">
        <v>3.44</v>
      </c>
      <c r="K75" s="749">
        <v>3.36</v>
      </c>
      <c r="L75" s="749">
        <v>8</v>
      </c>
      <c r="M75" s="749">
        <v>3.3580000000000001</v>
      </c>
      <c r="N75" s="749">
        <v>3.4430000000000001</v>
      </c>
      <c r="O75" s="749">
        <v>3.3639999999999999</v>
      </c>
      <c r="P75" s="749">
        <v>8</v>
      </c>
      <c r="Q75" s="201"/>
      <c r="R75" s="227"/>
      <c r="S75" s="227"/>
      <c r="T75" s="227"/>
      <c r="U75" s="736"/>
      <c r="V75" s="736"/>
      <c r="W75" s="736"/>
    </row>
    <row r="76" spans="1:23" s="211" customFormat="1" ht="16.5" hidden="1">
      <c r="A76" s="227"/>
      <c r="B76" s="227"/>
      <c r="C76" s="227"/>
      <c r="D76" s="227"/>
      <c r="E76" s="210"/>
      <c r="F76" s="749"/>
      <c r="G76" s="749"/>
      <c r="H76" s="748">
        <v>16.47</v>
      </c>
      <c r="I76" s="749"/>
      <c r="J76" s="749"/>
      <c r="K76" s="749"/>
      <c r="L76" s="749"/>
      <c r="M76" s="749"/>
      <c r="N76" s="749"/>
      <c r="O76" s="749"/>
      <c r="P76" s="749"/>
      <c r="Q76" s="201"/>
      <c r="R76" s="227"/>
      <c r="S76" s="227"/>
      <c r="T76" s="227"/>
      <c r="U76" s="736"/>
      <c r="V76" s="736"/>
      <c r="W76" s="736"/>
    </row>
    <row r="77" spans="1:23" s="211" customFormat="1" ht="16.5" hidden="1">
      <c r="A77" s="227"/>
      <c r="B77" s="227"/>
      <c r="C77" s="227"/>
      <c r="D77" s="227"/>
      <c r="E77" s="210"/>
      <c r="F77" s="749">
        <v>9</v>
      </c>
      <c r="G77" s="749" t="s">
        <v>4400</v>
      </c>
      <c r="H77" s="748"/>
      <c r="I77" s="749">
        <v>3.36</v>
      </c>
      <c r="J77" s="749">
        <v>3.44</v>
      </c>
      <c r="K77" s="749">
        <v>3.36</v>
      </c>
      <c r="L77" s="749">
        <v>8</v>
      </c>
      <c r="M77" s="749">
        <v>3.3580000000000001</v>
      </c>
      <c r="N77" s="749">
        <v>3.4390000000000001</v>
      </c>
      <c r="O77" s="749">
        <v>3.3580000000000001</v>
      </c>
      <c r="P77" s="749">
        <v>8</v>
      </c>
      <c r="Q77" s="201"/>
      <c r="R77" s="227"/>
      <c r="S77" s="227"/>
      <c r="T77" s="227"/>
      <c r="U77" s="736"/>
      <c r="V77" s="736"/>
      <c r="W77" s="736"/>
    </row>
    <row r="78" spans="1:23" s="211" customFormat="1" ht="16.5" hidden="1">
      <c r="A78" s="227"/>
      <c r="B78" s="227"/>
      <c r="C78" s="227"/>
      <c r="D78" s="227"/>
      <c r="E78" s="210"/>
      <c r="F78" s="749"/>
      <c r="G78" s="749"/>
      <c r="H78" s="748">
        <v>9</v>
      </c>
      <c r="I78" s="749"/>
      <c r="J78" s="749"/>
      <c r="K78" s="749"/>
      <c r="L78" s="749"/>
      <c r="M78" s="749"/>
      <c r="N78" s="749"/>
      <c r="O78" s="749"/>
      <c r="P78" s="749"/>
      <c r="Q78" s="201"/>
      <c r="R78" s="227"/>
      <c r="S78" s="227"/>
      <c r="T78" s="227"/>
      <c r="U78" s="736"/>
      <c r="V78" s="736"/>
      <c r="W78" s="736"/>
    </row>
    <row r="79" spans="1:23" s="211" customFormat="1" ht="16.5" hidden="1">
      <c r="A79" s="227"/>
      <c r="B79" s="227"/>
      <c r="C79" s="227"/>
      <c r="D79" s="227"/>
      <c r="E79" s="210"/>
      <c r="F79" s="749">
        <v>10</v>
      </c>
      <c r="G79" s="749" t="s">
        <v>4401</v>
      </c>
      <c r="H79" s="748"/>
      <c r="I79" s="749">
        <v>3.36</v>
      </c>
      <c r="J79" s="749">
        <v>3.44</v>
      </c>
      <c r="K79" s="749">
        <v>3.36</v>
      </c>
      <c r="L79" s="749">
        <v>8</v>
      </c>
      <c r="M79" s="749">
        <v>3.36</v>
      </c>
      <c r="N79" s="749">
        <v>3.4390000000000001</v>
      </c>
      <c r="O79" s="749">
        <v>3.36</v>
      </c>
      <c r="P79" s="749">
        <v>8</v>
      </c>
      <c r="Q79" s="201"/>
      <c r="R79" s="227"/>
      <c r="S79" s="227"/>
      <c r="T79" s="227"/>
      <c r="U79" s="736"/>
      <c r="V79" s="736"/>
      <c r="W79" s="736"/>
    </row>
    <row r="80" spans="1:23" s="211" customFormat="1" ht="16.5" hidden="1">
      <c r="A80" s="227"/>
      <c r="B80" s="227"/>
      <c r="C80" s="227"/>
      <c r="D80" s="227"/>
      <c r="E80" s="210"/>
      <c r="F80" s="749"/>
      <c r="G80" s="749"/>
      <c r="H80" s="748">
        <v>9</v>
      </c>
      <c r="I80" s="749"/>
      <c r="J80" s="749"/>
      <c r="K80" s="749"/>
      <c r="L80" s="749"/>
      <c r="M80" s="749"/>
      <c r="N80" s="749"/>
      <c r="O80" s="749"/>
      <c r="P80" s="749"/>
      <c r="Q80" s="201"/>
      <c r="R80" s="227"/>
      <c r="S80" s="227"/>
      <c r="T80" s="227"/>
      <c r="U80" s="736"/>
      <c r="V80" s="736"/>
      <c r="W80" s="736"/>
    </row>
    <row r="81" spans="1:23" s="211" customFormat="1" ht="16.5" hidden="1">
      <c r="A81" s="227"/>
      <c r="B81" s="227"/>
      <c r="C81" s="227"/>
      <c r="D81" s="227"/>
      <c r="E81" s="210"/>
      <c r="F81" s="749">
        <v>11</v>
      </c>
      <c r="G81" s="749" t="s">
        <v>4402</v>
      </c>
      <c r="H81" s="748"/>
      <c r="I81" s="749">
        <v>3.36</v>
      </c>
      <c r="J81" s="749">
        <v>3.44</v>
      </c>
      <c r="K81" s="749">
        <v>3.36</v>
      </c>
      <c r="L81" s="749">
        <v>8</v>
      </c>
      <c r="M81" s="749">
        <v>3.359</v>
      </c>
      <c r="N81" s="749">
        <v>3.4369999999999998</v>
      </c>
      <c r="O81" s="749">
        <v>3.3540000000000001</v>
      </c>
      <c r="P81" s="749">
        <v>8</v>
      </c>
      <c r="Q81" s="201"/>
      <c r="R81" s="227"/>
      <c r="S81" s="227"/>
      <c r="T81" s="227"/>
      <c r="U81" s="736"/>
      <c r="V81" s="736"/>
      <c r="W81" s="736"/>
    </row>
    <row r="82" spans="1:23" s="211" customFormat="1" ht="16.5" hidden="1">
      <c r="A82" s="227"/>
      <c r="B82" s="227"/>
      <c r="C82" s="227"/>
      <c r="D82" s="227"/>
      <c r="E82" s="210"/>
      <c r="F82" s="749"/>
      <c r="G82" s="749"/>
      <c r="H82" s="748">
        <v>10.530000000000001</v>
      </c>
      <c r="I82" s="749"/>
      <c r="J82" s="749"/>
      <c r="K82" s="749"/>
      <c r="L82" s="749"/>
      <c r="M82" s="749"/>
      <c r="N82" s="749"/>
      <c r="O82" s="749"/>
      <c r="P82" s="749"/>
      <c r="Q82" s="201"/>
      <c r="R82" s="227"/>
      <c r="S82" s="227"/>
      <c r="T82" s="227"/>
      <c r="U82" s="736"/>
      <c r="V82" s="736"/>
      <c r="W82" s="736"/>
    </row>
    <row r="83" spans="1:23" s="211" customFormat="1" ht="16.5" hidden="1">
      <c r="A83" s="227"/>
      <c r="B83" s="227"/>
      <c r="C83" s="227"/>
      <c r="D83" s="227"/>
      <c r="E83" s="210"/>
      <c r="F83" s="749">
        <v>12</v>
      </c>
      <c r="G83" s="749" t="s">
        <v>4403</v>
      </c>
      <c r="H83" s="748"/>
      <c r="I83" s="749">
        <v>3.35</v>
      </c>
      <c r="J83" s="749">
        <v>3.43</v>
      </c>
      <c r="K83" s="749">
        <v>3.35</v>
      </c>
      <c r="L83" s="749">
        <v>8</v>
      </c>
      <c r="M83" s="749">
        <v>3.351</v>
      </c>
      <c r="N83" s="749">
        <v>3.4279999999999999</v>
      </c>
      <c r="O83" s="749">
        <v>3.351</v>
      </c>
      <c r="P83" s="749">
        <v>8</v>
      </c>
      <c r="Q83" s="201"/>
      <c r="R83" s="227"/>
      <c r="S83" s="227"/>
      <c r="T83" s="227"/>
      <c r="U83" s="736"/>
      <c r="V83" s="736"/>
      <c r="W83" s="736"/>
    </row>
    <row r="84" spans="1:23" s="211" customFormat="1" ht="16.5" hidden="1">
      <c r="A84" s="227"/>
      <c r="B84" s="227"/>
      <c r="C84" s="227"/>
      <c r="D84" s="227"/>
      <c r="E84" s="210"/>
      <c r="F84" s="749"/>
      <c r="G84" s="749"/>
      <c r="H84" s="748">
        <v>21.97</v>
      </c>
      <c r="I84" s="749"/>
      <c r="J84" s="749"/>
      <c r="K84" s="749"/>
      <c r="L84" s="749"/>
      <c r="M84" s="749"/>
      <c r="N84" s="749"/>
      <c r="O84" s="749"/>
      <c r="P84" s="749"/>
      <c r="Q84" s="201"/>
      <c r="R84" s="227"/>
      <c r="S84" s="227"/>
      <c r="T84" s="227"/>
      <c r="U84" s="736"/>
      <c r="V84" s="736"/>
      <c r="W84" s="736"/>
    </row>
    <row r="85" spans="1:23" s="211" customFormat="1" ht="16.5" hidden="1">
      <c r="A85" s="227"/>
      <c r="B85" s="227"/>
      <c r="C85" s="227"/>
      <c r="D85" s="227"/>
      <c r="E85" s="210"/>
      <c r="F85" s="749">
        <v>13</v>
      </c>
      <c r="G85" s="749" t="s">
        <v>4404</v>
      </c>
      <c r="H85" s="748"/>
      <c r="I85" s="749">
        <v>3.35</v>
      </c>
      <c r="J85" s="749">
        <v>3.43</v>
      </c>
      <c r="K85" s="749">
        <v>3.35</v>
      </c>
      <c r="L85" s="749">
        <v>8</v>
      </c>
      <c r="M85" s="749">
        <v>3.351</v>
      </c>
      <c r="N85" s="749">
        <v>3.43</v>
      </c>
      <c r="O85" s="749">
        <v>3.3519999999999999</v>
      </c>
      <c r="P85" s="749">
        <v>8</v>
      </c>
      <c r="Q85" s="201"/>
      <c r="R85" s="227"/>
      <c r="S85" s="227"/>
      <c r="T85" s="227"/>
      <c r="U85" s="736"/>
      <c r="V85" s="736"/>
      <c r="W85" s="736"/>
    </row>
    <row r="86" spans="1:23" s="211" customFormat="1" ht="16.5" hidden="1">
      <c r="A86" s="227"/>
      <c r="B86" s="227"/>
      <c r="C86" s="227"/>
      <c r="D86" s="227"/>
      <c r="E86" s="210"/>
      <c r="F86" s="749"/>
      <c r="G86" s="749"/>
      <c r="H86" s="748">
        <v>12</v>
      </c>
      <c r="I86" s="749"/>
      <c r="J86" s="749"/>
      <c r="K86" s="749"/>
      <c r="L86" s="749"/>
      <c r="M86" s="749"/>
      <c r="N86" s="749"/>
      <c r="O86" s="749"/>
      <c r="P86" s="749"/>
      <c r="Q86" s="201"/>
      <c r="R86" s="227"/>
      <c r="S86" s="227"/>
      <c r="T86" s="227"/>
      <c r="U86" s="736"/>
      <c r="V86" s="736"/>
      <c r="W86" s="736"/>
    </row>
    <row r="87" spans="1:23" s="211" customFormat="1" ht="16.5" hidden="1">
      <c r="A87" s="227"/>
      <c r="B87" s="227"/>
      <c r="C87" s="227"/>
      <c r="D87" s="227"/>
      <c r="E87" s="210"/>
      <c r="F87" s="749">
        <v>14</v>
      </c>
      <c r="G87" s="749" t="s">
        <v>4405</v>
      </c>
      <c r="H87" s="748"/>
      <c r="I87" s="749">
        <v>3.35</v>
      </c>
      <c r="J87" s="749">
        <v>3.43</v>
      </c>
      <c r="K87" s="749">
        <v>3.35</v>
      </c>
      <c r="L87" s="749">
        <v>8</v>
      </c>
      <c r="M87" s="749">
        <v>3.3490000000000002</v>
      </c>
      <c r="N87" s="749">
        <v>3.4319999999999999</v>
      </c>
      <c r="O87" s="749">
        <v>3.3460000000000001</v>
      </c>
      <c r="P87" s="749">
        <v>8</v>
      </c>
      <c r="Q87" s="201"/>
      <c r="R87" s="227"/>
      <c r="S87" s="227"/>
      <c r="T87" s="227"/>
      <c r="U87" s="736"/>
      <c r="V87" s="736"/>
      <c r="W87" s="736"/>
    </row>
    <row r="88" spans="1:23" s="211" customFormat="1" ht="16.5" hidden="1">
      <c r="A88" s="227"/>
      <c r="B88" s="227"/>
      <c r="C88" s="227"/>
      <c r="D88" s="227"/>
      <c r="E88" s="210"/>
      <c r="F88" s="749"/>
      <c r="G88" s="749"/>
      <c r="H88" s="748">
        <v>12</v>
      </c>
      <c r="I88" s="749"/>
      <c r="J88" s="749"/>
      <c r="K88" s="749"/>
      <c r="L88" s="749"/>
      <c r="M88" s="749"/>
      <c r="N88" s="749"/>
      <c r="O88" s="749"/>
      <c r="P88" s="749"/>
      <c r="Q88" s="201"/>
      <c r="R88" s="227"/>
      <c r="S88" s="227"/>
      <c r="T88" s="227"/>
      <c r="U88" s="736"/>
      <c r="V88" s="736"/>
      <c r="W88" s="736"/>
    </row>
    <row r="89" spans="1:23" s="211" customFormat="1" ht="16.5" hidden="1">
      <c r="A89" s="227"/>
      <c r="B89" s="227"/>
      <c r="C89" s="227"/>
      <c r="D89" s="227"/>
      <c r="E89" s="210"/>
      <c r="F89" s="749">
        <v>15</v>
      </c>
      <c r="G89" s="749" t="s">
        <v>4406</v>
      </c>
      <c r="H89" s="748"/>
      <c r="I89" s="749">
        <v>3.34</v>
      </c>
      <c r="J89" s="749">
        <v>3.42</v>
      </c>
      <c r="K89" s="749">
        <v>3.34</v>
      </c>
      <c r="L89" s="749">
        <v>8</v>
      </c>
      <c r="M89" s="749">
        <v>3.339</v>
      </c>
      <c r="N89" s="749">
        <v>3.42</v>
      </c>
      <c r="O89" s="749">
        <v>3.34</v>
      </c>
      <c r="P89" s="749">
        <v>8</v>
      </c>
      <c r="Q89" s="201"/>
      <c r="R89" s="227"/>
      <c r="S89" s="227"/>
      <c r="T89" s="227"/>
      <c r="U89" s="736"/>
      <c r="V89" s="736"/>
      <c r="W89" s="736"/>
    </row>
    <row r="90" spans="1:23" s="211" customFormat="1" ht="16.5" hidden="1">
      <c r="A90" s="227"/>
      <c r="B90" s="227"/>
      <c r="C90" s="227"/>
      <c r="D90" s="227"/>
      <c r="E90" s="210"/>
      <c r="F90" s="749"/>
      <c r="G90" s="749"/>
      <c r="H90" s="748">
        <v>19.03</v>
      </c>
      <c r="I90" s="749"/>
      <c r="J90" s="749"/>
      <c r="K90" s="749"/>
      <c r="L90" s="749"/>
      <c r="M90" s="749"/>
      <c r="N90" s="749"/>
      <c r="O90" s="749"/>
      <c r="P90" s="749"/>
      <c r="Q90" s="201"/>
      <c r="R90" s="227"/>
      <c r="S90" s="227"/>
      <c r="T90" s="227"/>
      <c r="U90" s="736"/>
      <c r="V90" s="736"/>
      <c r="W90" s="736"/>
    </row>
    <row r="91" spans="1:23" s="211" customFormat="1" ht="16.5" hidden="1">
      <c r="A91" s="227"/>
      <c r="B91" s="227"/>
      <c r="C91" s="227"/>
      <c r="D91" s="227"/>
      <c r="E91" s="210"/>
      <c r="F91" s="749">
        <v>16</v>
      </c>
      <c r="G91" s="749" t="s">
        <v>4407</v>
      </c>
      <c r="H91" s="748"/>
      <c r="I91" s="749">
        <v>3.34</v>
      </c>
      <c r="J91" s="749">
        <v>3.42</v>
      </c>
      <c r="K91" s="749">
        <v>3.34</v>
      </c>
      <c r="L91" s="749">
        <v>8</v>
      </c>
      <c r="M91" s="749">
        <v>3.3370000000000002</v>
      </c>
      <c r="N91" s="749">
        <v>3.4169999999999998</v>
      </c>
      <c r="O91" s="749">
        <v>3.3439999999999999</v>
      </c>
      <c r="P91" s="749">
        <v>8</v>
      </c>
      <c r="Q91" s="201"/>
      <c r="R91" s="227"/>
      <c r="S91" s="227"/>
      <c r="T91" s="227"/>
      <c r="U91" s="736"/>
      <c r="V91" s="736"/>
      <c r="W91" s="736"/>
    </row>
    <row r="92" spans="1:23" s="211" customFormat="1" ht="16.5" hidden="1">
      <c r="A92" s="227"/>
      <c r="B92" s="227"/>
      <c r="C92" s="227"/>
      <c r="D92" s="227"/>
      <c r="E92" s="210"/>
      <c r="F92" s="749"/>
      <c r="G92" s="749"/>
      <c r="H92" s="748">
        <v>13.469999999999999</v>
      </c>
      <c r="I92" s="749"/>
      <c r="J92" s="749"/>
      <c r="K92" s="749"/>
      <c r="L92" s="749"/>
      <c r="M92" s="749"/>
      <c r="N92" s="749"/>
      <c r="O92" s="749"/>
      <c r="P92" s="749"/>
      <c r="Q92" s="201"/>
      <c r="R92" s="227"/>
      <c r="S92" s="227"/>
      <c r="T92" s="227"/>
      <c r="U92" s="736"/>
      <c r="V92" s="736"/>
      <c r="W92" s="736"/>
    </row>
    <row r="93" spans="1:23" s="211" customFormat="1" ht="16.5" hidden="1">
      <c r="A93" s="227"/>
      <c r="B93" s="227"/>
      <c r="C93" s="227"/>
      <c r="D93" s="227"/>
      <c r="E93" s="210"/>
      <c r="F93" s="749">
        <v>17</v>
      </c>
      <c r="G93" s="749" t="s">
        <v>4408</v>
      </c>
      <c r="H93" s="748"/>
      <c r="I93" s="749">
        <v>3.34</v>
      </c>
      <c r="J93" s="749">
        <v>3.42</v>
      </c>
      <c r="K93" s="749">
        <v>3.34</v>
      </c>
      <c r="L93" s="749">
        <v>8</v>
      </c>
      <c r="M93" s="749">
        <v>3.3380000000000001</v>
      </c>
      <c r="N93" s="749">
        <v>3.4239999999999999</v>
      </c>
      <c r="O93" s="749">
        <v>3.3460000000000001</v>
      </c>
      <c r="P93" s="749">
        <v>8</v>
      </c>
      <c r="Q93" s="201"/>
      <c r="R93" s="227"/>
      <c r="S93" s="227"/>
      <c r="T93" s="227"/>
      <c r="U93" s="736"/>
      <c r="V93" s="736"/>
      <c r="W93" s="736"/>
    </row>
    <row r="94" spans="1:23" s="211" customFormat="1" ht="16.5" hidden="1">
      <c r="A94" s="227"/>
      <c r="B94" s="227"/>
      <c r="C94" s="227"/>
      <c r="D94" s="227"/>
      <c r="E94" s="210"/>
      <c r="F94" s="749"/>
      <c r="G94" s="749"/>
      <c r="H94" s="748">
        <v>9</v>
      </c>
      <c r="I94" s="749"/>
      <c r="J94" s="749"/>
      <c r="K94" s="749"/>
      <c r="L94" s="749"/>
      <c r="M94" s="749"/>
      <c r="N94" s="749"/>
      <c r="O94" s="749"/>
      <c r="P94" s="749"/>
      <c r="Q94" s="201"/>
      <c r="R94" s="227"/>
      <c r="S94" s="227"/>
      <c r="T94" s="227"/>
      <c r="U94" s="736"/>
      <c r="V94" s="736"/>
      <c r="W94" s="736"/>
    </row>
    <row r="95" spans="1:23" s="211" customFormat="1" ht="16.5" hidden="1">
      <c r="A95" s="227"/>
      <c r="B95" s="227"/>
      <c r="C95" s="227"/>
      <c r="D95" s="227"/>
      <c r="E95" s="210"/>
      <c r="F95" s="749">
        <v>18</v>
      </c>
      <c r="G95" s="749" t="s">
        <v>4409</v>
      </c>
      <c r="H95" s="748"/>
      <c r="I95" s="749">
        <v>3.34</v>
      </c>
      <c r="J95" s="749">
        <v>3.42</v>
      </c>
      <c r="K95" s="749">
        <v>3.34</v>
      </c>
      <c r="L95" s="749">
        <v>8</v>
      </c>
      <c r="M95" s="749">
        <v>3.3380000000000001</v>
      </c>
      <c r="N95" s="749">
        <v>3.4169999999999998</v>
      </c>
      <c r="O95" s="749">
        <v>3.3319999999999999</v>
      </c>
      <c r="P95" s="749">
        <v>8</v>
      </c>
      <c r="Q95" s="201"/>
      <c r="R95" s="227"/>
      <c r="S95" s="227"/>
      <c r="T95" s="227"/>
      <c r="U95" s="736"/>
      <c r="V95" s="736"/>
      <c r="W95" s="736"/>
    </row>
    <row r="96" spans="1:23" s="211" customFormat="1" ht="16.5" hidden="1">
      <c r="A96" s="227"/>
      <c r="B96" s="227"/>
      <c r="C96" s="227"/>
      <c r="D96" s="227"/>
      <c r="E96" s="210"/>
      <c r="F96" s="749"/>
      <c r="G96" s="749"/>
      <c r="H96" s="748"/>
      <c r="I96" s="749"/>
      <c r="J96" s="749"/>
      <c r="K96" s="749"/>
      <c r="L96" s="749"/>
      <c r="M96" s="749"/>
      <c r="N96" s="749"/>
      <c r="O96" s="749"/>
      <c r="P96" s="749"/>
      <c r="Q96" s="201"/>
      <c r="R96" s="227"/>
      <c r="S96" s="227"/>
      <c r="T96" s="227"/>
      <c r="U96" s="736"/>
      <c r="V96" s="736"/>
      <c r="W96" s="736"/>
    </row>
    <row r="97" spans="1:23" s="211" customFormat="1" ht="16.5" hidden="1">
      <c r="A97" s="227"/>
      <c r="B97" s="227"/>
      <c r="C97" s="227"/>
      <c r="D97" s="227"/>
      <c r="E97" s="210"/>
      <c r="F97" s="749"/>
      <c r="G97" s="749"/>
      <c r="H97" s="748"/>
      <c r="I97" s="749"/>
      <c r="J97" s="749"/>
      <c r="K97" s="749"/>
      <c r="L97" s="749"/>
      <c r="M97" s="749"/>
      <c r="N97" s="749"/>
      <c r="O97" s="749"/>
      <c r="P97" s="749"/>
      <c r="Q97" s="201"/>
      <c r="R97" s="227"/>
      <c r="S97" s="227"/>
      <c r="T97" s="227"/>
      <c r="U97" s="736"/>
      <c r="V97" s="736"/>
      <c r="W97" s="736"/>
    </row>
    <row r="98" spans="1:23" s="211" customFormat="1" ht="16.5" hidden="1">
      <c r="A98" s="227"/>
      <c r="B98" s="227"/>
      <c r="C98" s="227"/>
      <c r="D98" s="227"/>
      <c r="E98" s="210"/>
      <c r="F98" s="749"/>
      <c r="G98" s="749"/>
      <c r="H98" s="748"/>
      <c r="I98" s="749"/>
      <c r="J98" s="749"/>
      <c r="K98" s="749"/>
      <c r="L98" s="749"/>
      <c r="M98" s="749"/>
      <c r="N98" s="749"/>
      <c r="O98" s="749"/>
      <c r="P98" s="749"/>
      <c r="Q98" s="201"/>
      <c r="R98" s="227"/>
      <c r="S98" s="227"/>
      <c r="T98" s="227"/>
      <c r="U98" s="736"/>
      <c r="V98" s="736"/>
      <c r="W98" s="736"/>
    </row>
    <row r="99" spans="1:23" s="211" customFormat="1" ht="16.5" hidden="1">
      <c r="A99" s="227"/>
      <c r="B99" s="227"/>
      <c r="C99" s="227"/>
      <c r="D99" s="227"/>
      <c r="E99" s="210"/>
      <c r="F99" s="749"/>
      <c r="G99" s="749"/>
      <c r="H99" s="748"/>
      <c r="I99" s="749"/>
      <c r="J99" s="749"/>
      <c r="K99" s="749"/>
      <c r="L99" s="749"/>
      <c r="M99" s="749"/>
      <c r="N99" s="749"/>
      <c r="O99" s="749"/>
      <c r="P99" s="749"/>
      <c r="Q99" s="201"/>
      <c r="R99" s="227"/>
      <c r="S99" s="227"/>
      <c r="T99" s="227"/>
      <c r="U99" s="736"/>
      <c r="V99" s="736"/>
      <c r="W99" s="736"/>
    </row>
    <row r="100" spans="1:23" s="211" customFormat="1" ht="16.5" hidden="1">
      <c r="A100" s="227"/>
      <c r="B100" s="227"/>
      <c r="C100" s="227"/>
      <c r="D100" s="227"/>
      <c r="E100" s="210"/>
      <c r="F100" s="749"/>
      <c r="G100" s="749"/>
      <c r="H100" s="748"/>
      <c r="I100" s="749"/>
      <c r="J100" s="749"/>
      <c r="K100" s="749"/>
      <c r="L100" s="749"/>
      <c r="M100" s="749"/>
      <c r="N100" s="749"/>
      <c r="O100" s="749"/>
      <c r="P100" s="749"/>
      <c r="Q100" s="201"/>
      <c r="R100" s="227"/>
      <c r="S100" s="227"/>
      <c r="T100" s="227"/>
      <c r="U100" s="736"/>
      <c r="V100" s="736"/>
      <c r="W100" s="736"/>
    </row>
    <row r="101" spans="1:23" s="211" customFormat="1" ht="16.5" hidden="1">
      <c r="A101" s="227"/>
      <c r="B101" s="227"/>
      <c r="C101" s="227"/>
      <c r="D101" s="227"/>
      <c r="E101" s="210"/>
      <c r="F101" s="749"/>
      <c r="G101" s="749"/>
      <c r="H101" s="748"/>
      <c r="I101" s="749"/>
      <c r="J101" s="749"/>
      <c r="K101" s="749"/>
      <c r="L101" s="749"/>
      <c r="M101" s="749"/>
      <c r="N101" s="749"/>
      <c r="O101" s="749"/>
      <c r="P101" s="749"/>
      <c r="Q101" s="201"/>
      <c r="R101" s="227"/>
      <c r="S101" s="227"/>
      <c r="T101" s="227"/>
      <c r="U101" s="736"/>
      <c r="V101" s="736"/>
      <c r="W101" s="736"/>
    </row>
    <row r="102" spans="1:23" s="211" customFormat="1" ht="16.5" hidden="1">
      <c r="A102" s="227"/>
      <c r="B102" s="227"/>
      <c r="C102" s="227"/>
      <c r="D102" s="227"/>
      <c r="E102" s="210"/>
      <c r="F102" s="749"/>
      <c r="G102" s="749"/>
      <c r="H102" s="748"/>
      <c r="I102" s="749"/>
      <c r="J102" s="749"/>
      <c r="K102" s="749"/>
      <c r="L102" s="749"/>
      <c r="M102" s="749"/>
      <c r="N102" s="749"/>
      <c r="O102" s="749"/>
      <c r="P102" s="749"/>
      <c r="Q102" s="201"/>
      <c r="R102" s="227"/>
      <c r="S102" s="227"/>
      <c r="T102" s="227"/>
      <c r="U102" s="736"/>
      <c r="V102" s="736"/>
      <c r="W102" s="736"/>
    </row>
    <row r="103" spans="1:23" s="211" customFormat="1" ht="16.5" hidden="1">
      <c r="A103" s="227"/>
      <c r="B103" s="227"/>
      <c r="C103" s="227"/>
      <c r="D103" s="227"/>
      <c r="E103" s="210"/>
      <c r="F103" s="749"/>
      <c r="G103" s="749"/>
      <c r="H103" s="748"/>
      <c r="I103" s="749"/>
      <c r="J103" s="749"/>
      <c r="K103" s="749"/>
      <c r="L103" s="749"/>
      <c r="M103" s="749"/>
      <c r="N103" s="749"/>
      <c r="O103" s="749"/>
      <c r="P103" s="749"/>
      <c r="Q103" s="201"/>
      <c r="R103" s="227"/>
      <c r="S103" s="227"/>
      <c r="T103" s="227"/>
      <c r="U103" s="736"/>
      <c r="V103" s="736"/>
      <c r="W103" s="736"/>
    </row>
    <row r="104" spans="1:23" s="211" customFormat="1" ht="16.5" hidden="1">
      <c r="A104" s="227"/>
      <c r="B104" s="227"/>
      <c r="C104" s="227"/>
      <c r="D104" s="227"/>
      <c r="E104" s="210"/>
      <c r="F104" s="749"/>
      <c r="G104" s="749"/>
      <c r="H104" s="748"/>
      <c r="I104" s="749"/>
      <c r="J104" s="749"/>
      <c r="K104" s="749"/>
      <c r="L104" s="749"/>
      <c r="M104" s="749"/>
      <c r="N104" s="749"/>
      <c r="O104" s="749"/>
      <c r="P104" s="749"/>
      <c r="Q104" s="201"/>
      <c r="R104" s="227"/>
      <c r="S104" s="227"/>
      <c r="T104" s="227"/>
      <c r="U104" s="736"/>
      <c r="V104" s="736"/>
      <c r="W104" s="736"/>
    </row>
    <row r="105" spans="1:23" s="211" customFormat="1" ht="16.5" hidden="1">
      <c r="A105" s="227"/>
      <c r="B105" s="227"/>
      <c r="C105" s="227"/>
      <c r="D105" s="227"/>
      <c r="E105" s="210"/>
      <c r="F105" s="749"/>
      <c r="G105" s="749"/>
      <c r="H105" s="748"/>
      <c r="I105" s="749"/>
      <c r="J105" s="749"/>
      <c r="K105" s="749"/>
      <c r="L105" s="749"/>
      <c r="M105" s="749"/>
      <c r="N105" s="749"/>
      <c r="O105" s="749"/>
      <c r="P105" s="749"/>
      <c r="Q105" s="201"/>
      <c r="R105" s="227"/>
      <c r="S105" s="227"/>
      <c r="T105" s="227"/>
      <c r="U105" s="736"/>
      <c r="V105" s="736"/>
      <c r="W105" s="736"/>
    </row>
    <row r="106" spans="1:23" s="211" customFormat="1" ht="16.5" hidden="1">
      <c r="A106" s="227"/>
      <c r="B106" s="227"/>
      <c r="C106" s="227"/>
      <c r="D106" s="227"/>
      <c r="E106" s="210"/>
      <c r="F106" s="749"/>
      <c r="G106" s="749"/>
      <c r="H106" s="748"/>
      <c r="I106" s="749"/>
      <c r="J106" s="749"/>
      <c r="K106" s="749"/>
      <c r="L106" s="749"/>
      <c r="M106" s="749"/>
      <c r="N106" s="749"/>
      <c r="O106" s="749"/>
      <c r="P106" s="749"/>
      <c r="Q106" s="201"/>
      <c r="R106" s="227"/>
      <c r="S106" s="227"/>
      <c r="T106" s="227"/>
      <c r="U106" s="736"/>
      <c r="V106" s="736"/>
      <c r="W106" s="736"/>
    </row>
    <row r="107" spans="1:23" s="211" customFormat="1" ht="16.5" hidden="1">
      <c r="A107" s="227"/>
      <c r="B107" s="227"/>
      <c r="C107" s="227"/>
      <c r="D107" s="227"/>
      <c r="E107" s="210"/>
      <c r="F107" s="749"/>
      <c r="G107" s="749"/>
      <c r="H107" s="748"/>
      <c r="I107" s="749"/>
      <c r="J107" s="749"/>
      <c r="K107" s="749"/>
      <c r="L107" s="749"/>
      <c r="M107" s="749"/>
      <c r="N107" s="749"/>
      <c r="O107" s="749"/>
      <c r="P107" s="749"/>
      <c r="Q107" s="201"/>
      <c r="R107" s="227"/>
      <c r="S107" s="227"/>
      <c r="T107" s="227"/>
      <c r="U107" s="736"/>
      <c r="V107" s="736"/>
      <c r="W107" s="736"/>
    </row>
    <row r="108" spans="1:23" s="211" customFormat="1" ht="16.5" hidden="1">
      <c r="A108" s="227"/>
      <c r="B108" s="227"/>
      <c r="C108" s="227"/>
      <c r="D108" s="227"/>
      <c r="E108" s="210"/>
      <c r="F108" s="749"/>
      <c r="G108" s="749"/>
      <c r="H108" s="748"/>
      <c r="I108" s="749"/>
      <c r="J108" s="749"/>
      <c r="K108" s="749"/>
      <c r="L108" s="749"/>
      <c r="M108" s="749"/>
      <c r="N108" s="749"/>
      <c r="O108" s="749"/>
      <c r="P108" s="749"/>
      <c r="Q108" s="201"/>
      <c r="R108" s="227"/>
      <c r="S108" s="227"/>
      <c r="T108" s="227"/>
      <c r="U108" s="736"/>
      <c r="V108" s="736"/>
      <c r="W108" s="736"/>
    </row>
    <row r="109" spans="1:23" s="211" customFormat="1" ht="16.5" hidden="1">
      <c r="A109" s="227"/>
      <c r="B109" s="227"/>
      <c r="C109" s="227"/>
      <c r="D109" s="227"/>
      <c r="E109" s="210"/>
      <c r="F109" s="749"/>
      <c r="G109" s="749"/>
      <c r="H109" s="748"/>
      <c r="I109" s="749"/>
      <c r="J109" s="749"/>
      <c r="K109" s="749"/>
      <c r="L109" s="749"/>
      <c r="M109" s="749"/>
      <c r="N109" s="749"/>
      <c r="O109" s="749"/>
      <c r="P109" s="749"/>
      <c r="Q109" s="201"/>
      <c r="R109" s="227"/>
      <c r="S109" s="227"/>
      <c r="T109" s="227"/>
      <c r="U109" s="736"/>
      <c r="V109" s="736"/>
      <c r="W109" s="736"/>
    </row>
    <row r="110" spans="1:23" s="211" customFormat="1" ht="16.5" hidden="1">
      <c r="A110" s="227"/>
      <c r="B110" s="227"/>
      <c r="C110" s="227"/>
      <c r="D110" s="227"/>
      <c r="E110" s="210"/>
      <c r="F110" s="749"/>
      <c r="G110" s="749"/>
      <c r="H110" s="748"/>
      <c r="I110" s="749"/>
      <c r="J110" s="749"/>
      <c r="K110" s="749"/>
      <c r="L110" s="749"/>
      <c r="M110" s="749"/>
      <c r="N110" s="749"/>
      <c r="O110" s="749"/>
      <c r="P110" s="749"/>
      <c r="Q110" s="201"/>
      <c r="R110" s="227"/>
      <c r="S110" s="227"/>
      <c r="T110" s="227"/>
      <c r="U110" s="736"/>
      <c r="V110" s="736"/>
      <c r="W110" s="736"/>
    </row>
    <row r="111" spans="1:23" s="211" customFormat="1" ht="16.5" hidden="1">
      <c r="A111" s="227"/>
      <c r="B111" s="227"/>
      <c r="C111" s="227"/>
      <c r="D111" s="227"/>
      <c r="E111" s="210"/>
      <c r="F111" s="749"/>
      <c r="G111" s="749"/>
      <c r="H111" s="748"/>
      <c r="I111" s="749"/>
      <c r="J111" s="749"/>
      <c r="K111" s="749"/>
      <c r="L111" s="749"/>
      <c r="M111" s="749"/>
      <c r="N111" s="749"/>
      <c r="O111" s="749"/>
      <c r="P111" s="749"/>
      <c r="Q111" s="201"/>
      <c r="R111" s="227"/>
      <c r="S111" s="227"/>
      <c r="T111" s="227"/>
      <c r="U111" s="736"/>
      <c r="V111" s="736"/>
      <c r="W111" s="736"/>
    </row>
    <row r="112" spans="1:23" s="211" customFormat="1" ht="16.5" hidden="1">
      <c r="A112" s="227"/>
      <c r="B112" s="227"/>
      <c r="C112" s="227"/>
      <c r="D112" s="227"/>
      <c r="E112" s="210"/>
      <c r="F112" s="749"/>
      <c r="G112" s="749"/>
      <c r="H112" s="748"/>
      <c r="I112" s="749"/>
      <c r="J112" s="749"/>
      <c r="K112" s="749"/>
      <c r="L112" s="749"/>
      <c r="M112" s="749"/>
      <c r="N112" s="749"/>
      <c r="O112" s="749"/>
      <c r="P112" s="749"/>
      <c r="Q112" s="201"/>
      <c r="R112" s="227"/>
      <c r="S112" s="227"/>
      <c r="T112" s="227"/>
      <c r="U112" s="736"/>
      <c r="V112" s="736"/>
      <c r="W112" s="736"/>
    </row>
    <row r="113" spans="1:23" s="211" customFormat="1" ht="16.5" hidden="1">
      <c r="A113" s="227"/>
      <c r="B113" s="227"/>
      <c r="C113" s="227"/>
      <c r="D113" s="227"/>
      <c r="E113" s="210"/>
      <c r="F113" s="749"/>
      <c r="G113" s="749"/>
      <c r="H113" s="748"/>
      <c r="I113" s="749"/>
      <c r="J113" s="749"/>
      <c r="K113" s="749"/>
      <c r="L113" s="749"/>
      <c r="M113" s="749"/>
      <c r="N113" s="749"/>
      <c r="O113" s="749"/>
      <c r="P113" s="749"/>
      <c r="Q113" s="201"/>
      <c r="R113" s="227"/>
      <c r="S113" s="227"/>
      <c r="T113" s="227"/>
      <c r="U113" s="736"/>
      <c r="V113" s="736"/>
      <c r="W113" s="736"/>
    </row>
    <row r="114" spans="1:23" s="211" customFormat="1" ht="16.5" hidden="1">
      <c r="A114" s="227"/>
      <c r="B114" s="227"/>
      <c r="C114" s="227"/>
      <c r="D114" s="227"/>
      <c r="E114" s="210"/>
      <c r="F114" s="749"/>
      <c r="G114" s="749"/>
      <c r="H114" s="748"/>
      <c r="I114" s="749"/>
      <c r="J114" s="749"/>
      <c r="K114" s="749"/>
      <c r="L114" s="749"/>
      <c r="M114" s="749"/>
      <c r="N114" s="749"/>
      <c r="O114" s="749"/>
      <c r="P114" s="749"/>
      <c r="Q114" s="201"/>
      <c r="R114" s="227"/>
      <c r="S114" s="227"/>
      <c r="T114" s="227"/>
      <c r="U114" s="736"/>
      <c r="V114" s="736"/>
      <c r="W114" s="736"/>
    </row>
    <row r="115" spans="1:23" s="211" customFormat="1" ht="16.5" hidden="1">
      <c r="A115" s="227"/>
      <c r="B115" s="227"/>
      <c r="C115" s="227"/>
      <c r="D115" s="227"/>
      <c r="E115" s="210"/>
      <c r="F115" s="749"/>
      <c r="G115" s="749"/>
      <c r="H115" s="748"/>
      <c r="I115" s="749"/>
      <c r="J115" s="749"/>
      <c r="K115" s="749"/>
      <c r="L115" s="749"/>
      <c r="M115" s="749"/>
      <c r="N115" s="749"/>
      <c r="O115" s="749"/>
      <c r="P115" s="749"/>
      <c r="Q115" s="201"/>
      <c r="R115" s="227"/>
      <c r="S115" s="227"/>
      <c r="T115" s="227"/>
      <c r="U115" s="736"/>
      <c r="V115" s="736"/>
      <c r="W115" s="736"/>
    </row>
    <row r="116" spans="1:23" s="211" customFormat="1" ht="16.5" hidden="1">
      <c r="A116" s="227"/>
      <c r="B116" s="227"/>
      <c r="C116" s="227"/>
      <c r="D116" s="227"/>
      <c r="E116" s="210"/>
      <c r="F116" s="749"/>
      <c r="G116" s="749"/>
      <c r="H116" s="748"/>
      <c r="I116" s="749"/>
      <c r="J116" s="749"/>
      <c r="K116" s="749"/>
      <c r="L116" s="749"/>
      <c r="M116" s="749"/>
      <c r="N116" s="749"/>
      <c r="O116" s="749"/>
      <c r="P116" s="749"/>
      <c r="Q116" s="201"/>
      <c r="R116" s="227"/>
      <c r="S116" s="227"/>
      <c r="T116" s="227"/>
      <c r="U116" s="736"/>
      <c r="V116" s="736"/>
      <c r="W116" s="736"/>
    </row>
    <row r="117" spans="1:23" s="211" customFormat="1" ht="16.5" hidden="1">
      <c r="A117" s="227"/>
      <c r="B117" s="227"/>
      <c r="C117" s="227"/>
      <c r="D117" s="227"/>
      <c r="E117" s="210"/>
      <c r="F117" s="749"/>
      <c r="G117" s="749"/>
      <c r="H117" s="748"/>
      <c r="I117" s="749"/>
      <c r="J117" s="749"/>
      <c r="K117" s="749"/>
      <c r="L117" s="749"/>
      <c r="M117" s="749"/>
      <c r="N117" s="749"/>
      <c r="O117" s="749"/>
      <c r="P117" s="749"/>
      <c r="Q117" s="201"/>
      <c r="R117" s="227"/>
      <c r="S117" s="227"/>
      <c r="T117" s="227"/>
      <c r="U117" s="736"/>
      <c r="V117" s="736"/>
      <c r="W117" s="736"/>
    </row>
    <row r="118" spans="1:23" s="211" customFormat="1" ht="16.5" hidden="1">
      <c r="A118" s="227"/>
      <c r="B118" s="227"/>
      <c r="C118" s="227"/>
      <c r="D118" s="227"/>
      <c r="E118" s="210"/>
      <c r="F118" s="749"/>
      <c r="G118" s="749"/>
      <c r="H118" s="748"/>
      <c r="I118" s="749"/>
      <c r="J118" s="749"/>
      <c r="K118" s="749"/>
      <c r="L118" s="749"/>
      <c r="M118" s="749"/>
      <c r="N118" s="749"/>
      <c r="O118" s="749"/>
      <c r="P118" s="749"/>
      <c r="Q118" s="201"/>
      <c r="R118" s="227"/>
      <c r="S118" s="227"/>
      <c r="T118" s="227"/>
      <c r="U118" s="736"/>
      <c r="V118" s="736"/>
      <c r="W118" s="736"/>
    </row>
    <row r="119" spans="1:23" s="211" customFormat="1" ht="16.5" hidden="1">
      <c r="A119" s="227"/>
      <c r="B119" s="227"/>
      <c r="C119" s="227"/>
      <c r="D119" s="227"/>
      <c r="E119" s="210"/>
      <c r="F119" s="749"/>
      <c r="G119" s="749"/>
      <c r="H119" s="748"/>
      <c r="I119" s="749"/>
      <c r="J119" s="749"/>
      <c r="K119" s="749"/>
      <c r="L119" s="749"/>
      <c r="M119" s="749"/>
      <c r="N119" s="749"/>
      <c r="O119" s="749"/>
      <c r="P119" s="749"/>
      <c r="Q119" s="201"/>
      <c r="R119" s="227"/>
      <c r="S119" s="227"/>
      <c r="T119" s="227"/>
      <c r="U119" s="736"/>
      <c r="V119" s="736"/>
      <c r="W119" s="736"/>
    </row>
    <row r="120" spans="1:23" s="211" customFormat="1" ht="16.5" hidden="1">
      <c r="A120" s="227"/>
      <c r="B120" s="227"/>
      <c r="C120" s="227"/>
      <c r="D120" s="227"/>
      <c r="E120" s="210"/>
      <c r="F120" s="749"/>
      <c r="G120" s="749"/>
      <c r="H120" s="748"/>
      <c r="I120" s="749"/>
      <c r="J120" s="749"/>
      <c r="K120" s="749"/>
      <c r="L120" s="749"/>
      <c r="M120" s="749"/>
      <c r="N120" s="749"/>
      <c r="O120" s="749"/>
      <c r="P120" s="749"/>
      <c r="Q120" s="201"/>
      <c r="R120" s="227"/>
      <c r="S120" s="227"/>
      <c r="T120" s="227"/>
      <c r="U120" s="736"/>
      <c r="V120" s="736"/>
      <c r="W120" s="736"/>
    </row>
    <row r="121" spans="1:23" s="211" customFormat="1" ht="16.5" hidden="1">
      <c r="A121" s="227"/>
      <c r="B121" s="227"/>
      <c r="C121" s="227"/>
      <c r="D121" s="227"/>
      <c r="E121" s="210"/>
      <c r="F121" s="749"/>
      <c r="G121" s="749"/>
      <c r="H121" s="748"/>
      <c r="I121" s="749"/>
      <c r="J121" s="749"/>
      <c r="K121" s="749"/>
      <c r="L121" s="749"/>
      <c r="M121" s="749"/>
      <c r="N121" s="749"/>
      <c r="O121" s="749"/>
      <c r="P121" s="749"/>
      <c r="Q121" s="201"/>
      <c r="R121" s="227"/>
      <c r="S121" s="227"/>
      <c r="T121" s="227"/>
      <c r="U121" s="736"/>
      <c r="V121" s="736"/>
      <c r="W121" s="736"/>
    </row>
    <row r="122" spans="1:23" s="211" customFormat="1" ht="16.5" hidden="1">
      <c r="A122" s="227"/>
      <c r="B122" s="227"/>
      <c r="C122" s="227"/>
      <c r="D122" s="227"/>
      <c r="E122" s="210"/>
      <c r="F122" s="749"/>
      <c r="G122" s="749"/>
      <c r="H122" s="748"/>
      <c r="I122" s="749"/>
      <c r="J122" s="749"/>
      <c r="K122" s="749"/>
      <c r="L122" s="749"/>
      <c r="M122" s="749"/>
      <c r="N122" s="749"/>
      <c r="O122" s="749"/>
      <c r="P122" s="749"/>
      <c r="Q122" s="201"/>
      <c r="R122" s="227"/>
      <c r="S122" s="227"/>
      <c r="T122" s="227"/>
      <c r="U122" s="736"/>
      <c r="V122" s="736"/>
      <c r="W122" s="736"/>
    </row>
    <row r="123" spans="1:23" s="211" customFormat="1" ht="16.5" hidden="1">
      <c r="A123" s="227"/>
      <c r="B123" s="227"/>
      <c r="C123" s="227"/>
      <c r="D123" s="227"/>
      <c r="E123" s="210"/>
      <c r="F123" s="749"/>
      <c r="G123" s="749"/>
      <c r="H123" s="748"/>
      <c r="I123" s="749"/>
      <c r="J123" s="749"/>
      <c r="K123" s="749"/>
      <c r="L123" s="749"/>
      <c r="M123" s="749"/>
      <c r="N123" s="749"/>
      <c r="O123" s="749"/>
      <c r="P123" s="749"/>
      <c r="Q123" s="201"/>
      <c r="R123" s="227"/>
      <c r="S123" s="227"/>
      <c r="T123" s="227"/>
      <c r="U123" s="736"/>
      <c r="V123" s="736"/>
      <c r="W123" s="736"/>
    </row>
    <row r="124" spans="1:23" s="211" customFormat="1" ht="16.5" hidden="1">
      <c r="A124" s="227"/>
      <c r="B124" s="227"/>
      <c r="C124" s="227"/>
      <c r="D124" s="227"/>
      <c r="E124" s="210"/>
      <c r="F124" s="749"/>
      <c r="G124" s="749"/>
      <c r="H124" s="748"/>
      <c r="I124" s="749"/>
      <c r="J124" s="749"/>
      <c r="K124" s="749"/>
      <c r="L124" s="749"/>
      <c r="M124" s="749"/>
      <c r="N124" s="749"/>
      <c r="O124" s="749"/>
      <c r="P124" s="749"/>
      <c r="Q124" s="201"/>
      <c r="R124" s="227"/>
      <c r="S124" s="227"/>
      <c r="T124" s="227"/>
      <c r="U124" s="736"/>
      <c r="V124" s="736"/>
      <c r="W124" s="736"/>
    </row>
    <row r="125" spans="1:23" s="211" customFormat="1" ht="16.5" hidden="1">
      <c r="A125" s="227"/>
      <c r="B125" s="227"/>
      <c r="C125" s="227"/>
      <c r="D125" s="227"/>
      <c r="E125" s="210"/>
      <c r="F125" s="749"/>
      <c r="G125" s="749"/>
      <c r="H125" s="748"/>
      <c r="I125" s="749"/>
      <c r="J125" s="749"/>
      <c r="K125" s="749"/>
      <c r="L125" s="749"/>
      <c r="M125" s="749"/>
      <c r="N125" s="749"/>
      <c r="O125" s="749"/>
      <c r="P125" s="749"/>
      <c r="Q125" s="201"/>
      <c r="R125" s="227"/>
      <c r="S125" s="227"/>
      <c r="T125" s="227"/>
      <c r="U125" s="736"/>
      <c r="V125" s="736"/>
      <c r="W125" s="736"/>
    </row>
    <row r="126" spans="1:23" s="211" customFormat="1" ht="16.5" hidden="1">
      <c r="A126" s="227"/>
      <c r="B126" s="227"/>
      <c r="C126" s="227"/>
      <c r="D126" s="227"/>
      <c r="E126" s="210"/>
      <c r="F126" s="749"/>
      <c r="G126" s="749"/>
      <c r="H126" s="748"/>
      <c r="I126" s="749"/>
      <c r="J126" s="749"/>
      <c r="K126" s="749"/>
      <c r="L126" s="749"/>
      <c r="M126" s="749"/>
      <c r="N126" s="749"/>
      <c r="O126" s="749"/>
      <c r="P126" s="749"/>
      <c r="Q126" s="201"/>
      <c r="R126" s="227"/>
      <c r="S126" s="227"/>
      <c r="T126" s="227"/>
      <c r="U126" s="736"/>
      <c r="V126" s="736"/>
      <c r="W126" s="736"/>
    </row>
    <row r="127" spans="1:23" s="211" customFormat="1" ht="16.5" hidden="1">
      <c r="A127" s="227"/>
      <c r="B127" s="227"/>
      <c r="C127" s="227"/>
      <c r="D127" s="227"/>
      <c r="E127" s="210"/>
      <c r="F127" s="749"/>
      <c r="G127" s="749"/>
      <c r="H127" s="748"/>
      <c r="I127" s="749"/>
      <c r="J127" s="749"/>
      <c r="K127" s="749"/>
      <c r="L127" s="749"/>
      <c r="M127" s="749"/>
      <c r="N127" s="749"/>
      <c r="O127" s="749"/>
      <c r="P127" s="749"/>
      <c r="Q127" s="201"/>
      <c r="R127" s="227"/>
      <c r="S127" s="227"/>
      <c r="T127" s="227"/>
      <c r="U127" s="736"/>
      <c r="V127" s="736"/>
      <c r="W127" s="736"/>
    </row>
    <row r="128" spans="1:23" s="211" customFormat="1" ht="16.5" hidden="1">
      <c r="A128" s="227"/>
      <c r="B128" s="227"/>
      <c r="C128" s="227"/>
      <c r="D128" s="227"/>
      <c r="E128" s="210"/>
      <c r="F128" s="749"/>
      <c r="G128" s="749"/>
      <c r="H128" s="748"/>
      <c r="I128" s="749"/>
      <c r="J128" s="749"/>
      <c r="K128" s="749"/>
      <c r="L128" s="749"/>
      <c r="M128" s="749"/>
      <c r="N128" s="749"/>
      <c r="O128" s="749"/>
      <c r="P128" s="749"/>
      <c r="Q128" s="201"/>
      <c r="R128" s="227"/>
      <c r="S128" s="227"/>
      <c r="T128" s="227"/>
      <c r="U128" s="736"/>
      <c r="V128" s="736"/>
      <c r="W128" s="736"/>
    </row>
    <row r="129" spans="1:23" s="211" customFormat="1" ht="16.5" hidden="1">
      <c r="A129" s="227"/>
      <c r="B129" s="227"/>
      <c r="C129" s="227"/>
      <c r="D129" s="227"/>
      <c r="E129" s="210"/>
      <c r="F129" s="749"/>
      <c r="G129" s="749"/>
      <c r="H129" s="748"/>
      <c r="I129" s="749"/>
      <c r="J129" s="749"/>
      <c r="K129" s="749"/>
      <c r="L129" s="749"/>
      <c r="M129" s="749"/>
      <c r="N129" s="749"/>
      <c r="O129" s="749"/>
      <c r="P129" s="749"/>
      <c r="Q129" s="201"/>
      <c r="R129" s="227"/>
      <c r="S129" s="227"/>
      <c r="T129" s="227"/>
      <c r="U129" s="736"/>
      <c r="V129" s="736"/>
      <c r="W129" s="736"/>
    </row>
    <row r="130" spans="1:23" s="211" customFormat="1" ht="16.5" hidden="1">
      <c r="A130" s="227"/>
      <c r="B130" s="227"/>
      <c r="C130" s="227"/>
      <c r="D130" s="227"/>
      <c r="E130" s="210"/>
      <c r="F130" s="749"/>
      <c r="G130" s="749"/>
      <c r="H130" s="748"/>
      <c r="I130" s="749"/>
      <c r="J130" s="749"/>
      <c r="K130" s="749"/>
      <c r="L130" s="749"/>
      <c r="M130" s="749"/>
      <c r="N130" s="749"/>
      <c r="O130" s="749"/>
      <c r="P130" s="749"/>
      <c r="Q130" s="201"/>
      <c r="R130" s="227"/>
      <c r="S130" s="227"/>
      <c r="T130" s="227"/>
      <c r="U130" s="736"/>
      <c r="V130" s="736"/>
      <c r="W130" s="736"/>
    </row>
    <row r="131" spans="1:23" s="211" customFormat="1" ht="16.5" hidden="1">
      <c r="A131" s="227"/>
      <c r="B131" s="227"/>
      <c r="C131" s="227"/>
      <c r="D131" s="227"/>
      <c r="E131" s="210"/>
      <c r="F131" s="749"/>
      <c r="G131" s="749"/>
      <c r="H131" s="748"/>
      <c r="I131" s="749"/>
      <c r="J131" s="749"/>
      <c r="K131" s="749"/>
      <c r="L131" s="749"/>
      <c r="M131" s="749"/>
      <c r="N131" s="749"/>
      <c r="O131" s="749"/>
      <c r="P131" s="749"/>
      <c r="Q131" s="201"/>
      <c r="R131" s="227"/>
      <c r="S131" s="227"/>
      <c r="T131" s="227"/>
      <c r="U131" s="736"/>
      <c r="V131" s="736"/>
      <c r="W131" s="736"/>
    </row>
    <row r="132" spans="1:23" s="211" customFormat="1" ht="16.5" hidden="1">
      <c r="A132" s="227"/>
      <c r="B132" s="227"/>
      <c r="C132" s="227"/>
      <c r="D132" s="227"/>
      <c r="E132" s="210"/>
      <c r="F132" s="749"/>
      <c r="G132" s="749"/>
      <c r="H132" s="748"/>
      <c r="I132" s="749"/>
      <c r="J132" s="749"/>
      <c r="K132" s="749"/>
      <c r="L132" s="749"/>
      <c r="M132" s="749"/>
      <c r="N132" s="749"/>
      <c r="O132" s="749"/>
      <c r="P132" s="749"/>
      <c r="Q132" s="201"/>
      <c r="R132" s="227"/>
      <c r="S132" s="227"/>
      <c r="T132" s="227"/>
      <c r="U132" s="736"/>
      <c r="V132" s="736"/>
      <c r="W132" s="736"/>
    </row>
    <row r="133" spans="1:23" s="211" customFormat="1" ht="16.5" hidden="1">
      <c r="A133" s="227"/>
      <c r="B133" s="227"/>
      <c r="C133" s="227"/>
      <c r="D133" s="227"/>
      <c r="E133" s="210"/>
      <c r="F133" s="749"/>
      <c r="G133" s="749"/>
      <c r="H133" s="748"/>
      <c r="I133" s="749"/>
      <c r="J133" s="749"/>
      <c r="K133" s="749"/>
      <c r="L133" s="749"/>
      <c r="M133" s="749"/>
      <c r="N133" s="749"/>
      <c r="O133" s="749"/>
      <c r="P133" s="749"/>
      <c r="Q133" s="201"/>
      <c r="R133" s="227"/>
      <c r="S133" s="227"/>
      <c r="T133" s="227"/>
      <c r="U133" s="736"/>
      <c r="V133" s="736"/>
      <c r="W133" s="736"/>
    </row>
    <row r="134" spans="1:23" s="211" customFormat="1" ht="16.5" hidden="1">
      <c r="A134" s="227"/>
      <c r="B134" s="227"/>
      <c r="C134" s="227"/>
      <c r="D134" s="227"/>
      <c r="E134" s="210"/>
      <c r="F134" s="749"/>
      <c r="G134" s="749"/>
      <c r="H134" s="748"/>
      <c r="I134" s="749"/>
      <c r="J134" s="749"/>
      <c r="K134" s="749"/>
      <c r="L134" s="749"/>
      <c r="M134" s="749"/>
      <c r="N134" s="749"/>
      <c r="O134" s="749"/>
      <c r="P134" s="749"/>
      <c r="Q134" s="201"/>
      <c r="R134" s="227"/>
      <c r="S134" s="227"/>
      <c r="T134" s="227"/>
      <c r="U134" s="736"/>
      <c r="V134" s="736"/>
      <c r="W134" s="736"/>
    </row>
    <row r="135" spans="1:23" s="211" customFormat="1" ht="16.5" hidden="1">
      <c r="A135" s="227"/>
      <c r="B135" s="227"/>
      <c r="C135" s="227"/>
      <c r="D135" s="227"/>
      <c r="E135" s="210"/>
      <c r="F135" s="749"/>
      <c r="G135" s="749"/>
      <c r="H135" s="748"/>
      <c r="I135" s="749"/>
      <c r="J135" s="749"/>
      <c r="K135" s="749"/>
      <c r="L135" s="749"/>
      <c r="M135" s="749"/>
      <c r="N135" s="749"/>
      <c r="O135" s="749"/>
      <c r="P135" s="749"/>
      <c r="Q135" s="201"/>
      <c r="R135" s="227"/>
      <c r="S135" s="227"/>
      <c r="T135" s="227"/>
      <c r="U135" s="736"/>
      <c r="V135" s="736"/>
      <c r="W135" s="736"/>
    </row>
    <row r="136" spans="1:23" s="211" customFormat="1" ht="16.5" hidden="1">
      <c r="A136" s="227"/>
      <c r="B136" s="227"/>
      <c r="C136" s="227"/>
      <c r="D136" s="227"/>
      <c r="E136" s="210"/>
      <c r="F136" s="749"/>
      <c r="G136" s="749"/>
      <c r="H136" s="748"/>
      <c r="I136" s="749"/>
      <c r="J136" s="749"/>
      <c r="K136" s="749"/>
      <c r="L136" s="749"/>
      <c r="M136" s="749"/>
      <c r="N136" s="749"/>
      <c r="O136" s="749"/>
      <c r="P136" s="749"/>
      <c r="Q136" s="201"/>
      <c r="R136" s="227"/>
      <c r="S136" s="227"/>
      <c r="T136" s="227"/>
      <c r="U136" s="736"/>
      <c r="V136" s="736"/>
      <c r="W136" s="736"/>
    </row>
    <row r="137" spans="1:23" s="211" customFormat="1" ht="16.5" hidden="1">
      <c r="A137" s="227"/>
      <c r="B137" s="227"/>
      <c r="C137" s="227"/>
      <c r="D137" s="227"/>
      <c r="E137" s="210"/>
      <c r="F137" s="749"/>
      <c r="G137" s="749"/>
      <c r="H137" s="748"/>
      <c r="I137" s="749"/>
      <c r="J137" s="749"/>
      <c r="K137" s="749"/>
      <c r="L137" s="749"/>
      <c r="M137" s="749"/>
      <c r="N137" s="749"/>
      <c r="O137" s="749"/>
      <c r="P137" s="749"/>
      <c r="Q137" s="201"/>
      <c r="R137" s="227"/>
      <c r="S137" s="227"/>
      <c r="T137" s="227"/>
      <c r="U137" s="736"/>
      <c r="V137" s="736"/>
      <c r="W137" s="736"/>
    </row>
    <row r="138" spans="1:23" s="211" customFormat="1" ht="16.5" hidden="1">
      <c r="A138" s="227"/>
      <c r="B138" s="227"/>
      <c r="C138" s="227"/>
      <c r="D138" s="227"/>
      <c r="E138" s="210"/>
      <c r="F138" s="749"/>
      <c r="G138" s="749"/>
      <c r="H138" s="748"/>
      <c r="I138" s="749"/>
      <c r="J138" s="749"/>
      <c r="K138" s="749"/>
      <c r="L138" s="749"/>
      <c r="M138" s="749"/>
      <c r="N138" s="749"/>
      <c r="O138" s="749"/>
      <c r="P138" s="749"/>
      <c r="Q138" s="201"/>
      <c r="R138" s="227"/>
      <c r="S138" s="227"/>
      <c r="T138" s="227"/>
      <c r="U138" s="736"/>
      <c r="V138" s="736"/>
      <c r="W138" s="736"/>
    </row>
    <row r="139" spans="1:23" s="211" customFormat="1" ht="16.5" hidden="1">
      <c r="A139" s="227"/>
      <c r="B139" s="227"/>
      <c r="C139" s="227"/>
      <c r="D139" s="227"/>
      <c r="E139" s="210"/>
      <c r="F139" s="646"/>
      <c r="G139" s="646"/>
      <c r="H139" s="748"/>
      <c r="I139" s="749"/>
      <c r="J139" s="749"/>
      <c r="K139" s="749"/>
      <c r="L139" s="646"/>
      <c r="M139" s="749"/>
      <c r="N139" s="646"/>
      <c r="O139" s="646"/>
      <c r="P139" s="646"/>
      <c r="Q139" s="201"/>
      <c r="R139" s="227"/>
      <c r="S139" s="227"/>
      <c r="T139" s="227"/>
      <c r="U139" s="736"/>
      <c r="V139" s="736"/>
      <c r="W139" s="736"/>
    </row>
    <row r="140" spans="1:23" s="211" customFormat="1" ht="16.5" hidden="1">
      <c r="A140" s="227"/>
      <c r="B140" s="227"/>
      <c r="C140" s="227"/>
      <c r="D140" s="227"/>
      <c r="E140" s="210"/>
      <c r="F140" s="646"/>
      <c r="G140" s="646"/>
      <c r="H140" s="748"/>
      <c r="I140" s="749"/>
      <c r="J140" s="749"/>
      <c r="K140" s="749"/>
      <c r="L140" s="646"/>
      <c r="M140" s="749"/>
      <c r="N140" s="646"/>
      <c r="O140" s="646"/>
      <c r="P140" s="646"/>
      <c r="Q140" s="201"/>
      <c r="R140" s="227"/>
      <c r="S140" s="227"/>
      <c r="T140" s="227"/>
      <c r="U140" s="736"/>
      <c r="V140" s="736"/>
      <c r="W140" s="736"/>
    </row>
    <row r="141" spans="1:23" s="211" customFormat="1" ht="16.5" hidden="1">
      <c r="A141" s="227"/>
      <c r="B141" s="227"/>
      <c r="C141" s="227"/>
      <c r="D141" s="227"/>
      <c r="E141" s="210"/>
      <c r="F141" s="646"/>
      <c r="G141" s="646"/>
      <c r="H141" s="748"/>
      <c r="I141" s="749"/>
      <c r="J141" s="749"/>
      <c r="K141" s="749"/>
      <c r="L141" s="646"/>
      <c r="M141" s="749"/>
      <c r="N141" s="646"/>
      <c r="O141" s="646"/>
      <c r="P141" s="646"/>
      <c r="Q141" s="201"/>
      <c r="R141" s="227"/>
      <c r="S141" s="227"/>
      <c r="T141" s="227"/>
      <c r="U141" s="736"/>
      <c r="V141" s="736"/>
      <c r="W141" s="736"/>
    </row>
    <row r="142" spans="1:23" s="211" customFormat="1" ht="16.5" hidden="1">
      <c r="A142" s="227"/>
      <c r="B142" s="227"/>
      <c r="C142" s="227"/>
      <c r="D142" s="227"/>
      <c r="E142" s="210"/>
      <c r="F142" s="646"/>
      <c r="G142" s="646"/>
      <c r="H142" s="748"/>
      <c r="I142" s="749"/>
      <c r="J142" s="749"/>
      <c r="K142" s="749"/>
      <c r="L142" s="646"/>
      <c r="M142" s="749"/>
      <c r="N142" s="646"/>
      <c r="O142" s="646"/>
      <c r="P142" s="646"/>
      <c r="Q142" s="201"/>
      <c r="R142" s="227"/>
      <c r="S142" s="227"/>
      <c r="T142" s="227"/>
      <c r="U142" s="736"/>
      <c r="V142" s="736"/>
      <c r="W142" s="736"/>
    </row>
    <row r="143" spans="1:23" s="211" customFormat="1" ht="16.5" hidden="1">
      <c r="A143" s="227"/>
      <c r="B143" s="227"/>
      <c r="C143" s="227"/>
      <c r="D143" s="227"/>
      <c r="E143" s="210"/>
      <c r="F143" s="646"/>
      <c r="G143" s="646"/>
      <c r="H143" s="748"/>
      <c r="I143" s="749"/>
      <c r="J143" s="749"/>
      <c r="K143" s="749"/>
      <c r="L143" s="646"/>
      <c r="M143" s="749"/>
      <c r="N143" s="646"/>
      <c r="O143" s="646"/>
      <c r="P143" s="646"/>
      <c r="Q143" s="201"/>
      <c r="R143" s="227"/>
      <c r="S143" s="227"/>
      <c r="T143" s="227"/>
      <c r="U143" s="736"/>
      <c r="V143" s="736"/>
      <c r="W143" s="736"/>
    </row>
    <row r="144" spans="1:23" s="211" customFormat="1" ht="16.5" hidden="1">
      <c r="A144" s="227"/>
      <c r="B144" s="227"/>
      <c r="C144" s="227"/>
      <c r="D144" s="227"/>
      <c r="E144" s="210"/>
      <c r="F144" s="646"/>
      <c r="G144" s="646"/>
      <c r="H144" s="748"/>
      <c r="I144" s="749"/>
      <c r="J144" s="749"/>
      <c r="K144" s="749"/>
      <c r="L144" s="646"/>
      <c r="M144" s="749"/>
      <c r="N144" s="646"/>
      <c r="O144" s="646"/>
      <c r="P144" s="646"/>
      <c r="Q144" s="201"/>
      <c r="R144" s="227"/>
      <c r="S144" s="227"/>
      <c r="T144" s="227"/>
      <c r="U144" s="736"/>
      <c r="V144" s="736"/>
      <c r="W144" s="736"/>
    </row>
    <row r="145" spans="1:23" s="211" customFormat="1" ht="16.5" hidden="1">
      <c r="A145" s="227"/>
      <c r="B145" s="227"/>
      <c r="C145" s="227"/>
      <c r="D145" s="227"/>
      <c r="E145" s="210"/>
      <c r="F145" s="646"/>
      <c r="G145" s="646"/>
      <c r="H145" s="748"/>
      <c r="I145" s="749"/>
      <c r="J145" s="749"/>
      <c r="K145" s="749"/>
      <c r="L145" s="646"/>
      <c r="M145" s="749"/>
      <c r="N145" s="646"/>
      <c r="O145" s="646"/>
      <c r="P145" s="646"/>
      <c r="Q145" s="201"/>
      <c r="R145" s="227"/>
      <c r="S145" s="227"/>
      <c r="T145" s="227"/>
      <c r="U145" s="736"/>
      <c r="V145" s="736"/>
      <c r="W145" s="736"/>
    </row>
    <row r="146" spans="1:23" s="211" customFormat="1" ht="16.5" hidden="1">
      <c r="A146" s="227"/>
      <c r="B146" s="227"/>
      <c r="C146" s="227"/>
      <c r="D146" s="227"/>
      <c r="E146" s="210"/>
      <c r="F146" s="646"/>
      <c r="G146" s="646"/>
      <c r="H146" s="748"/>
      <c r="I146" s="749"/>
      <c r="J146" s="749"/>
      <c r="K146" s="749"/>
      <c r="L146" s="646"/>
      <c r="M146" s="749"/>
      <c r="N146" s="646"/>
      <c r="O146" s="646"/>
      <c r="P146" s="646"/>
      <c r="Q146" s="201"/>
      <c r="R146" s="227"/>
      <c r="S146" s="227"/>
      <c r="T146" s="227"/>
      <c r="U146" s="736"/>
      <c r="V146" s="736"/>
      <c r="W146" s="736"/>
    </row>
    <row r="147" spans="1:23" s="211" customFormat="1" ht="16.5" hidden="1">
      <c r="A147" s="227"/>
      <c r="B147" s="227"/>
      <c r="C147" s="227"/>
      <c r="D147" s="227"/>
      <c r="E147" s="210"/>
      <c r="F147" s="646"/>
      <c r="G147" s="646"/>
      <c r="H147" s="748"/>
      <c r="I147" s="749"/>
      <c r="J147" s="749"/>
      <c r="K147" s="749"/>
      <c r="L147" s="646"/>
      <c r="M147" s="749"/>
      <c r="N147" s="646"/>
      <c r="O147" s="646"/>
      <c r="P147" s="646"/>
      <c r="Q147" s="201"/>
      <c r="R147" s="227"/>
      <c r="S147" s="227"/>
      <c r="T147" s="227"/>
      <c r="U147" s="736"/>
      <c r="V147" s="736"/>
      <c r="W147" s="736"/>
    </row>
    <row r="148" spans="1:23" s="211" customFormat="1" ht="16.5" hidden="1">
      <c r="A148" s="227"/>
      <c r="B148" s="227"/>
      <c r="C148" s="227"/>
      <c r="D148" s="227"/>
      <c r="E148" s="210"/>
      <c r="F148" s="646"/>
      <c r="G148" s="646"/>
      <c r="H148" s="748"/>
      <c r="I148" s="749"/>
      <c r="J148" s="749"/>
      <c r="K148" s="749"/>
      <c r="L148" s="646"/>
      <c r="M148" s="749"/>
      <c r="N148" s="646"/>
      <c r="O148" s="646"/>
      <c r="P148" s="646"/>
      <c r="Q148" s="201"/>
      <c r="R148" s="227"/>
      <c r="S148" s="227"/>
      <c r="T148" s="227"/>
      <c r="U148" s="736"/>
      <c r="V148" s="736"/>
      <c r="W148" s="736"/>
    </row>
    <row r="149" spans="1:23" s="211" customFormat="1" ht="16.5" hidden="1">
      <c r="A149" s="227"/>
      <c r="B149" s="227"/>
      <c r="C149" s="227"/>
      <c r="D149" s="227"/>
      <c r="E149" s="210"/>
      <c r="F149" s="646"/>
      <c r="G149" s="646"/>
      <c r="H149" s="748"/>
      <c r="I149" s="749"/>
      <c r="J149" s="749"/>
      <c r="K149" s="749"/>
      <c r="L149" s="646"/>
      <c r="M149" s="749"/>
      <c r="N149" s="646"/>
      <c r="O149" s="646"/>
      <c r="P149" s="646"/>
      <c r="Q149" s="201"/>
      <c r="R149" s="227"/>
      <c r="S149" s="227"/>
      <c r="T149" s="227"/>
      <c r="U149" s="736"/>
      <c r="V149" s="736"/>
      <c r="W149" s="736"/>
    </row>
    <row r="150" spans="1:23" s="211" customFormat="1" ht="16.5" hidden="1">
      <c r="A150" s="227"/>
      <c r="B150" s="227"/>
      <c r="C150" s="227"/>
      <c r="D150" s="227"/>
      <c r="E150" s="210"/>
      <c r="F150" s="646"/>
      <c r="G150" s="646"/>
      <c r="H150" s="748"/>
      <c r="I150" s="749"/>
      <c r="J150" s="749"/>
      <c r="K150" s="749"/>
      <c r="L150" s="646"/>
      <c r="M150" s="749"/>
      <c r="N150" s="646"/>
      <c r="O150" s="646"/>
      <c r="P150" s="646"/>
      <c r="Q150" s="201"/>
      <c r="R150" s="227"/>
      <c r="S150" s="227"/>
      <c r="T150" s="227"/>
      <c r="U150" s="736"/>
      <c r="V150" s="736"/>
      <c r="W150" s="736"/>
    </row>
    <row r="151" spans="1:23" s="211" customFormat="1" ht="16.5" hidden="1">
      <c r="A151" s="227"/>
      <c r="B151" s="227"/>
      <c r="C151" s="227"/>
      <c r="D151" s="227"/>
      <c r="E151" s="210"/>
      <c r="F151" s="646"/>
      <c r="G151" s="646"/>
      <c r="H151" s="748"/>
      <c r="I151" s="749"/>
      <c r="J151" s="749"/>
      <c r="K151" s="749"/>
      <c r="L151" s="646"/>
      <c r="M151" s="749"/>
      <c r="N151" s="646"/>
      <c r="O151" s="646"/>
      <c r="P151" s="646"/>
      <c r="Q151" s="201"/>
      <c r="R151" s="227"/>
      <c r="S151" s="227"/>
      <c r="T151" s="227"/>
      <c r="U151" s="736"/>
      <c r="V151" s="736"/>
      <c r="W151" s="736"/>
    </row>
    <row r="152" spans="1:23" s="211" customFormat="1" ht="16.5" hidden="1">
      <c r="A152" s="227"/>
      <c r="B152" s="227"/>
      <c r="C152" s="227"/>
      <c r="D152" s="227"/>
      <c r="E152" s="210"/>
      <c r="F152" s="646"/>
      <c r="G152" s="646"/>
      <c r="H152" s="748"/>
      <c r="I152" s="749"/>
      <c r="J152" s="749"/>
      <c r="K152" s="749"/>
      <c r="L152" s="646"/>
      <c r="M152" s="749"/>
      <c r="N152" s="646"/>
      <c r="O152" s="646"/>
      <c r="P152" s="646"/>
      <c r="Q152" s="201"/>
      <c r="R152" s="227"/>
      <c r="S152" s="227"/>
      <c r="T152" s="227"/>
      <c r="U152" s="736"/>
      <c r="V152" s="736"/>
      <c r="W152" s="736"/>
    </row>
    <row r="153" spans="1:23" s="211" customFormat="1" ht="16.5" hidden="1">
      <c r="A153" s="227"/>
      <c r="B153" s="227"/>
      <c r="C153" s="227"/>
      <c r="D153" s="227"/>
      <c r="E153" s="210"/>
      <c r="F153" s="646"/>
      <c r="G153" s="646"/>
      <c r="H153" s="748"/>
      <c r="I153" s="749"/>
      <c r="J153" s="749"/>
      <c r="K153" s="749"/>
      <c r="L153" s="646"/>
      <c r="M153" s="749"/>
      <c r="N153" s="646"/>
      <c r="O153" s="646"/>
      <c r="P153" s="646"/>
      <c r="Q153" s="201"/>
      <c r="R153" s="227"/>
      <c r="S153" s="227"/>
      <c r="T153" s="227"/>
      <c r="U153" s="736"/>
      <c r="V153" s="736"/>
      <c r="W153" s="736"/>
    </row>
    <row r="154" spans="1:23" s="211" customFormat="1" ht="16.5" hidden="1">
      <c r="A154" s="227"/>
      <c r="B154" s="227"/>
      <c r="C154" s="227"/>
      <c r="D154" s="227"/>
      <c r="E154" s="210"/>
      <c r="F154" s="646"/>
      <c r="G154" s="646"/>
      <c r="H154" s="748"/>
      <c r="I154" s="749"/>
      <c r="J154" s="749"/>
      <c r="K154" s="749"/>
      <c r="L154" s="646"/>
      <c r="M154" s="749"/>
      <c r="N154" s="646"/>
      <c r="O154" s="646"/>
      <c r="P154" s="646"/>
      <c r="Q154" s="201"/>
      <c r="R154" s="227"/>
      <c r="S154" s="227"/>
      <c r="T154" s="227"/>
      <c r="U154" s="736"/>
      <c r="V154" s="736"/>
      <c r="W154" s="736"/>
    </row>
    <row r="155" spans="1:23" s="211" customFormat="1" ht="16.5" hidden="1">
      <c r="A155" s="227"/>
      <c r="B155" s="227"/>
      <c r="C155" s="227"/>
      <c r="D155" s="227"/>
      <c r="E155" s="210"/>
      <c r="F155" s="646"/>
      <c r="G155" s="646"/>
      <c r="H155" s="748"/>
      <c r="I155" s="749"/>
      <c r="J155" s="749"/>
      <c r="K155" s="749"/>
      <c r="L155" s="646"/>
      <c r="M155" s="749"/>
      <c r="N155" s="646"/>
      <c r="O155" s="646"/>
      <c r="P155" s="646"/>
      <c r="Q155" s="201"/>
      <c r="R155" s="227"/>
      <c r="S155" s="227"/>
      <c r="T155" s="227"/>
      <c r="U155" s="736"/>
      <c r="V155" s="736"/>
      <c r="W155" s="736"/>
    </row>
    <row r="156" spans="1:23" s="211" customFormat="1" ht="16.5" hidden="1">
      <c r="A156" s="227"/>
      <c r="B156" s="227"/>
      <c r="C156" s="227"/>
      <c r="D156" s="227"/>
      <c r="E156" s="210"/>
      <c r="F156" s="624"/>
      <c r="G156" s="625"/>
      <c r="H156" s="747"/>
      <c r="I156" s="677"/>
      <c r="J156" s="677"/>
      <c r="K156" s="677"/>
      <c r="L156" s="626"/>
      <c r="M156" s="680"/>
      <c r="N156" s="627"/>
      <c r="O156" s="628"/>
      <c r="P156" s="628"/>
      <c r="Q156" s="201"/>
      <c r="R156" s="227"/>
      <c r="S156" s="227"/>
      <c r="T156" s="227"/>
      <c r="U156" s="736"/>
      <c r="V156" s="736"/>
      <c r="W156" s="736"/>
    </row>
    <row r="157" spans="1:23" s="211" customFormat="1" ht="16.5" hidden="1">
      <c r="A157" s="227"/>
      <c r="B157" s="227"/>
      <c r="C157" s="227"/>
      <c r="D157" s="227"/>
      <c r="E157" s="210"/>
      <c r="F157" s="624"/>
      <c r="G157" s="625"/>
      <c r="H157" s="747"/>
      <c r="I157" s="677"/>
      <c r="J157" s="677"/>
      <c r="K157" s="677"/>
      <c r="L157" s="626"/>
      <c r="M157" s="680"/>
      <c r="N157" s="627"/>
      <c r="O157" s="628"/>
      <c r="P157" s="628"/>
      <c r="Q157" s="201"/>
      <c r="R157" s="227"/>
      <c r="S157" s="227"/>
      <c r="T157" s="227"/>
      <c r="U157" s="736"/>
      <c r="V157" s="736"/>
      <c r="W157" s="736"/>
    </row>
    <row r="158" spans="1:23" s="211" customFormat="1" ht="16.5" hidden="1">
      <c r="A158" s="227"/>
      <c r="B158" s="227"/>
      <c r="C158" s="227"/>
      <c r="D158" s="227"/>
      <c r="E158" s="210"/>
      <c r="F158" s="624"/>
      <c r="G158" s="625"/>
      <c r="H158" s="747"/>
      <c r="I158" s="677"/>
      <c r="J158" s="677"/>
      <c r="K158" s="677"/>
      <c r="L158" s="626"/>
      <c r="M158" s="680"/>
      <c r="N158" s="627"/>
      <c r="O158" s="628"/>
      <c r="P158" s="628"/>
      <c r="Q158" s="201"/>
      <c r="R158" s="227"/>
      <c r="S158" s="227"/>
      <c r="T158" s="227"/>
      <c r="U158" s="736"/>
      <c r="V158" s="736"/>
      <c r="W158" s="736"/>
    </row>
    <row r="159" spans="1:23" s="211" customFormat="1" ht="16.5" hidden="1">
      <c r="A159" s="227"/>
      <c r="B159" s="227"/>
      <c r="C159" s="227"/>
      <c r="D159" s="227"/>
      <c r="E159" s="210"/>
      <c r="F159" s="624"/>
      <c r="G159" s="625"/>
      <c r="H159" s="747"/>
      <c r="I159" s="677"/>
      <c r="J159" s="677"/>
      <c r="K159" s="677"/>
      <c r="L159" s="626"/>
      <c r="M159" s="680"/>
      <c r="N159" s="627"/>
      <c r="O159" s="628"/>
      <c r="P159" s="628"/>
      <c r="Q159" s="201"/>
      <c r="R159" s="227"/>
      <c r="S159" s="227"/>
      <c r="T159" s="227"/>
      <c r="U159" s="736"/>
      <c r="V159" s="736"/>
      <c r="W159" s="736"/>
    </row>
    <row r="160" spans="1:23" s="211" customFormat="1" ht="16.5" hidden="1">
      <c r="A160" s="227"/>
      <c r="B160" s="227"/>
      <c r="C160" s="227"/>
      <c r="D160" s="227"/>
      <c r="E160" s="210"/>
      <c r="F160" s="624"/>
      <c r="G160" s="625"/>
      <c r="H160" s="747"/>
      <c r="I160" s="677"/>
      <c r="J160" s="677"/>
      <c r="K160" s="677"/>
      <c r="L160" s="626"/>
      <c r="M160" s="680"/>
      <c r="N160" s="627"/>
      <c r="O160" s="628"/>
      <c r="P160" s="628"/>
      <c r="Q160" s="201"/>
      <c r="R160" s="227"/>
      <c r="S160" s="227"/>
      <c r="T160" s="227"/>
      <c r="U160" s="736"/>
      <c r="V160" s="736"/>
      <c r="W160" s="736"/>
    </row>
    <row r="161" spans="1:23" s="211" customFormat="1" ht="16.5" hidden="1">
      <c r="A161" s="227"/>
      <c r="B161" s="227"/>
      <c r="C161" s="227"/>
      <c r="D161" s="227"/>
      <c r="E161" s="210"/>
      <c r="F161" s="624"/>
      <c r="G161" s="625"/>
      <c r="H161" s="747"/>
      <c r="I161" s="677"/>
      <c r="J161" s="677"/>
      <c r="K161" s="677"/>
      <c r="L161" s="626"/>
      <c r="M161" s="680"/>
      <c r="N161" s="627"/>
      <c r="O161" s="628"/>
      <c r="P161" s="628"/>
      <c r="Q161" s="201"/>
      <c r="R161" s="227"/>
      <c r="S161" s="227"/>
      <c r="T161" s="227"/>
      <c r="U161" s="736"/>
      <c r="V161" s="736"/>
      <c r="W161" s="736"/>
    </row>
    <row r="162" spans="1:23" s="211" customFormat="1" ht="16.5" hidden="1">
      <c r="A162" s="227"/>
      <c r="B162" s="227"/>
      <c r="C162" s="227"/>
      <c r="D162" s="227"/>
      <c r="E162" s="210"/>
      <c r="F162" s="624"/>
      <c r="G162" s="625"/>
      <c r="H162" s="747"/>
      <c r="I162" s="677"/>
      <c r="J162" s="677"/>
      <c r="K162" s="677"/>
      <c r="L162" s="626"/>
      <c r="M162" s="680"/>
      <c r="N162" s="627"/>
      <c r="O162" s="628"/>
      <c r="P162" s="628"/>
      <c r="Q162" s="201"/>
      <c r="R162" s="227"/>
      <c r="S162" s="227"/>
      <c r="T162" s="227"/>
      <c r="U162" s="736"/>
      <c r="V162" s="736"/>
      <c r="W162" s="736"/>
    </row>
    <row r="163" spans="1:23" s="211" customFormat="1" ht="16.5" hidden="1">
      <c r="A163" s="227"/>
      <c r="B163" s="227"/>
      <c r="C163" s="227"/>
      <c r="D163" s="227"/>
      <c r="E163" s="210"/>
      <c r="F163" s="624"/>
      <c r="G163" s="625"/>
      <c r="H163" s="747"/>
      <c r="I163" s="677"/>
      <c r="J163" s="677"/>
      <c r="K163" s="677"/>
      <c r="L163" s="626"/>
      <c r="M163" s="680"/>
      <c r="N163" s="627"/>
      <c r="O163" s="628"/>
      <c r="P163" s="628"/>
      <c r="Q163" s="201"/>
      <c r="R163" s="227"/>
      <c r="S163" s="227"/>
      <c r="T163" s="227"/>
      <c r="U163" s="736"/>
      <c r="V163" s="736"/>
      <c r="W163" s="736"/>
    </row>
    <row r="164" spans="1:23" s="211" customFormat="1" ht="16.5" hidden="1">
      <c r="A164" s="227"/>
      <c r="B164" s="227"/>
      <c r="C164" s="227"/>
      <c r="D164" s="227"/>
      <c r="E164" s="210"/>
      <c r="F164" s="624"/>
      <c r="G164" s="625"/>
      <c r="H164" s="747"/>
      <c r="I164" s="677"/>
      <c r="J164" s="677"/>
      <c r="K164" s="677"/>
      <c r="L164" s="626"/>
      <c r="M164" s="680"/>
      <c r="N164" s="627"/>
      <c r="O164" s="628"/>
      <c r="P164" s="628"/>
      <c r="Q164" s="201"/>
      <c r="R164" s="227"/>
      <c r="S164" s="227"/>
      <c r="T164" s="227"/>
      <c r="U164" s="736"/>
      <c r="V164" s="736"/>
      <c r="W164" s="736"/>
    </row>
    <row r="165" spans="1:23" s="211" customFormat="1" ht="16.5">
      <c r="A165" s="227"/>
      <c r="B165" s="227"/>
      <c r="C165" s="227"/>
      <c r="D165" s="227"/>
      <c r="E165" s="210"/>
      <c r="F165" s="734"/>
      <c r="G165" s="310"/>
      <c r="H165" s="310"/>
      <c r="I165" s="310"/>
      <c r="J165" s="310"/>
      <c r="K165" s="310"/>
      <c r="L165" s="313"/>
      <c r="M165" s="313"/>
      <c r="N165" s="311"/>
      <c r="O165" s="312"/>
      <c r="P165" s="312"/>
      <c r="Q165" s="201"/>
      <c r="R165" s="227"/>
      <c r="S165" s="227"/>
      <c r="T165" s="227"/>
      <c r="U165" s="736"/>
      <c r="V165" s="736"/>
      <c r="W165" s="736"/>
    </row>
    <row r="166" spans="1:23" s="211" customFormat="1" ht="16.5">
      <c r="A166" s="227"/>
      <c r="B166" s="227"/>
      <c r="C166" s="227"/>
      <c r="D166" s="227"/>
      <c r="E166" s="223" t="str">
        <f>IF(E47&lt;&gt;"","7/","6/")</f>
        <v>6/</v>
      </c>
      <c r="F166" s="208" t="s">
        <v>4381</v>
      </c>
      <c r="G166" s="224"/>
      <c r="H166" s="224"/>
      <c r="I166" s="224"/>
      <c r="J166" s="224"/>
      <c r="K166" s="224"/>
      <c r="L166" s="224"/>
      <c r="M166" s="224"/>
      <c r="N166" s="224"/>
      <c r="O166" s="224"/>
      <c r="P166" s="210"/>
      <c r="Q166" s="210"/>
      <c r="R166" s="227"/>
      <c r="S166" s="227"/>
      <c r="T166" s="227"/>
      <c r="U166" s="736"/>
      <c r="V166" s="736"/>
      <c r="W166" s="736"/>
    </row>
    <row r="167" spans="1:23" s="211" customFormat="1" ht="20.25" customHeight="1">
      <c r="A167" s="227"/>
      <c r="B167" s="227"/>
      <c r="C167" s="227"/>
      <c r="D167" s="227"/>
      <c r="E167" s="223" t="str">
        <f>IF(E47&lt;&gt;"","8/","7/")</f>
        <v>7/</v>
      </c>
      <c r="F167" s="208" t="s">
        <v>4383</v>
      </c>
      <c r="G167" s="225"/>
      <c r="H167" s="225"/>
      <c r="I167" s="225"/>
      <c r="J167" s="225"/>
      <c r="K167" s="225"/>
      <c r="L167" s="225"/>
      <c r="M167" s="225"/>
      <c r="N167" s="225"/>
      <c r="O167" s="225"/>
      <c r="P167" s="210"/>
      <c r="Q167" s="210"/>
      <c r="R167" s="227"/>
      <c r="S167" s="227"/>
      <c r="T167" s="227"/>
      <c r="U167" s="736"/>
      <c r="V167" s="736"/>
      <c r="W167" s="736"/>
    </row>
    <row r="168" spans="1:23" ht="16.5">
      <c r="A168" s="227"/>
      <c r="B168" s="227"/>
      <c r="C168" s="227"/>
      <c r="D168" s="227"/>
      <c r="E168" s="1635" t="s">
        <v>446</v>
      </c>
      <c r="F168" s="1635"/>
      <c r="G168" s="1635"/>
      <c r="H168" s="1635"/>
      <c r="I168" s="1635"/>
      <c r="J168" s="1635"/>
      <c r="K168" s="1635"/>
      <c r="L168" s="1635" t="s">
        <v>447</v>
      </c>
      <c r="M168" s="1635"/>
      <c r="N168" s="1635"/>
      <c r="O168" s="1635"/>
      <c r="P168" s="1635"/>
      <c r="Q168" s="1635"/>
      <c r="R168" s="227"/>
      <c r="S168" s="227"/>
      <c r="T168" s="227"/>
      <c r="U168" s="736"/>
      <c r="V168" s="736"/>
      <c r="W168" s="736"/>
    </row>
    <row r="169" spans="1:23" ht="16.5">
      <c r="A169" s="227"/>
      <c r="B169" s="227"/>
      <c r="C169" s="227"/>
      <c r="D169" s="227"/>
      <c r="E169" s="224"/>
      <c r="F169" s="224"/>
      <c r="G169" s="434"/>
      <c r="H169" s="729"/>
      <c r="I169" s="664"/>
      <c r="J169" s="664"/>
      <c r="K169" s="664"/>
      <c r="L169" s="434"/>
      <c r="M169" s="664"/>
      <c r="N169" s="224"/>
      <c r="O169" s="224"/>
      <c r="P169" s="224"/>
      <c r="Q169" s="224"/>
      <c r="R169" s="227"/>
      <c r="S169" s="227"/>
      <c r="T169" s="227"/>
      <c r="U169" s="736"/>
      <c r="V169" s="736"/>
      <c r="W169" s="736"/>
    </row>
    <row r="170" spans="1:23" ht="16.5">
      <c r="A170" s="227"/>
      <c r="B170" s="227"/>
      <c r="C170" s="227"/>
      <c r="D170" s="227"/>
      <c r="E170" s="224"/>
      <c r="F170" s="224"/>
      <c r="G170" s="434"/>
      <c r="H170" s="729"/>
      <c r="I170" s="664"/>
      <c r="J170" s="664"/>
      <c r="K170" s="664"/>
      <c r="L170" s="434"/>
      <c r="M170" s="664"/>
      <c r="N170" s="224"/>
      <c r="O170" s="224"/>
      <c r="P170" s="224"/>
      <c r="Q170" s="224"/>
      <c r="R170" s="227"/>
      <c r="S170" s="227"/>
      <c r="T170" s="227"/>
      <c r="U170" s="736"/>
      <c r="V170" s="736"/>
      <c r="W170" s="736"/>
    </row>
    <row r="171" spans="1:23" ht="16.5">
      <c r="A171" s="227"/>
      <c r="B171" s="227"/>
      <c r="C171" s="227"/>
      <c r="D171" s="227"/>
      <c r="E171" s="224"/>
      <c r="F171" s="224"/>
      <c r="G171" s="434"/>
      <c r="H171" s="729"/>
      <c r="I171" s="664"/>
      <c r="J171" s="664"/>
      <c r="K171" s="664"/>
      <c r="L171" s="434"/>
      <c r="M171" s="664"/>
      <c r="N171" s="224"/>
      <c r="O171" s="224"/>
      <c r="P171" s="224"/>
      <c r="Q171" s="224"/>
      <c r="R171" s="227"/>
      <c r="S171" s="227"/>
      <c r="T171" s="227"/>
      <c r="U171" s="736"/>
      <c r="V171" s="736"/>
      <c r="W171" s="736"/>
    </row>
    <row r="172" spans="1:23" ht="16.5">
      <c r="A172" s="227"/>
      <c r="B172" s="227"/>
      <c r="C172" s="227"/>
      <c r="D172" s="227"/>
      <c r="E172" s="224"/>
      <c r="F172" s="224"/>
      <c r="G172" s="224"/>
      <c r="H172" s="224"/>
      <c r="I172" s="224"/>
      <c r="J172" s="224"/>
      <c r="K172" s="224"/>
      <c r="L172" s="224"/>
      <c r="M172" s="224"/>
      <c r="N172" s="224"/>
      <c r="O172" s="224"/>
      <c r="P172" s="224"/>
      <c r="Q172" s="224"/>
      <c r="R172" s="227"/>
      <c r="S172" s="227"/>
      <c r="T172" s="227"/>
      <c r="U172" s="736"/>
      <c r="V172" s="736"/>
      <c r="W172" s="736"/>
    </row>
    <row r="173" spans="1:23" ht="16.5">
      <c r="A173" s="227"/>
      <c r="B173" s="227"/>
      <c r="C173" s="227"/>
      <c r="D173" s="227"/>
      <c r="E173" s="1635" t="str">
        <f>CBGS1</f>
        <v>Trần Trọng Liêm</v>
      </c>
      <c r="F173" s="1635"/>
      <c r="G173" s="1635"/>
      <c r="H173" s="1635"/>
      <c r="I173" s="1635"/>
      <c r="J173" s="1635"/>
      <c r="K173" s="1635"/>
      <c r="L173" s="1635" t="str">
        <f>CBKT1</f>
        <v>Hoàng Đình Tảng</v>
      </c>
      <c r="M173" s="1635"/>
      <c r="N173" s="1635"/>
      <c r="O173" s="1635"/>
      <c r="P173" s="1635"/>
      <c r="Q173" s="1635"/>
      <c r="R173" s="227"/>
      <c r="S173" s="227"/>
      <c r="T173" s="227"/>
      <c r="U173" s="736"/>
      <c r="V173" s="736"/>
      <c r="W173" s="736"/>
    </row>
    <row r="174" spans="1:23" ht="16.5">
      <c r="A174" s="227"/>
      <c r="B174" s="227"/>
      <c r="C174" s="227"/>
      <c r="D174" s="227"/>
      <c r="E174" s="227"/>
      <c r="F174" s="227"/>
      <c r="G174" s="227"/>
      <c r="H174" s="227"/>
      <c r="I174" s="227"/>
      <c r="J174" s="227"/>
      <c r="K174" s="227"/>
      <c r="L174" s="227"/>
      <c r="M174" s="227"/>
      <c r="N174" s="227"/>
      <c r="O174" s="227"/>
      <c r="P174" s="227"/>
      <c r="Q174" s="227"/>
      <c r="R174" s="227"/>
      <c r="S174" s="227"/>
      <c r="T174" s="227"/>
      <c r="U174" s="736"/>
      <c r="V174" s="736"/>
      <c r="W174" s="736"/>
    </row>
    <row r="175" spans="1:23" ht="16.5">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row>
    <row r="176" spans="1:23" ht="16.5">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row>
    <row r="177" spans="1:23" ht="16.5">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row>
    <row r="178" spans="1:23" ht="16.5">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row>
    <row r="179" spans="1:23" ht="16.5">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row>
    <row r="180" spans="1:23" ht="16.5">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row>
    <row r="181" spans="1:23" ht="16.5">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row>
    <row r="182" spans="1:23" ht="16.5">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row>
    <row r="183" spans="1:23" ht="16.5">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row>
    <row r="184" spans="1:23" ht="16.5">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row>
    <row r="185" spans="1:23" ht="16.5">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row>
    <row r="186" spans="1:23" ht="16.5">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row>
    <row r="187" spans="1:23" ht="16.5">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row>
    <row r="188" spans="1:23" ht="16.5">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row>
  </sheetData>
  <mergeCells count="44">
    <mergeCell ref="L168:Q168"/>
    <mergeCell ref="H58:H60"/>
    <mergeCell ref="F58:F60"/>
    <mergeCell ref="G58:G60"/>
    <mergeCell ref="I59:K59"/>
    <mergeCell ref="L59:L60"/>
    <mergeCell ref="I58:L58"/>
    <mergeCell ref="M58:P58"/>
    <mergeCell ref="M59:O59"/>
    <mergeCell ref="P59:P60"/>
    <mergeCell ref="F33:Q33"/>
    <mergeCell ref="E10:Q10"/>
    <mergeCell ref="E12:Q12"/>
    <mergeCell ref="E13:Q13"/>
    <mergeCell ref="E14:Q14"/>
    <mergeCell ref="E15:Q15"/>
    <mergeCell ref="F32:Q32"/>
    <mergeCell ref="E22:Q22"/>
    <mergeCell ref="E26:Q26"/>
    <mergeCell ref="E18:Q18"/>
    <mergeCell ref="E19:Q19"/>
    <mergeCell ref="G8:Q8"/>
    <mergeCell ref="E1:Q1"/>
    <mergeCell ref="E2:Q2"/>
    <mergeCell ref="E3:Q3"/>
    <mergeCell ref="E5:Q5"/>
    <mergeCell ref="E6:Q6"/>
    <mergeCell ref="E7:Q7"/>
    <mergeCell ref="L173:Q173"/>
    <mergeCell ref="E168:K168"/>
    <mergeCell ref="E173:K173"/>
    <mergeCell ref="E36:Q36"/>
    <mergeCell ref="E37:Q37"/>
    <mergeCell ref="E38:Q38"/>
    <mergeCell ref="G44:L44"/>
    <mergeCell ref="F39:G39"/>
    <mergeCell ref="F40:P40"/>
    <mergeCell ref="F41:F42"/>
    <mergeCell ref="G41:L42"/>
    <mergeCell ref="N41:O41"/>
    <mergeCell ref="P41:P42"/>
    <mergeCell ref="G43:L43"/>
    <mergeCell ref="G45:L45"/>
    <mergeCell ref="F49:P56"/>
  </mergeCells>
  <pageMargins left="0.70866141732283472" right="0.19685039370078741" top="0.51181102362204722" bottom="0.41" header="0.47244094488188981" footer="0.37"/>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Spinner 1">
              <controlPr defaultSize="0" autoPict="0" macro="[0]!BBKT_VK_Spinner1_Change">
                <anchor moveWithCells="1" sizeWithCells="1">
                  <from>
                    <xdr:col>19</xdr:col>
                    <xdr:colOff>133350</xdr:colOff>
                    <xdr:row>0</xdr:row>
                    <xdr:rowOff>0</xdr:rowOff>
                  </from>
                  <to>
                    <xdr:col>19</xdr:col>
                    <xdr:colOff>400050</xdr:colOff>
                    <xdr:row>2</xdr:row>
                    <xdr:rowOff>133350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U238"/>
  <sheetViews>
    <sheetView showGridLines="0" showZeros="0" zoomScaleNormal="100" workbookViewId="0">
      <pane xSplit="19" ySplit="4" topLeftCell="T14" activePane="bottomRight" state="frozen"/>
      <selection pane="topRight" activeCell="W1" sqref="W1"/>
      <selection pane="bottomLeft" activeCell="A5" sqref="A5"/>
      <selection pane="bottomRight" activeCell="K219" sqref="K219"/>
    </sheetView>
  </sheetViews>
  <sheetFormatPr defaultRowHeight="15.75"/>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22.77734375" style="202" customWidth="1"/>
    <col min="8" max="8" width="11.6640625" style="202" customWidth="1"/>
    <col min="9" max="9" width="10.21875" style="202" customWidth="1"/>
    <col min="10" max="10" width="9.88671875" style="202" customWidth="1"/>
    <col min="11" max="11" width="11.33203125" style="202" customWidth="1"/>
    <col min="12" max="12" width="1.44140625" style="202" customWidth="1"/>
    <col min="13" max="13" width="4.21875" style="202" customWidth="1"/>
    <col min="14" max="14" width="4.5546875" style="202" customWidth="1"/>
    <col min="15" max="16384" width="8.88671875" style="202"/>
  </cols>
  <sheetData>
    <row r="1" spans="1:21" ht="20.25">
      <c r="A1" s="991" t="str">
        <f>IFERROR(MID(VLOOKUP(N2,LIST_BBKT_VK!$A$6:$H$700,8,0),1,FIND("/",VLOOKUP(N2,LIST_BBKT_VK!$A$6:$H$700,8,0))-1),"")</f>
        <v>CotPha.png</v>
      </c>
      <c r="B1" s="991" t="str">
        <f ca="1">SUBSTITUTE(CELL("address",F45),"$","")</f>
        <v>F45</v>
      </c>
      <c r="C1" s="991"/>
      <c r="D1" s="227"/>
      <c r="E1" s="1623" t="str">
        <f>E10</f>
        <v>BIÊN BẢN KIỂM TRA LẮP ĐẶT VÁN KHUÔN</v>
      </c>
      <c r="F1" s="1623"/>
      <c r="G1" s="1623"/>
      <c r="H1" s="1623"/>
      <c r="I1" s="1623"/>
      <c r="J1" s="1623"/>
      <c r="K1" s="1623"/>
      <c r="L1" s="1623"/>
      <c r="M1" s="227"/>
      <c r="N1" s="227"/>
      <c r="O1" s="227"/>
      <c r="P1" s="227"/>
      <c r="Q1" s="227"/>
      <c r="R1" s="227"/>
      <c r="S1" s="227"/>
      <c r="T1" s="227"/>
      <c r="U1" s="227"/>
    </row>
    <row r="2" spans="1:21" ht="16.5">
      <c r="A2" s="991" t="str">
        <f>IFERROR(MID(VLOOKUP(N2,LIST_BBKT_VK!$A$6:$H$700,8,0),FIND("/",VLOOKUP(N2,LIST_BBKT_VK!$A$6:$H$700,8,0))+1,100),"")</f>
        <v>CP.1001</v>
      </c>
      <c r="B2" s="991" t="str">
        <f ca="1">SUBSTITUTE(CELL("address",F57),"$","")</f>
        <v>F57</v>
      </c>
      <c r="C2" s="991">
        <f>ROW(F217)</f>
        <v>217</v>
      </c>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227"/>
      <c r="N2" s="294">
        <v>1</v>
      </c>
      <c r="O2" s="227"/>
      <c r="P2" s="227"/>
      <c r="Q2" s="227"/>
      <c r="R2" s="227"/>
      <c r="S2" s="227"/>
      <c r="T2" s="227"/>
      <c r="U2" s="227"/>
    </row>
    <row r="3" spans="1:21" ht="16.5">
      <c r="A3" s="985" t="str">
        <f ca="1">SUBSTITUTE(CELL("address",E47),"$","")</f>
        <v>E47</v>
      </c>
      <c r="B3" s="991" t="str">
        <f ca="1">SUBSTITUTE(CELL("address",F214),"$","")</f>
        <v>F214</v>
      </c>
      <c r="C3" s="991">
        <f>ROW(E223)</f>
        <v>223</v>
      </c>
      <c r="D3" s="227"/>
      <c r="E3" s="1624" t="str">
        <f>"     Địa điểm XD: "&amp;DDXD</f>
        <v xml:space="preserve">     Địa điểm XD: Huyện Ninh Hải - Tỉnh Ninh Thuận</v>
      </c>
      <c r="F3" s="1624"/>
      <c r="G3" s="1624"/>
      <c r="H3" s="1624"/>
      <c r="I3" s="1624"/>
      <c r="J3" s="1624"/>
      <c r="K3" s="1624"/>
      <c r="L3" s="1624"/>
      <c r="M3" s="227"/>
      <c r="N3" s="227"/>
      <c r="O3" s="227"/>
      <c r="P3" s="227"/>
      <c r="Q3" s="227"/>
      <c r="R3" s="227"/>
      <c r="S3" s="227"/>
      <c r="T3" s="227"/>
      <c r="U3" s="227"/>
    </row>
    <row r="4" spans="1:21" ht="13.5" customHeight="1">
      <c r="A4" s="309"/>
      <c r="B4" s="746"/>
      <c r="C4" s="746"/>
      <c r="D4" s="227"/>
      <c r="E4" s="227"/>
      <c r="F4" s="227"/>
      <c r="G4" s="227"/>
      <c r="H4" s="227"/>
      <c r="I4" s="227"/>
      <c r="J4" s="227"/>
      <c r="K4" s="227"/>
      <c r="L4" s="227"/>
      <c r="M4" s="227"/>
      <c r="N4" s="227"/>
      <c r="O4" s="227"/>
      <c r="P4" s="227"/>
      <c r="Q4" s="227"/>
      <c r="R4" s="227"/>
      <c r="S4" s="227"/>
      <c r="T4" s="227"/>
      <c r="U4" s="227"/>
    </row>
    <row r="5" spans="1:21" ht="16.5">
      <c r="A5" s="227"/>
      <c r="B5" s="227"/>
      <c r="C5" s="227"/>
      <c r="D5" s="227"/>
      <c r="E5" s="1625" t="s">
        <v>158</v>
      </c>
      <c r="F5" s="1625"/>
      <c r="G5" s="1625"/>
      <c r="H5" s="1625"/>
      <c r="I5" s="1625"/>
      <c r="J5" s="1625"/>
      <c r="K5" s="1625"/>
      <c r="L5" s="1625"/>
      <c r="M5" s="227"/>
      <c r="N5" s="227"/>
      <c r="O5" s="227"/>
      <c r="P5" s="227"/>
      <c r="Q5" s="227"/>
      <c r="R5" s="227"/>
      <c r="S5" s="227"/>
      <c r="T5" s="227"/>
      <c r="U5" s="227"/>
    </row>
    <row r="6" spans="1:21" ht="15" customHeight="1">
      <c r="A6" s="227"/>
      <c r="B6" s="227"/>
      <c r="C6" s="227"/>
      <c r="D6" s="227"/>
      <c r="E6" s="1626" t="s">
        <v>161</v>
      </c>
      <c r="F6" s="1626"/>
      <c r="G6" s="1626"/>
      <c r="H6" s="1626"/>
      <c r="I6" s="1626"/>
      <c r="J6" s="1626"/>
      <c r="K6" s="1626"/>
      <c r="L6" s="1626"/>
      <c r="M6" s="227"/>
      <c r="N6" s="227"/>
      <c r="O6" s="227"/>
      <c r="P6" s="227"/>
      <c r="Q6" s="227"/>
      <c r="R6" s="227"/>
      <c r="S6" s="227"/>
      <c r="T6" s="227"/>
      <c r="U6" s="227"/>
    </row>
    <row r="7" spans="1:21" ht="6.75" customHeight="1">
      <c r="A7" s="227"/>
      <c r="B7" s="227"/>
      <c r="C7" s="227"/>
      <c r="D7" s="227"/>
      <c r="E7" s="1627"/>
      <c r="F7" s="1627"/>
      <c r="G7" s="1627"/>
      <c r="H7" s="1627"/>
      <c r="I7" s="1627"/>
      <c r="J7" s="1627"/>
      <c r="K7" s="1627"/>
      <c r="L7" s="1627"/>
      <c r="M7" s="227"/>
      <c r="N7" s="227"/>
      <c r="O7" s="227"/>
      <c r="P7" s="227"/>
      <c r="Q7" s="227"/>
      <c r="R7" s="227"/>
      <c r="S7" s="227"/>
      <c r="T7" s="227"/>
      <c r="U7" s="227"/>
    </row>
    <row r="8" spans="1:21" ht="16.5">
      <c r="A8" s="227"/>
      <c r="B8" s="227"/>
      <c r="C8" s="227"/>
      <c r="D8" s="227"/>
      <c r="E8" s="1622" t="str">
        <f>Diadanh&amp;", "&amp;IFERROR(Doingay(VLOOKUP($N$2,LIST_BBKT_VK!$A$6:$H$700,6,0))," ngày ….. tháng ….. năm …..")</f>
        <v>Ninh Hải,  ngày 19 tháng 5 năm 2020</v>
      </c>
      <c r="F8" s="1622"/>
      <c r="G8" s="1622"/>
      <c r="H8" s="1622"/>
      <c r="I8" s="1622"/>
      <c r="J8" s="1622"/>
      <c r="K8" s="1622"/>
      <c r="L8" s="1622"/>
      <c r="M8" s="227"/>
      <c r="N8" s="227"/>
      <c r="O8" s="227"/>
      <c r="P8" s="227"/>
      <c r="Q8" s="227"/>
      <c r="R8" s="227"/>
      <c r="S8" s="227"/>
      <c r="T8" s="227"/>
      <c r="U8" s="227"/>
    </row>
    <row r="9" spans="1:21" ht="6.75" customHeight="1">
      <c r="A9" s="227"/>
      <c r="B9" s="227"/>
      <c r="C9" s="227"/>
      <c r="D9" s="227"/>
      <c r="E9" s="642"/>
      <c r="F9" s="642"/>
      <c r="G9" s="642"/>
      <c r="H9" s="642"/>
      <c r="I9" s="642"/>
      <c r="J9" s="642"/>
      <c r="K9" s="642"/>
      <c r="L9" s="642"/>
      <c r="M9" s="227"/>
      <c r="N9" s="227"/>
      <c r="O9" s="227"/>
      <c r="P9" s="227"/>
      <c r="Q9" s="227"/>
      <c r="R9" s="227"/>
      <c r="S9" s="227"/>
      <c r="T9" s="227"/>
      <c r="U9" s="227"/>
    </row>
    <row r="10" spans="1:21" ht="27.75" customHeight="1">
      <c r="A10" s="227"/>
      <c r="B10" s="227"/>
      <c r="C10" s="227"/>
      <c r="D10" s="227"/>
      <c r="E10" s="1657" t="str">
        <f>IF(IFERROR(FIND("cốt thép",E18)&gt;0,0),"BIÊN BẢN KIỂM TRA LẮP ĐẶT VÁN KHUÔN, CỐT THÉP","BIÊN BẢN KIỂM TRA LẮP ĐẶT VÁN KHUÔN")</f>
        <v>BIÊN BẢN KIỂM TRA LẮP ĐẶT VÁN KHUÔN</v>
      </c>
      <c r="F10" s="1657"/>
      <c r="G10" s="1657"/>
      <c r="H10" s="1657"/>
      <c r="I10" s="1657"/>
      <c r="J10" s="1657"/>
      <c r="K10" s="1657"/>
      <c r="L10" s="1657"/>
      <c r="M10" s="227"/>
      <c r="N10" s="227"/>
      <c r="O10" s="227"/>
      <c r="P10" s="227"/>
      <c r="Q10" s="227"/>
      <c r="R10" s="227"/>
      <c r="S10" s="227"/>
      <c r="T10" s="227"/>
      <c r="U10" s="227"/>
    </row>
    <row r="11" spans="1:21" ht="5.25" customHeight="1">
      <c r="A11" s="227"/>
      <c r="B11" s="227"/>
      <c r="C11" s="227"/>
      <c r="D11" s="227"/>
      <c r="E11" s="641"/>
      <c r="F11" s="641"/>
      <c r="G11" s="641"/>
      <c r="H11" s="641"/>
      <c r="I11" s="641"/>
      <c r="J11" s="641"/>
      <c r="K11" s="641"/>
      <c r="L11" s="641"/>
      <c r="M11" s="227"/>
      <c r="N11" s="227"/>
      <c r="O11" s="227"/>
      <c r="P11" s="227"/>
      <c r="Q11" s="227"/>
      <c r="R11" s="227"/>
      <c r="S11" s="227"/>
      <c r="T11" s="227"/>
      <c r="U11" s="227"/>
    </row>
    <row r="12" spans="1:21"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227"/>
      <c r="N12" s="227"/>
      <c r="O12" s="227"/>
      <c r="P12" s="227"/>
      <c r="Q12" s="227"/>
      <c r="R12" s="227"/>
      <c r="S12" s="227"/>
      <c r="T12" s="227"/>
      <c r="U12" s="227">
        <f>ROW()</f>
        <v>12</v>
      </c>
    </row>
    <row r="13" spans="1:21" ht="20.100000000000001" hidden="1" customHeight="1">
      <c r="A13" s="227"/>
      <c r="B13" s="227"/>
      <c r="C13" s="227"/>
      <c r="D13" s="227"/>
      <c r="E13" s="1630" t="str">
        <f>IF(NDtieude2&lt;&gt;"",Tieude2&amp;": "&amp;NDtieude2,"")</f>
        <v/>
      </c>
      <c r="F13" s="1630"/>
      <c r="G13" s="1630"/>
      <c r="H13" s="1630"/>
      <c r="I13" s="1630"/>
      <c r="J13" s="1630"/>
      <c r="K13" s="1630"/>
      <c r="L13" s="1630"/>
      <c r="M13" s="227"/>
      <c r="N13" s="227"/>
      <c r="O13" s="227"/>
      <c r="P13" s="227"/>
      <c r="Q13" s="227"/>
      <c r="R13" s="227"/>
      <c r="S13" s="227"/>
      <c r="T13" s="227"/>
      <c r="U13" s="227">
        <f>ROW()</f>
        <v>13</v>
      </c>
    </row>
    <row r="14" spans="1:21" ht="20.100000000000001" hidden="1" customHeight="1">
      <c r="A14" s="227"/>
      <c r="B14" s="227"/>
      <c r="C14" s="227"/>
      <c r="D14" s="227"/>
      <c r="E14" s="1630" t="str">
        <f>IF(NDtieude2&lt;&gt;"",Tieude3&amp;": "&amp;NDtieude3,"")</f>
        <v/>
      </c>
      <c r="F14" s="1630"/>
      <c r="G14" s="1630"/>
      <c r="H14" s="1630"/>
      <c r="I14" s="1630"/>
      <c r="J14" s="1630"/>
      <c r="K14" s="1630"/>
      <c r="L14" s="1630"/>
      <c r="M14" s="227"/>
      <c r="N14" s="227"/>
      <c r="O14" s="227"/>
      <c r="P14" s="227"/>
      <c r="Q14" s="227"/>
      <c r="R14" s="227"/>
      <c r="S14" s="227"/>
      <c r="T14" s="227"/>
      <c r="U14" s="227">
        <f>ROW()</f>
        <v>14</v>
      </c>
    </row>
    <row r="15" spans="1:21" ht="20.100000000000001"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227"/>
      <c r="N15" s="227"/>
      <c r="O15" s="227"/>
      <c r="P15" s="227"/>
      <c r="Q15" s="227"/>
      <c r="R15" s="227"/>
      <c r="S15" s="227"/>
      <c r="T15" s="227"/>
      <c r="U15" s="227">
        <f>ROW()</f>
        <v>15</v>
      </c>
    </row>
    <row r="16" spans="1:21" ht="5.25" customHeight="1">
      <c r="A16" s="227"/>
      <c r="B16" s="227"/>
      <c r="C16" s="227"/>
      <c r="D16" s="227"/>
      <c r="E16" s="201"/>
      <c r="H16" s="201"/>
      <c r="I16" s="201"/>
      <c r="J16" s="201"/>
      <c r="K16" s="201"/>
      <c r="L16" s="201"/>
      <c r="M16" s="227"/>
      <c r="N16" s="227"/>
      <c r="O16" s="227"/>
      <c r="P16" s="227"/>
      <c r="Q16" s="227"/>
      <c r="R16" s="227"/>
      <c r="S16" s="227"/>
      <c r="T16" s="227"/>
      <c r="U16" s="227"/>
    </row>
    <row r="17" spans="1:21" ht="18" customHeight="1">
      <c r="A17" s="227"/>
      <c r="B17" s="227"/>
      <c r="C17" s="227"/>
      <c r="D17" s="227"/>
      <c r="E17" s="204" t="s">
        <v>3889</v>
      </c>
      <c r="F17" s="205" t="s">
        <v>3890</v>
      </c>
      <c r="G17" s="201"/>
      <c r="H17" s="201"/>
      <c r="I17" s="206"/>
      <c r="J17" s="206"/>
      <c r="K17" s="207"/>
      <c r="L17" s="207"/>
      <c r="M17" s="227"/>
      <c r="N17" s="227"/>
      <c r="O17" s="227"/>
      <c r="P17" s="227"/>
      <c r="Q17" s="227"/>
      <c r="R17" s="227"/>
      <c r="S17" s="227"/>
      <c r="T17" s="227"/>
      <c r="U17" s="227"/>
    </row>
    <row r="18" spans="1:21" ht="20.100000000000001" customHeight="1">
      <c r="A18" s="227"/>
      <c r="B18" s="227"/>
      <c r="C18" s="227"/>
      <c r="D18" s="227"/>
      <c r="E18" s="1633" t="str">
        <f>"+ Đối tượng kiểm tra: "&amp;IFERROR(VLOOKUP(N2,LIST_BBKT_VK!$A$6:$H$700,4,0),"")</f>
        <v>+ Đối tượng kiểm tra: Kiểm tra ván khuôn kênh</v>
      </c>
      <c r="F18" s="1633"/>
      <c r="G18" s="1633"/>
      <c r="H18" s="1633"/>
      <c r="I18" s="1633"/>
      <c r="J18" s="1633"/>
      <c r="K18" s="1633"/>
      <c r="L18" s="1633"/>
      <c r="M18" s="227"/>
      <c r="N18" s="227"/>
      <c r="O18" s="227"/>
      <c r="P18" s="227"/>
      <c r="Q18" s="227"/>
      <c r="R18" s="227"/>
      <c r="S18" s="227"/>
      <c r="T18" s="227">
        <f>ROW(E18)</f>
        <v>18</v>
      </c>
      <c r="U18" s="227"/>
    </row>
    <row r="19" spans="1:21" ht="20.100000000000001" customHeight="1">
      <c r="A19" s="227"/>
      <c r="B19" s="227"/>
      <c r="C19" s="227"/>
      <c r="D19" s="227"/>
      <c r="E19" s="1633" t="str">
        <f>"+ Vị trí xây dựng trên công trình: "&amp;IFERROR(VLOOKUP(N2,LIST_BBKT_VK!$A$6:$H$700,5,0),"")</f>
        <v>+ Vị trí xây dựng trên công trình: Đoạn Km0+300 đến Km0+400</v>
      </c>
      <c r="F19" s="1633"/>
      <c r="G19" s="1633"/>
      <c r="H19" s="1633"/>
      <c r="I19" s="1633"/>
      <c r="J19" s="1633"/>
      <c r="K19" s="1633"/>
      <c r="L19" s="1633"/>
      <c r="M19" s="227"/>
      <c r="N19" s="227"/>
      <c r="O19" s="227"/>
      <c r="P19" s="227"/>
      <c r="Q19" s="227"/>
      <c r="R19" s="227"/>
      <c r="S19" s="227"/>
      <c r="T19" s="227">
        <f>ROW(E19)</f>
        <v>19</v>
      </c>
      <c r="U19" s="227"/>
    </row>
    <row r="20" spans="1:21" ht="7.5" customHeight="1">
      <c r="A20" s="227"/>
      <c r="B20" s="227"/>
      <c r="C20" s="227"/>
      <c r="D20" s="227"/>
      <c r="E20" s="204"/>
      <c r="F20" s="205"/>
      <c r="G20" s="205"/>
      <c r="H20" s="201"/>
      <c r="I20" s="201"/>
      <c r="J20" s="201"/>
      <c r="K20" s="201"/>
      <c r="L20" s="201"/>
      <c r="M20" s="227"/>
      <c r="N20" s="227"/>
      <c r="O20" s="227"/>
      <c r="P20" s="227"/>
      <c r="Q20" s="227"/>
      <c r="R20" s="227"/>
      <c r="S20" s="227"/>
      <c r="T20" s="227"/>
      <c r="U20" s="227"/>
    </row>
    <row r="21" spans="1:21" ht="17.25" customHeight="1">
      <c r="A21" s="227"/>
      <c r="B21" s="227"/>
      <c r="C21" s="227"/>
      <c r="D21" s="227"/>
      <c r="E21" s="163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227"/>
      <c r="N21" s="227"/>
      <c r="O21" s="227"/>
      <c r="P21" s="227"/>
      <c r="Q21" s="227"/>
      <c r="R21" s="227"/>
      <c r="S21" s="227"/>
      <c r="T21" s="227"/>
      <c r="U21" s="227">
        <f>ROW()</f>
        <v>21</v>
      </c>
    </row>
    <row r="22" spans="1:21" ht="18" customHeight="1">
      <c r="A22" s="227"/>
      <c r="B22" s="227"/>
      <c r="C22" s="227"/>
      <c r="D22" s="227"/>
      <c r="E22" s="201"/>
      <c r="F22" s="246" t="str">
        <f>GT_GS1&amp;CBGS1</f>
        <v>Ông: Trần Trọng Liêm</v>
      </c>
      <c r="G22" s="39"/>
      <c r="I22" s="41" t="str">
        <f>"Chức vụ: "&amp;CV_CBGS1</f>
        <v>Chức vụ: Giám sát trưởng</v>
      </c>
      <c r="K22" s="201"/>
      <c r="L22" s="201"/>
      <c r="M22" s="227"/>
      <c r="N22" s="227"/>
      <c r="O22" s="227"/>
      <c r="P22" s="227"/>
      <c r="Q22" s="227"/>
      <c r="R22" s="227"/>
      <c r="S22" s="227"/>
      <c r="T22" s="227"/>
      <c r="U22" s="227"/>
    </row>
    <row r="23" spans="1:21" ht="18" customHeight="1">
      <c r="A23" s="227"/>
      <c r="B23" s="227"/>
      <c r="C23" s="227"/>
      <c r="D23" s="227"/>
      <c r="E23" s="201"/>
      <c r="F23" s="246" t="str">
        <f>GT_GS2&amp;CBGS2</f>
        <v>Bà  : Nguyễn Thị Minh</v>
      </c>
      <c r="G23" s="39"/>
      <c r="I23" s="643" t="str">
        <f>"Chức vụ: "&amp;CV_CBGS2</f>
        <v>Chức vụ: Giám sát viên</v>
      </c>
      <c r="K23" s="201"/>
      <c r="L23" s="201"/>
      <c r="M23" s="227"/>
      <c r="N23" s="227"/>
      <c r="O23" s="227"/>
      <c r="P23" s="227"/>
      <c r="Q23" s="227"/>
      <c r="R23" s="227"/>
      <c r="S23" s="227"/>
      <c r="T23" s="227"/>
      <c r="U23" s="227"/>
    </row>
    <row r="24" spans="1:21" ht="18" customHeight="1">
      <c r="A24" s="227"/>
      <c r="B24" s="227"/>
      <c r="C24" s="227"/>
      <c r="D24" s="227"/>
      <c r="E24" s="201"/>
      <c r="F24" s="246" t="str">
        <f>GT_GS3&amp;CBGS3</f>
        <v>Ông: ………………………..</v>
      </c>
      <c r="G24" s="39"/>
      <c r="I24" s="643" t="str">
        <f>"Chức vụ: "&amp;CV_CBGS3</f>
        <v>Chức vụ:  …………………</v>
      </c>
      <c r="K24" s="201"/>
      <c r="L24" s="201"/>
      <c r="M24" s="227"/>
      <c r="N24" s="227"/>
      <c r="O24" s="227"/>
      <c r="P24" s="227"/>
      <c r="Q24" s="227"/>
      <c r="R24" s="227"/>
      <c r="S24" s="227"/>
      <c r="T24" s="227"/>
      <c r="U24" s="227"/>
    </row>
    <row r="25" spans="1:21" ht="17.25" customHeight="1">
      <c r="A25" s="227"/>
      <c r="B25" s="227"/>
      <c r="C25" s="227"/>
      <c r="D25" s="227"/>
      <c r="E25" s="1632" t="str">
        <f>"b. Đại diện "&amp;LOWER(MID(Td_DVTC,1,1))&amp;MID(Td_DVTC,2,LEN(Td_DVTC))&amp;": "&amp;DVTC</f>
        <v>b. Đại diện đơn vị thi công: Công ty TNHH Xây dựng Thịnh Dũng</v>
      </c>
      <c r="F25" s="1524"/>
      <c r="G25" s="1524"/>
      <c r="H25" s="1524"/>
      <c r="I25" s="1524"/>
      <c r="J25" s="1524"/>
      <c r="K25" s="1524"/>
      <c r="L25" s="1524"/>
      <c r="M25" s="227"/>
      <c r="N25" s="227"/>
      <c r="O25" s="227"/>
      <c r="P25" s="227"/>
      <c r="Q25" s="227"/>
      <c r="R25" s="227"/>
      <c r="S25" s="227"/>
      <c r="T25" s="227"/>
      <c r="U25" s="227">
        <f>ROW()</f>
        <v>25</v>
      </c>
    </row>
    <row r="26" spans="1:21" ht="18" customHeight="1">
      <c r="A26" s="227"/>
      <c r="B26" s="227"/>
      <c r="C26" s="227"/>
      <c r="D26" s="227"/>
      <c r="E26" s="201"/>
      <c r="F26" s="62" t="str">
        <f>GT_CBKT1&amp;CBKT1</f>
        <v>Ông: Hoàng Đình Tảng</v>
      </c>
      <c r="H26" s="63"/>
      <c r="I26" s="51" t="str">
        <f>"Chức vụ: "&amp;CV_CBKT1</f>
        <v>Chức vụ: Chỉ huy công trường</v>
      </c>
      <c r="K26" s="201"/>
      <c r="L26" s="201"/>
      <c r="M26" s="227"/>
      <c r="N26" s="227"/>
      <c r="O26" s="227"/>
      <c r="P26" s="227"/>
      <c r="Q26" s="227"/>
      <c r="R26" s="227"/>
      <c r="S26" s="227"/>
      <c r="T26" s="227"/>
      <c r="U26" s="227"/>
    </row>
    <row r="27" spans="1:21" ht="18" customHeight="1">
      <c r="A27" s="227"/>
      <c r="B27" s="227"/>
      <c r="C27" s="227"/>
      <c r="D27" s="227"/>
      <c r="E27" s="201"/>
      <c r="F27" s="62" t="str">
        <f>GT_CBKT2&amp;CBKT2</f>
        <v>Ông: Lê Thiên Phương</v>
      </c>
      <c r="H27" s="63"/>
      <c r="I27" s="51" t="str">
        <f>"Chức vụ: "&amp;CV_CBKT2</f>
        <v>Chức vụ: Kỹ thuật thi công</v>
      </c>
      <c r="K27" s="201"/>
      <c r="L27" s="201"/>
      <c r="M27" s="227"/>
      <c r="N27" s="227"/>
      <c r="O27" s="227"/>
      <c r="P27" s="227"/>
      <c r="Q27" s="227"/>
      <c r="R27" s="227"/>
      <c r="S27" s="227"/>
      <c r="T27" s="227"/>
      <c r="U27" s="227"/>
    </row>
    <row r="28" spans="1:21" ht="18" customHeight="1">
      <c r="A28" s="227"/>
      <c r="B28" s="227"/>
      <c r="C28" s="227"/>
      <c r="D28" s="227"/>
      <c r="E28" s="201"/>
      <c r="F28" s="62" t="str">
        <f>GT_CBKT3&amp;CBKT3</f>
        <v>Ông: ………………………..</v>
      </c>
      <c r="H28" s="63"/>
      <c r="I28" s="51" t="str">
        <f>"Chức vụ: "&amp;CV_CBKT3</f>
        <v>Chức vụ: ………………………..</v>
      </c>
      <c r="K28" s="201"/>
      <c r="L28" s="201"/>
      <c r="M28" s="227"/>
      <c r="N28" s="227"/>
      <c r="O28" s="227"/>
      <c r="P28" s="227"/>
      <c r="Q28" s="227"/>
      <c r="R28" s="227"/>
      <c r="S28" s="227"/>
      <c r="T28" s="227"/>
      <c r="U28" s="227"/>
    </row>
    <row r="29" spans="1:21" ht="18" customHeight="1">
      <c r="A29" s="227"/>
      <c r="B29" s="227"/>
      <c r="C29" s="227"/>
      <c r="D29" s="227"/>
      <c r="E29" s="204" t="s">
        <v>3893</v>
      </c>
      <c r="F29" s="205" t="s">
        <v>3894</v>
      </c>
      <c r="G29" s="201"/>
      <c r="H29" s="201"/>
      <c r="I29" s="209"/>
      <c r="J29" s="209"/>
      <c r="K29" s="209"/>
      <c r="L29" s="201"/>
      <c r="M29" s="227"/>
      <c r="N29" s="227"/>
      <c r="O29" s="227"/>
      <c r="P29" s="227"/>
      <c r="Q29" s="227"/>
      <c r="R29" s="227"/>
      <c r="S29" s="227"/>
      <c r="T29" s="227"/>
      <c r="U29" s="227"/>
    </row>
    <row r="30" spans="1:21" s="211" customFormat="1" ht="18" customHeight="1">
      <c r="A30" s="227"/>
      <c r="B30" s="227"/>
      <c r="C30" s="227"/>
      <c r="D30" s="227"/>
      <c r="E30" s="210"/>
      <c r="F30" s="1631" t="str">
        <f>" + Bắt đấu: ……. giờ ….. phút, "&amp;IFERROR(Doingay(VLOOKUP($N$2,LIST_BBKT_VK!$A$6:$H$700,6,0))," ngày ….. tháng ….. năm …..")</f>
        <v xml:space="preserve"> + Bắt đấu: ……. giờ ….. phút,  ngày 19 tháng 5 năm 2020</v>
      </c>
      <c r="G30" s="1631"/>
      <c r="H30" s="1631"/>
      <c r="I30" s="1631"/>
      <c r="J30" s="1631"/>
      <c r="K30" s="1631"/>
      <c r="L30" s="1631"/>
      <c r="M30" s="227"/>
      <c r="N30" s="227"/>
      <c r="O30" s="227"/>
      <c r="P30" s="227"/>
      <c r="Q30" s="227"/>
      <c r="R30" s="227"/>
      <c r="S30" s="227"/>
      <c r="T30" s="227"/>
      <c r="U30" s="227"/>
    </row>
    <row r="31" spans="1:21" s="211" customFormat="1" ht="18" customHeight="1">
      <c r="A31" s="227"/>
      <c r="B31" s="227"/>
      <c r="C31" s="227"/>
      <c r="D31" s="227"/>
      <c r="E31" s="210"/>
      <c r="F31" s="1628" t="str">
        <f>" + Kết thúc: ……. giờ ….. phút, "&amp;IFERROR(Doingay(VLOOKUP($N$2,LIST_BBKT_VK!$A$6:$H$700,6,0))," ngày ….. tháng ….. năm …..")</f>
        <v xml:space="preserve"> + Kết thúc: ……. giờ ….. phút,  ngày 19 tháng 5 năm 2020</v>
      </c>
      <c r="G31" s="1628"/>
      <c r="H31" s="1628"/>
      <c r="I31" s="1628"/>
      <c r="J31" s="1628"/>
      <c r="K31" s="1628"/>
      <c r="L31" s="1628"/>
      <c r="M31" s="227"/>
      <c r="N31" s="227"/>
      <c r="O31" s="227"/>
      <c r="P31" s="227"/>
      <c r="Q31" s="227"/>
      <c r="R31" s="227"/>
      <c r="S31" s="227"/>
      <c r="T31" s="227"/>
      <c r="U31" s="227"/>
    </row>
    <row r="32" spans="1:21" ht="18" customHeight="1">
      <c r="A32" s="227"/>
      <c r="B32" s="227"/>
      <c r="C32" s="227"/>
      <c r="D32" s="227"/>
      <c r="E32" s="204" t="s">
        <v>3895</v>
      </c>
      <c r="F32" s="205" t="s">
        <v>4296</v>
      </c>
      <c r="G32" s="201"/>
      <c r="H32" s="201"/>
      <c r="I32" s="201"/>
      <c r="J32" s="201"/>
      <c r="K32" s="201"/>
      <c r="L32" s="201"/>
      <c r="M32" s="227"/>
      <c r="N32" s="227"/>
      <c r="O32" s="227"/>
      <c r="P32" s="227"/>
      <c r="Q32" s="227"/>
      <c r="R32" s="227"/>
      <c r="S32" s="227"/>
      <c r="T32" s="227"/>
      <c r="U32" s="227"/>
    </row>
    <row r="33" spans="1:21" ht="36.6" customHeight="1">
      <c r="A33" s="227"/>
      <c r="B33" s="227"/>
      <c r="C33" s="227"/>
      <c r="D33" s="227"/>
      <c r="E33"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3" s="1620"/>
      <c r="G33" s="1620"/>
      <c r="H33" s="1620"/>
      <c r="I33" s="1620"/>
      <c r="J33" s="1620"/>
      <c r="K33" s="1620"/>
      <c r="L33" s="1620"/>
      <c r="M33" s="227"/>
      <c r="N33" s="227"/>
      <c r="O33" s="227"/>
      <c r="P33" s="227"/>
      <c r="Q33" s="227"/>
      <c r="R33" s="227"/>
      <c r="S33" s="227"/>
      <c r="T33" s="227"/>
      <c r="U33" s="227">
        <f>ROW()</f>
        <v>33</v>
      </c>
    </row>
    <row r="34" spans="1:21" ht="16.5">
      <c r="A34" s="227"/>
      <c r="B34" s="227"/>
      <c r="C34" s="227"/>
      <c r="D34" s="227"/>
      <c r="E34" s="1621" t="s">
        <v>4298</v>
      </c>
      <c r="F34" s="1621"/>
      <c r="G34" s="1621"/>
      <c r="H34" s="1621"/>
      <c r="I34" s="1621"/>
      <c r="J34" s="1621"/>
      <c r="K34" s="1621"/>
      <c r="L34" s="1621"/>
      <c r="M34" s="227"/>
      <c r="N34" s="227"/>
      <c r="O34" s="227"/>
      <c r="P34" s="227"/>
      <c r="Q34" s="227"/>
      <c r="R34" s="227"/>
      <c r="S34" s="227"/>
      <c r="T34" s="227"/>
      <c r="U34" s="227"/>
    </row>
    <row r="35" spans="1:21" ht="53.1" customHeight="1">
      <c r="A35" s="227"/>
      <c r="B35" s="227"/>
      <c r="C35" s="227"/>
      <c r="D35" s="227"/>
      <c r="E35"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5" s="1621"/>
      <c r="G35" s="1621"/>
      <c r="H35" s="1621"/>
      <c r="I35" s="1621"/>
      <c r="J35" s="1621"/>
      <c r="K35" s="1621"/>
      <c r="L35" s="1621"/>
      <c r="M35" s="227"/>
      <c r="N35" s="227"/>
      <c r="O35" s="227"/>
      <c r="P35" s="227"/>
      <c r="Q35" s="227"/>
      <c r="R35" s="227"/>
      <c r="S35" s="227"/>
      <c r="T35" s="227"/>
      <c r="U35" s="227">
        <f>ROW()</f>
        <v>35</v>
      </c>
    </row>
    <row r="36" spans="1:21" ht="15" customHeight="1">
      <c r="A36" s="227"/>
      <c r="B36" s="227"/>
      <c r="C36" s="227"/>
      <c r="D36" s="227"/>
      <c r="E36" s="204" t="s">
        <v>3896</v>
      </c>
      <c r="F36" s="1636" t="s">
        <v>3897</v>
      </c>
      <c r="G36" s="1636"/>
      <c r="H36" s="212"/>
      <c r="I36" s="212"/>
      <c r="J36" s="212"/>
      <c r="K36" s="212"/>
      <c r="L36" s="212"/>
      <c r="M36" s="227"/>
      <c r="N36" s="227"/>
      <c r="O36" s="227"/>
      <c r="P36" s="227"/>
      <c r="Q36" s="227"/>
      <c r="R36" s="227"/>
      <c r="S36" s="227"/>
      <c r="T36" s="227"/>
      <c r="U36" s="227"/>
    </row>
    <row r="37" spans="1:21" s="211" customFormat="1" ht="16.5">
      <c r="A37" s="227"/>
      <c r="B37" s="227"/>
      <c r="C37" s="227"/>
      <c r="D37" s="227"/>
      <c r="E37" s="210"/>
      <c r="F37" s="1646" t="s">
        <v>21</v>
      </c>
      <c r="G37" s="1639" t="s">
        <v>3897</v>
      </c>
      <c r="H37" s="1640"/>
      <c r="I37" s="1665" t="s">
        <v>4303</v>
      </c>
      <c r="J37" s="1666"/>
      <c r="K37" s="1644" t="s">
        <v>20</v>
      </c>
      <c r="L37" s="210"/>
      <c r="M37" s="227"/>
      <c r="N37" s="227"/>
      <c r="O37" s="227"/>
      <c r="P37" s="227"/>
      <c r="Q37" s="227"/>
      <c r="R37" s="227"/>
      <c r="S37" s="227"/>
      <c r="T37" s="227"/>
      <c r="U37" s="227"/>
    </row>
    <row r="38" spans="1:21" s="211" customFormat="1" ht="16.5">
      <c r="A38" s="227"/>
      <c r="B38" s="227"/>
      <c r="C38" s="227"/>
      <c r="D38" s="227"/>
      <c r="E38" s="210"/>
      <c r="F38" s="1646"/>
      <c r="G38" s="1641"/>
      <c r="H38" s="1642"/>
      <c r="I38" s="431" t="s">
        <v>3899</v>
      </c>
      <c r="J38" s="430" t="s">
        <v>4307</v>
      </c>
      <c r="K38" s="1645"/>
      <c r="L38" s="210"/>
      <c r="M38" s="227"/>
      <c r="N38" s="227"/>
      <c r="O38" s="227"/>
      <c r="P38" s="227"/>
      <c r="Q38" s="227"/>
      <c r="R38" s="227"/>
      <c r="S38" s="227"/>
      <c r="T38" s="227"/>
      <c r="U38" s="227"/>
    </row>
    <row r="39" spans="1:21" s="211" customFormat="1" ht="16.5">
      <c r="A39" s="227"/>
      <c r="B39" s="227"/>
      <c r="C39" s="227"/>
      <c r="D39" s="227"/>
      <c r="E39" s="210"/>
      <c r="F39" s="624">
        <v>1</v>
      </c>
      <c r="G39" s="1667" t="s">
        <v>4308</v>
      </c>
      <c r="H39" s="1668"/>
      <c r="I39" s="630" t="s">
        <v>3900</v>
      </c>
      <c r="J39" s="628" t="s">
        <v>3901</v>
      </c>
      <c r="K39" s="628"/>
      <c r="L39" s="210"/>
      <c r="M39" s="227"/>
      <c r="N39" s="227"/>
      <c r="O39" s="227"/>
      <c r="P39" s="227"/>
      <c r="Q39" s="227"/>
      <c r="R39" s="227"/>
      <c r="S39" s="227"/>
      <c r="T39" s="227"/>
      <c r="U39" s="227"/>
    </row>
    <row r="40" spans="1:21" s="211" customFormat="1" ht="36" customHeight="1">
      <c r="A40" s="227"/>
      <c r="B40" s="227"/>
      <c r="C40" s="227"/>
      <c r="D40" s="227"/>
      <c r="E40" s="210"/>
      <c r="F40" s="624">
        <v>2</v>
      </c>
      <c r="G40" s="1667" t="s">
        <v>4313</v>
      </c>
      <c r="H40" s="1668"/>
      <c r="I40" s="630" t="s">
        <v>3900</v>
      </c>
      <c r="J40" s="628" t="s">
        <v>3901</v>
      </c>
      <c r="K40" s="628"/>
      <c r="L40" s="201"/>
      <c r="M40" s="227"/>
      <c r="N40" s="227"/>
      <c r="O40" s="227"/>
      <c r="P40" s="227"/>
      <c r="Q40" s="227"/>
      <c r="R40" s="227"/>
      <c r="S40" s="227"/>
      <c r="T40" s="227"/>
      <c r="U40" s="227"/>
    </row>
    <row r="41" spans="1:21" s="211" customFormat="1" ht="36" customHeight="1">
      <c r="A41" s="227"/>
      <c r="B41" s="227"/>
      <c r="C41" s="227"/>
      <c r="D41" s="227"/>
      <c r="E41" s="210"/>
      <c r="F41" s="624">
        <v>3</v>
      </c>
      <c r="G41" s="1667" t="s">
        <v>4314</v>
      </c>
      <c r="H41" s="1668"/>
      <c r="I41" s="630" t="s">
        <v>3900</v>
      </c>
      <c r="J41" s="628" t="s">
        <v>3901</v>
      </c>
      <c r="K41" s="628"/>
      <c r="L41" s="201"/>
      <c r="M41" s="227"/>
      <c r="N41" s="227"/>
      <c r="O41" s="227"/>
      <c r="P41" s="227"/>
      <c r="Q41" s="227"/>
      <c r="R41" s="227"/>
      <c r="S41" s="227"/>
      <c r="T41" s="227"/>
      <c r="U41" s="227"/>
    </row>
    <row r="42" spans="1:21" s="211" customFormat="1" ht="19.5" customHeight="1">
      <c r="A42" s="227"/>
      <c r="B42" s="227"/>
      <c r="C42" s="227"/>
      <c r="D42" s="227"/>
      <c r="E42" s="210"/>
      <c r="F42" s="624">
        <v>4</v>
      </c>
      <c r="G42" s="1667" t="s">
        <v>4315</v>
      </c>
      <c r="H42" s="1668"/>
      <c r="I42" s="630" t="s">
        <v>3900</v>
      </c>
      <c r="J42" s="628" t="s">
        <v>3901</v>
      </c>
      <c r="K42" s="628"/>
      <c r="L42" s="201"/>
      <c r="M42" s="227"/>
      <c r="N42" s="227"/>
      <c r="O42" s="227"/>
      <c r="P42" s="227"/>
      <c r="Q42" s="227"/>
      <c r="R42" s="227"/>
      <c r="S42" s="227"/>
      <c r="T42" s="227"/>
      <c r="U42" s="227"/>
    </row>
    <row r="43" spans="1:21" s="211" customFormat="1" ht="16.5">
      <c r="A43" s="227"/>
      <c r="B43" s="227"/>
      <c r="C43" s="227"/>
      <c r="D43" s="227"/>
      <c r="E43" s="210"/>
      <c r="F43" s="624">
        <v>5</v>
      </c>
      <c r="G43" s="1667" t="s">
        <v>4316</v>
      </c>
      <c r="H43" s="1668"/>
      <c r="I43" s="630" t="s">
        <v>3900</v>
      </c>
      <c r="J43" s="628" t="s">
        <v>3901</v>
      </c>
      <c r="K43" s="628"/>
      <c r="L43" s="201"/>
      <c r="M43" s="227"/>
      <c r="N43" s="227"/>
      <c r="O43" s="227"/>
      <c r="P43" s="227"/>
      <c r="Q43" s="227"/>
      <c r="R43" s="227"/>
      <c r="S43" s="227"/>
      <c r="T43" s="227"/>
      <c r="U43" s="227"/>
    </row>
    <row r="44" spans="1:21" s="211" customFormat="1" ht="12" customHeight="1">
      <c r="A44" s="227"/>
      <c r="B44" s="227"/>
      <c r="C44" s="227"/>
      <c r="D44" s="227"/>
      <c r="E44" s="210"/>
      <c r="F44" s="671"/>
      <c r="G44" s="310"/>
      <c r="H44" s="310"/>
      <c r="I44" s="673"/>
      <c r="J44" s="312"/>
      <c r="K44" s="312"/>
      <c r="L44" s="201"/>
      <c r="M44" s="227"/>
      <c r="N44" s="227"/>
      <c r="O44" s="227"/>
      <c r="P44" s="227"/>
      <c r="Q44" s="227"/>
      <c r="R44" s="227"/>
      <c r="S44" s="227"/>
      <c r="T44" s="227"/>
      <c r="U44" s="227"/>
    </row>
    <row r="45" spans="1:21" s="211" customFormat="1" ht="16.5">
      <c r="A45" s="227"/>
      <c r="B45" s="227"/>
      <c r="C45" s="227"/>
      <c r="D45" s="227"/>
      <c r="E45" s="204" t="str">
        <f>IF(A2&lt;&gt;"","6/","")</f>
        <v>6/</v>
      </c>
      <c r="F45" s="629" t="str">
        <f>IF(A2&lt;&gt;"","Kết quả kiểm tra","")</f>
        <v>Kết quả kiểm tra</v>
      </c>
      <c r="G45" s="310"/>
      <c r="H45" s="313"/>
      <c r="I45" s="311"/>
      <c r="J45" s="312"/>
      <c r="K45" s="312"/>
      <c r="L45" s="201"/>
      <c r="M45" s="227"/>
      <c r="N45" s="227"/>
      <c r="O45" s="227"/>
      <c r="P45" s="227"/>
      <c r="Q45" s="227"/>
      <c r="R45" s="227"/>
      <c r="S45" s="227"/>
      <c r="T45" s="227"/>
      <c r="U45" s="227"/>
    </row>
    <row r="46" spans="1:21" s="211" customFormat="1" ht="17.25">
      <c r="A46" s="227"/>
      <c r="B46" s="227"/>
      <c r="C46" s="227"/>
      <c r="D46" s="227"/>
      <c r="E46" s="656"/>
      <c r="F46" s="657"/>
      <c r="G46" s="658" t="s">
        <v>4297</v>
      </c>
      <c r="H46" s="659"/>
      <c r="I46" s="660"/>
      <c r="J46" s="661"/>
      <c r="K46" s="661"/>
      <c r="L46" s="662"/>
      <c r="M46" s="227"/>
      <c r="N46" s="227"/>
      <c r="O46" s="227"/>
      <c r="P46" s="227"/>
      <c r="Q46" s="227"/>
      <c r="R46" s="227"/>
      <c r="S46" s="227"/>
      <c r="T46" s="227"/>
      <c r="U46" s="227"/>
    </row>
    <row r="47" spans="1:21" s="211" customFormat="1" ht="16.5">
      <c r="A47" s="227"/>
      <c r="B47" s="227"/>
      <c r="C47" s="227"/>
      <c r="D47" s="227"/>
      <c r="E47" s="1625"/>
      <c r="F47" s="1625"/>
      <c r="G47" s="1625"/>
      <c r="H47" s="1625"/>
      <c r="I47" s="1625"/>
      <c r="J47" s="1625"/>
      <c r="K47" s="1625"/>
      <c r="L47" s="1625"/>
      <c r="M47" s="227"/>
      <c r="N47" s="227"/>
      <c r="O47" s="227"/>
      <c r="P47" s="227"/>
      <c r="Q47" s="227"/>
      <c r="R47" s="227"/>
      <c r="S47" s="227"/>
      <c r="T47" s="227"/>
      <c r="U47" s="227"/>
    </row>
    <row r="48" spans="1:21" s="211" customFormat="1" ht="16.5">
      <c r="A48" s="227"/>
      <c r="B48" s="227"/>
      <c r="C48" s="227"/>
      <c r="D48" s="227"/>
      <c r="E48" s="1625"/>
      <c r="F48" s="1625"/>
      <c r="G48" s="1625"/>
      <c r="H48" s="1625"/>
      <c r="I48" s="1625"/>
      <c r="J48" s="1625"/>
      <c r="K48" s="1625"/>
      <c r="L48" s="1625"/>
      <c r="M48" s="227"/>
      <c r="N48" s="227"/>
      <c r="O48" s="227"/>
      <c r="P48" s="227"/>
      <c r="Q48" s="227"/>
      <c r="R48" s="227"/>
      <c r="S48" s="227"/>
      <c r="T48" s="227"/>
      <c r="U48" s="227"/>
    </row>
    <row r="49" spans="1:21" s="211" customFormat="1" ht="16.5">
      <c r="A49" s="227"/>
      <c r="B49" s="227"/>
      <c r="C49" s="227"/>
      <c r="D49" s="227"/>
      <c r="E49" s="1625"/>
      <c r="F49" s="1625"/>
      <c r="G49" s="1625"/>
      <c r="H49" s="1625"/>
      <c r="I49" s="1625"/>
      <c r="J49" s="1625"/>
      <c r="K49" s="1625"/>
      <c r="L49" s="1625"/>
      <c r="M49" s="227"/>
      <c r="N49" s="227"/>
      <c r="O49" s="227"/>
      <c r="P49" s="227"/>
      <c r="Q49" s="227"/>
      <c r="R49" s="227"/>
      <c r="S49" s="227"/>
      <c r="T49" s="227"/>
      <c r="U49" s="227"/>
    </row>
    <row r="50" spans="1:21" s="211" customFormat="1" ht="16.5">
      <c r="A50" s="227"/>
      <c r="B50" s="227"/>
      <c r="C50" s="227"/>
      <c r="D50" s="227"/>
      <c r="E50" s="1625"/>
      <c r="F50" s="1625"/>
      <c r="G50" s="1625"/>
      <c r="H50" s="1625"/>
      <c r="I50" s="1625"/>
      <c r="J50" s="1625"/>
      <c r="K50" s="1625"/>
      <c r="L50" s="1625"/>
      <c r="M50" s="227"/>
      <c r="N50" s="227"/>
      <c r="O50" s="227"/>
      <c r="P50" s="227"/>
      <c r="Q50" s="227"/>
      <c r="R50" s="227"/>
      <c r="S50" s="227"/>
      <c r="T50" s="227"/>
      <c r="U50" s="227"/>
    </row>
    <row r="51" spans="1:21" s="211" customFormat="1" ht="16.5">
      <c r="A51" s="227"/>
      <c r="B51" s="227"/>
      <c r="C51" s="227"/>
      <c r="D51" s="227"/>
      <c r="E51" s="1625"/>
      <c r="F51" s="1625"/>
      <c r="G51" s="1625"/>
      <c r="H51" s="1625"/>
      <c r="I51" s="1625"/>
      <c r="J51" s="1625"/>
      <c r="K51" s="1625"/>
      <c r="L51" s="1625"/>
      <c r="M51" s="227"/>
      <c r="N51" s="227"/>
      <c r="O51" s="227"/>
      <c r="P51" s="227"/>
      <c r="Q51" s="227"/>
      <c r="R51" s="227"/>
      <c r="S51" s="227"/>
      <c r="T51" s="227"/>
      <c r="U51" s="227"/>
    </row>
    <row r="52" spans="1:21" s="211" customFormat="1" ht="16.5">
      <c r="A52" s="227"/>
      <c r="B52" s="227"/>
      <c r="C52" s="227"/>
      <c r="D52" s="227"/>
      <c r="E52" s="1625"/>
      <c r="F52" s="1625"/>
      <c r="G52" s="1625"/>
      <c r="H52" s="1625"/>
      <c r="I52" s="1625"/>
      <c r="J52" s="1625"/>
      <c r="K52" s="1625"/>
      <c r="L52" s="1625"/>
      <c r="M52" s="227"/>
      <c r="N52" s="227"/>
      <c r="O52" s="227"/>
      <c r="P52" s="227"/>
      <c r="Q52" s="227"/>
      <c r="R52" s="227"/>
      <c r="S52" s="227"/>
      <c r="T52" s="227"/>
      <c r="U52" s="227"/>
    </row>
    <row r="53" spans="1:21" s="211" customFormat="1" ht="16.5">
      <c r="A53" s="227"/>
      <c r="B53" s="227"/>
      <c r="C53" s="227"/>
      <c r="D53" s="227"/>
      <c r="E53" s="1625"/>
      <c r="F53" s="1625"/>
      <c r="G53" s="1625"/>
      <c r="H53" s="1625"/>
      <c r="I53" s="1625"/>
      <c r="J53" s="1625"/>
      <c r="K53" s="1625"/>
      <c r="L53" s="1625"/>
      <c r="M53" s="227"/>
      <c r="N53" s="227"/>
      <c r="O53" s="227"/>
      <c r="P53" s="227"/>
      <c r="Q53" s="227"/>
      <c r="R53" s="227"/>
      <c r="S53" s="227"/>
      <c r="T53" s="227"/>
      <c r="U53" s="227"/>
    </row>
    <row r="54" spans="1:21" s="211" customFormat="1" ht="16.5">
      <c r="A54" s="227"/>
      <c r="B54" s="227"/>
      <c r="C54" s="227"/>
      <c r="D54" s="227"/>
      <c r="E54" s="1625"/>
      <c r="F54" s="1625"/>
      <c r="G54" s="1625"/>
      <c r="H54" s="1625"/>
      <c r="I54" s="1625"/>
      <c r="J54" s="1625"/>
      <c r="K54" s="1625"/>
      <c r="L54" s="1625"/>
      <c r="M54" s="227"/>
      <c r="N54" s="227"/>
      <c r="O54" s="227"/>
      <c r="P54" s="227"/>
      <c r="Q54" s="227"/>
      <c r="R54" s="227"/>
      <c r="S54" s="227"/>
      <c r="T54" s="227"/>
      <c r="U54" s="227"/>
    </row>
    <row r="55" spans="1:21" s="211" customFormat="1" ht="16.5">
      <c r="A55" s="227"/>
      <c r="B55" s="227"/>
      <c r="C55" s="227"/>
      <c r="D55" s="227"/>
      <c r="E55" s="1625"/>
      <c r="F55" s="1625"/>
      <c r="G55" s="1625"/>
      <c r="H55" s="1625"/>
      <c r="I55" s="1625"/>
      <c r="J55" s="1625"/>
      <c r="K55" s="1625"/>
      <c r="L55" s="1625"/>
      <c r="M55" s="227"/>
      <c r="N55" s="227"/>
      <c r="O55" s="227"/>
      <c r="P55" s="227"/>
      <c r="Q55" s="227"/>
      <c r="R55" s="227"/>
      <c r="S55" s="227"/>
      <c r="T55" s="227"/>
      <c r="U55" s="227"/>
    </row>
    <row r="56" spans="1:21" s="211" customFormat="1" ht="29.25" customHeight="1">
      <c r="A56" s="227"/>
      <c r="B56" s="227"/>
      <c r="C56" s="227"/>
      <c r="D56" s="227"/>
      <c r="E56" s="210"/>
      <c r="F56" s="623" t="s">
        <v>21</v>
      </c>
      <c r="G56" s="623" t="s">
        <v>23</v>
      </c>
      <c r="H56" s="623" t="s">
        <v>3932</v>
      </c>
      <c r="I56" s="623" t="s">
        <v>159</v>
      </c>
      <c r="J56" s="623" t="s">
        <v>3906</v>
      </c>
      <c r="K56" s="623" t="s">
        <v>4256</v>
      </c>
      <c r="L56" s="201"/>
      <c r="M56" s="227"/>
      <c r="N56" s="227"/>
      <c r="O56" s="227"/>
      <c r="P56" s="227"/>
      <c r="Q56" s="227"/>
      <c r="R56" s="227"/>
      <c r="S56" s="227"/>
      <c r="T56" s="227"/>
      <c r="U56" s="227"/>
    </row>
    <row r="57" spans="1:21" s="211" customFormat="1" ht="16.5">
      <c r="A57" s="227"/>
      <c r="B57" s="651"/>
      <c r="C57" s="227"/>
      <c r="D57" s="227"/>
      <c r="E57" s="210"/>
      <c r="F57" s="646">
        <v>1</v>
      </c>
      <c r="G57" s="652" t="s">
        <v>5752</v>
      </c>
      <c r="H57" s="646"/>
      <c r="I57" s="653"/>
      <c r="J57" s="653"/>
      <c r="K57" s="653"/>
      <c r="L57" s="201"/>
      <c r="M57" s="647"/>
      <c r="N57" s="227"/>
      <c r="O57" s="227"/>
      <c r="P57" s="227"/>
      <c r="Q57" s="227"/>
      <c r="R57" s="227"/>
      <c r="S57" s="227"/>
      <c r="T57" s="227"/>
      <c r="U57" s="227"/>
    </row>
    <row r="58" spans="1:21" s="211" customFormat="1" ht="16.5">
      <c r="A58" s="227"/>
      <c r="B58" s="227"/>
      <c r="C58" s="227"/>
      <c r="D58" s="227"/>
      <c r="E58" s="210"/>
      <c r="F58" s="646"/>
      <c r="G58" s="652" t="s">
        <v>5734</v>
      </c>
      <c r="H58" s="646" t="s">
        <v>3514</v>
      </c>
      <c r="I58" s="653"/>
      <c r="J58" s="653"/>
      <c r="K58" s="653"/>
      <c r="L58" s="201"/>
      <c r="M58" s="647"/>
      <c r="N58" s="227"/>
      <c r="O58" s="227"/>
      <c r="P58" s="227"/>
      <c r="Q58" s="227"/>
      <c r="R58" s="227"/>
      <c r="S58" s="227"/>
      <c r="T58" s="227"/>
      <c r="U58" s="227"/>
    </row>
    <row r="59" spans="1:21" s="211" customFormat="1" ht="16.5">
      <c r="A59" s="227"/>
      <c r="B59" s="227"/>
      <c r="C59" s="227"/>
      <c r="D59" s="227"/>
      <c r="E59" s="210"/>
      <c r="F59" s="646"/>
      <c r="G59" s="652" t="s">
        <v>5736</v>
      </c>
      <c r="H59" s="646"/>
      <c r="I59" s="653">
        <v>8.83</v>
      </c>
      <c r="J59" s="653">
        <v>8.8309999999999995</v>
      </c>
      <c r="K59" s="653">
        <v>9.9999999999944578E-4</v>
      </c>
      <c r="L59" s="201"/>
      <c r="M59" s="647"/>
      <c r="N59" s="227"/>
      <c r="O59" s="227"/>
      <c r="P59" s="227"/>
      <c r="Q59" s="227"/>
      <c r="R59" s="227"/>
      <c r="S59" s="227"/>
      <c r="T59" s="227"/>
      <c r="U59" s="227"/>
    </row>
    <row r="60" spans="1:21" s="211" customFormat="1" ht="16.5">
      <c r="A60" s="227"/>
      <c r="B60" s="227"/>
      <c r="C60" s="227"/>
      <c r="D60" s="227"/>
      <c r="E60" s="210"/>
      <c r="F60" s="646"/>
      <c r="G60" s="652" t="s">
        <v>5737</v>
      </c>
      <c r="H60" s="646"/>
      <c r="I60" s="653">
        <v>8.83</v>
      </c>
      <c r="J60" s="653">
        <v>8.8309999999999995</v>
      </c>
      <c r="K60" s="653">
        <v>9.9999999999944578E-4</v>
      </c>
      <c r="L60" s="201"/>
      <c r="M60" s="647"/>
      <c r="N60" s="227"/>
      <c r="O60" s="227"/>
      <c r="P60" s="227"/>
      <c r="Q60" s="227"/>
      <c r="R60" s="227"/>
      <c r="S60" s="227"/>
      <c r="T60" s="227"/>
      <c r="U60" s="227"/>
    </row>
    <row r="61" spans="1:21" s="211" customFormat="1" ht="16.5">
      <c r="A61" s="227"/>
      <c r="B61" s="227"/>
      <c r="C61" s="227"/>
      <c r="D61" s="227"/>
      <c r="E61" s="210"/>
      <c r="F61" s="646"/>
      <c r="G61" s="652" t="s">
        <v>5738</v>
      </c>
      <c r="H61" s="646" t="s">
        <v>3514</v>
      </c>
      <c r="I61" s="653"/>
      <c r="J61" s="653"/>
      <c r="K61" s="653"/>
      <c r="L61" s="201"/>
      <c r="M61" s="647"/>
      <c r="N61" s="227"/>
      <c r="O61" s="227"/>
      <c r="P61" s="227"/>
      <c r="Q61" s="227"/>
      <c r="R61" s="227"/>
      <c r="S61" s="227"/>
      <c r="T61" s="227"/>
      <c r="U61" s="227"/>
    </row>
    <row r="62" spans="1:21" s="211" customFormat="1" ht="16.5">
      <c r="A62" s="227"/>
      <c r="B62" s="227"/>
      <c r="C62" s="227"/>
      <c r="D62" s="227"/>
      <c r="E62" s="210"/>
      <c r="F62" s="646"/>
      <c r="G62" s="652" t="s">
        <v>5739</v>
      </c>
      <c r="H62" s="646"/>
      <c r="I62" s="653">
        <v>0.7</v>
      </c>
      <c r="J62" s="653">
        <v>0.71</v>
      </c>
      <c r="K62" s="653">
        <v>1.0000000000000009E-2</v>
      </c>
      <c r="L62" s="201"/>
      <c r="M62" s="647"/>
      <c r="N62" s="227"/>
      <c r="O62" s="227"/>
      <c r="P62" s="227"/>
      <c r="Q62" s="227"/>
      <c r="R62" s="227"/>
      <c r="S62" s="227"/>
      <c r="T62" s="227"/>
      <c r="U62" s="227"/>
    </row>
    <row r="63" spans="1:21" s="211" customFormat="1" ht="16.5">
      <c r="A63" s="227"/>
      <c r="B63" s="227"/>
      <c r="C63" s="227"/>
      <c r="D63" s="227"/>
      <c r="E63" s="210"/>
      <c r="F63" s="646"/>
      <c r="G63" s="652" t="s">
        <v>5740</v>
      </c>
      <c r="H63" s="646"/>
      <c r="I63" s="653">
        <v>0.12</v>
      </c>
      <c r="J63" s="653">
        <v>0.12</v>
      </c>
      <c r="K63" s="653">
        <v>0</v>
      </c>
      <c r="L63" s="201"/>
      <c r="M63" s="647"/>
      <c r="N63" s="227"/>
      <c r="O63" s="227"/>
      <c r="P63" s="227"/>
      <c r="Q63" s="227"/>
      <c r="R63" s="227"/>
      <c r="S63" s="227"/>
      <c r="T63" s="227"/>
      <c r="U63" s="227"/>
    </row>
    <row r="64" spans="1:21" s="211" customFormat="1" ht="16.5">
      <c r="A64" s="227"/>
      <c r="B64" s="227"/>
      <c r="C64" s="227"/>
      <c r="D64" s="227"/>
      <c r="E64" s="210"/>
      <c r="F64" s="646"/>
      <c r="G64" s="652" t="s">
        <v>5741</v>
      </c>
      <c r="H64" s="646"/>
      <c r="I64" s="653">
        <v>0.12</v>
      </c>
      <c r="J64" s="653">
        <v>0.12</v>
      </c>
      <c r="K64" s="653">
        <v>0</v>
      </c>
      <c r="L64" s="201"/>
      <c r="M64" s="647"/>
      <c r="N64" s="227"/>
      <c r="O64" s="227"/>
      <c r="P64" s="227"/>
      <c r="Q64" s="227"/>
      <c r="R64" s="227"/>
      <c r="S64" s="227"/>
      <c r="T64" s="227"/>
      <c r="U64" s="227"/>
    </row>
    <row r="65" spans="1:21" s="211" customFormat="1" ht="16.5">
      <c r="A65" s="227"/>
      <c r="B65" s="227"/>
      <c r="C65" s="227"/>
      <c r="D65" s="227"/>
      <c r="E65" s="210"/>
      <c r="F65" s="646">
        <v>2</v>
      </c>
      <c r="G65" s="652" t="s">
        <v>5753</v>
      </c>
      <c r="H65" s="646"/>
      <c r="I65" s="653"/>
      <c r="J65" s="653"/>
      <c r="K65" s="653"/>
      <c r="L65" s="201"/>
      <c r="M65" s="647"/>
      <c r="N65" s="227"/>
      <c r="O65" s="227"/>
      <c r="P65" s="227"/>
      <c r="Q65" s="227"/>
      <c r="R65" s="227"/>
      <c r="S65" s="227"/>
      <c r="T65" s="227"/>
      <c r="U65" s="227"/>
    </row>
    <row r="66" spans="1:21" s="211" customFormat="1" ht="16.5">
      <c r="A66" s="227"/>
      <c r="B66" s="227"/>
      <c r="C66" s="227"/>
      <c r="D66" s="227"/>
      <c r="E66" s="210"/>
      <c r="F66" s="646"/>
      <c r="G66" s="652" t="s">
        <v>5734</v>
      </c>
      <c r="H66" s="646" t="s">
        <v>3514</v>
      </c>
      <c r="I66" s="653"/>
      <c r="J66" s="653"/>
      <c r="K66" s="653"/>
      <c r="L66" s="201"/>
      <c r="M66" s="647"/>
      <c r="N66" s="227"/>
      <c r="O66" s="227"/>
      <c r="P66" s="227"/>
      <c r="Q66" s="227"/>
      <c r="R66" s="227"/>
      <c r="S66" s="227"/>
      <c r="T66" s="227"/>
      <c r="U66" s="227"/>
    </row>
    <row r="67" spans="1:21" s="211" customFormat="1" ht="16.5">
      <c r="A67" s="227"/>
      <c r="B67" s="227"/>
      <c r="C67" s="227"/>
      <c r="D67" s="227"/>
      <c r="E67" s="210"/>
      <c r="F67" s="646"/>
      <c r="G67" s="652" t="s">
        <v>5736</v>
      </c>
      <c r="H67" s="646"/>
      <c r="I67" s="653">
        <v>8.82</v>
      </c>
      <c r="J67" s="653">
        <v>8.8249999999999993</v>
      </c>
      <c r="K67" s="653">
        <v>4.9999999999990052E-3</v>
      </c>
      <c r="L67" s="201"/>
      <c r="M67" s="647"/>
      <c r="N67" s="227"/>
      <c r="O67" s="227"/>
      <c r="P67" s="227"/>
      <c r="Q67" s="227"/>
      <c r="R67" s="227"/>
      <c r="S67" s="227"/>
      <c r="T67" s="227"/>
      <c r="U67" s="227"/>
    </row>
    <row r="68" spans="1:21" s="211" customFormat="1" ht="16.5">
      <c r="A68" s="227"/>
      <c r="B68" s="227"/>
      <c r="C68" s="227"/>
      <c r="D68" s="227"/>
      <c r="E68" s="210"/>
      <c r="F68" s="646"/>
      <c r="G68" s="652" t="s">
        <v>5737</v>
      </c>
      <c r="H68" s="646"/>
      <c r="I68" s="653">
        <v>8.82</v>
      </c>
      <c r="J68" s="653">
        <v>8.8249999999999993</v>
      </c>
      <c r="K68" s="653">
        <v>4.9999999999990052E-3</v>
      </c>
      <c r="L68" s="201"/>
      <c r="M68" s="647"/>
      <c r="N68" s="227"/>
      <c r="O68" s="227"/>
      <c r="P68" s="227"/>
      <c r="Q68" s="227"/>
      <c r="R68" s="227"/>
      <c r="S68" s="227"/>
      <c r="T68" s="227"/>
      <c r="U68" s="227"/>
    </row>
    <row r="69" spans="1:21" s="211" customFormat="1" ht="16.5">
      <c r="A69" s="227"/>
      <c r="B69" s="227"/>
      <c r="C69" s="227"/>
      <c r="D69" s="227"/>
      <c r="E69" s="210"/>
      <c r="F69" s="646"/>
      <c r="G69" s="652" t="s">
        <v>5738</v>
      </c>
      <c r="H69" s="646" t="s">
        <v>3514</v>
      </c>
      <c r="I69" s="653"/>
      <c r="J69" s="653"/>
      <c r="K69" s="653"/>
      <c r="L69" s="201"/>
      <c r="M69" s="647"/>
      <c r="N69" s="227"/>
      <c r="O69" s="227"/>
      <c r="P69" s="227"/>
      <c r="Q69" s="227"/>
      <c r="R69" s="227"/>
      <c r="S69" s="227"/>
      <c r="T69" s="227"/>
      <c r="U69" s="227"/>
    </row>
    <row r="70" spans="1:21" s="211" customFormat="1" ht="16.5">
      <c r="A70" s="227"/>
      <c r="B70" s="227"/>
      <c r="C70" s="227"/>
      <c r="D70" s="227"/>
      <c r="E70" s="210"/>
      <c r="F70" s="646"/>
      <c r="G70" s="652" t="s">
        <v>5739</v>
      </c>
      <c r="H70" s="646"/>
      <c r="I70" s="653">
        <v>0.7</v>
      </c>
      <c r="J70" s="653">
        <v>0.71</v>
      </c>
      <c r="K70" s="653">
        <v>1.0000000000000009E-2</v>
      </c>
      <c r="L70" s="201"/>
      <c r="M70" s="647"/>
      <c r="N70" s="227"/>
      <c r="O70" s="227"/>
      <c r="P70" s="227"/>
      <c r="Q70" s="227"/>
      <c r="R70" s="227"/>
      <c r="S70" s="227"/>
      <c r="T70" s="227"/>
      <c r="U70" s="227"/>
    </row>
    <row r="71" spans="1:21" s="211" customFormat="1" ht="16.5">
      <c r="A71" s="227"/>
      <c r="B71" s="227"/>
      <c r="C71" s="227"/>
      <c r="D71" s="227"/>
      <c r="E71" s="210"/>
      <c r="F71" s="646"/>
      <c r="G71" s="652" t="s">
        <v>5740</v>
      </c>
      <c r="H71" s="646"/>
      <c r="I71" s="653">
        <v>0.12</v>
      </c>
      <c r="J71" s="653">
        <v>0.12</v>
      </c>
      <c r="K71" s="653">
        <v>0</v>
      </c>
      <c r="L71" s="201"/>
      <c r="M71" s="647"/>
      <c r="N71" s="227"/>
      <c r="O71" s="227"/>
      <c r="P71" s="227"/>
      <c r="Q71" s="227"/>
      <c r="R71" s="227"/>
      <c r="S71" s="227"/>
      <c r="T71" s="227"/>
      <c r="U71" s="227"/>
    </row>
    <row r="72" spans="1:21" s="211" customFormat="1" ht="16.5">
      <c r="A72" s="227"/>
      <c r="B72" s="227"/>
      <c r="C72" s="227"/>
      <c r="D72" s="227"/>
      <c r="E72" s="210"/>
      <c r="F72" s="646"/>
      <c r="G72" s="652" t="s">
        <v>5741</v>
      </c>
      <c r="H72" s="646"/>
      <c r="I72" s="653">
        <v>0.12</v>
      </c>
      <c r="J72" s="653">
        <v>0.12</v>
      </c>
      <c r="K72" s="653">
        <v>0</v>
      </c>
      <c r="L72" s="201"/>
      <c r="M72" s="647"/>
      <c r="N72" s="227"/>
      <c r="O72" s="227"/>
      <c r="P72" s="227"/>
      <c r="Q72" s="227"/>
      <c r="R72" s="227"/>
      <c r="S72" s="227"/>
      <c r="T72" s="227"/>
      <c r="U72" s="227"/>
    </row>
    <row r="73" spans="1:21" s="211" customFormat="1" ht="16.5">
      <c r="A73" s="227"/>
      <c r="B73" s="227"/>
      <c r="C73" s="227"/>
      <c r="D73" s="227"/>
      <c r="E73" s="210"/>
      <c r="F73" s="646">
        <v>3</v>
      </c>
      <c r="G73" s="652" t="s">
        <v>5754</v>
      </c>
      <c r="H73" s="646"/>
      <c r="I73" s="653"/>
      <c r="J73" s="653"/>
      <c r="K73" s="653"/>
      <c r="L73" s="201"/>
      <c r="M73" s="647"/>
      <c r="N73" s="227"/>
      <c r="O73" s="227"/>
      <c r="P73" s="227"/>
      <c r="Q73" s="227"/>
      <c r="R73" s="227"/>
      <c r="S73" s="227"/>
      <c r="T73" s="227"/>
      <c r="U73" s="227"/>
    </row>
    <row r="74" spans="1:21" s="211" customFormat="1" ht="16.5">
      <c r="A74" s="227"/>
      <c r="B74" s="227"/>
      <c r="C74" s="227"/>
      <c r="D74" s="227"/>
      <c r="E74" s="210"/>
      <c r="F74" s="646"/>
      <c r="G74" s="652" t="s">
        <v>5734</v>
      </c>
      <c r="H74" s="646" t="s">
        <v>3514</v>
      </c>
      <c r="I74" s="653"/>
      <c r="J74" s="653"/>
      <c r="K74" s="653"/>
      <c r="L74" s="201"/>
      <c r="M74" s="647"/>
      <c r="N74" s="227"/>
      <c r="O74" s="227"/>
      <c r="P74" s="227"/>
      <c r="Q74" s="227"/>
      <c r="R74" s="227"/>
      <c r="S74" s="227"/>
      <c r="T74" s="227"/>
      <c r="U74" s="227"/>
    </row>
    <row r="75" spans="1:21" s="211" customFormat="1" ht="16.5">
      <c r="A75" s="227"/>
      <c r="B75" s="227"/>
      <c r="C75" s="227"/>
      <c r="D75" s="227"/>
      <c r="E75" s="210"/>
      <c r="F75" s="646"/>
      <c r="G75" s="652" t="s">
        <v>5736</v>
      </c>
      <c r="H75" s="646"/>
      <c r="I75" s="653">
        <v>8.8000000000000007</v>
      </c>
      <c r="J75" s="653">
        <v>8.8040000000000003</v>
      </c>
      <c r="K75" s="653">
        <v>3.9999999999995595E-3</v>
      </c>
      <c r="L75" s="201"/>
      <c r="M75" s="647"/>
      <c r="N75" s="227"/>
      <c r="O75" s="227"/>
      <c r="P75" s="227"/>
      <c r="Q75" s="227"/>
      <c r="R75" s="227"/>
      <c r="S75" s="227"/>
      <c r="T75" s="227"/>
      <c r="U75" s="227"/>
    </row>
    <row r="76" spans="1:21" s="211" customFormat="1" ht="16.5">
      <c r="A76" s="227"/>
      <c r="B76" s="227"/>
      <c r="C76" s="227"/>
      <c r="D76" s="227"/>
      <c r="E76" s="210"/>
      <c r="F76" s="646"/>
      <c r="G76" s="652" t="s">
        <v>5737</v>
      </c>
      <c r="H76" s="646"/>
      <c r="I76" s="653">
        <v>8.8000000000000007</v>
      </c>
      <c r="J76" s="653">
        <v>8.8049999999999997</v>
      </c>
      <c r="K76" s="653">
        <v>4.9999999999990052E-3</v>
      </c>
      <c r="L76" s="201"/>
      <c r="M76" s="647"/>
      <c r="N76" s="227"/>
      <c r="O76" s="227"/>
      <c r="P76" s="227"/>
      <c r="Q76" s="227"/>
      <c r="R76" s="227"/>
      <c r="S76" s="227"/>
      <c r="T76" s="227"/>
      <c r="U76" s="227"/>
    </row>
    <row r="77" spans="1:21" s="211" customFormat="1" ht="16.5">
      <c r="A77" s="227"/>
      <c r="B77" s="227"/>
      <c r="C77" s="227"/>
      <c r="D77" s="227"/>
      <c r="E77" s="210"/>
      <c r="F77" s="646"/>
      <c r="G77" s="652" t="s">
        <v>5738</v>
      </c>
      <c r="H77" s="646" t="s">
        <v>3514</v>
      </c>
      <c r="I77" s="653"/>
      <c r="J77" s="653"/>
      <c r="K77" s="653"/>
      <c r="L77" s="201"/>
      <c r="M77" s="647"/>
      <c r="N77" s="227"/>
      <c r="O77" s="227"/>
      <c r="P77" s="227"/>
      <c r="Q77" s="227"/>
      <c r="R77" s="227"/>
      <c r="S77" s="227"/>
      <c r="T77" s="227"/>
      <c r="U77" s="227"/>
    </row>
    <row r="78" spans="1:21" s="211" customFormat="1" ht="16.5">
      <c r="A78" s="227"/>
      <c r="B78" s="227"/>
      <c r="C78" s="227"/>
      <c r="D78" s="227"/>
      <c r="E78" s="210"/>
      <c r="F78" s="646"/>
      <c r="G78" s="652" t="s">
        <v>5739</v>
      </c>
      <c r="H78" s="646"/>
      <c r="I78" s="653">
        <v>0.7</v>
      </c>
      <c r="J78" s="653">
        <v>0.7</v>
      </c>
      <c r="K78" s="653">
        <v>0</v>
      </c>
      <c r="L78" s="201"/>
      <c r="M78" s="647"/>
      <c r="N78" s="227"/>
      <c r="O78" s="227"/>
      <c r="P78" s="227"/>
      <c r="Q78" s="227"/>
      <c r="R78" s="227"/>
      <c r="S78" s="227"/>
      <c r="T78" s="227"/>
      <c r="U78" s="227"/>
    </row>
    <row r="79" spans="1:21" s="211" customFormat="1" ht="16.5">
      <c r="A79" s="227"/>
      <c r="B79" s="227"/>
      <c r="C79" s="227"/>
      <c r="D79" s="227"/>
      <c r="E79" s="210"/>
      <c r="F79" s="646"/>
      <c r="G79" s="652" t="s">
        <v>5740</v>
      </c>
      <c r="H79" s="646"/>
      <c r="I79" s="653">
        <v>0.12</v>
      </c>
      <c r="J79" s="653">
        <v>0.12</v>
      </c>
      <c r="K79" s="653">
        <v>0</v>
      </c>
      <c r="L79" s="201"/>
      <c r="M79" s="647"/>
      <c r="N79" s="227"/>
      <c r="O79" s="227"/>
      <c r="P79" s="227"/>
      <c r="Q79" s="227"/>
      <c r="R79" s="227"/>
      <c r="S79" s="227"/>
      <c r="T79" s="227"/>
      <c r="U79" s="227"/>
    </row>
    <row r="80" spans="1:21" s="211" customFormat="1" ht="16.5">
      <c r="A80" s="227"/>
      <c r="B80" s="227"/>
      <c r="C80" s="227"/>
      <c r="D80" s="227"/>
      <c r="E80" s="210"/>
      <c r="F80" s="646"/>
      <c r="G80" s="652" t="s">
        <v>5741</v>
      </c>
      <c r="H80" s="646"/>
      <c r="I80" s="653">
        <v>0.12</v>
      </c>
      <c r="J80" s="653">
        <v>0.12</v>
      </c>
      <c r="K80" s="653">
        <v>0</v>
      </c>
      <c r="L80" s="201"/>
      <c r="M80" s="647"/>
      <c r="N80" s="227"/>
      <c r="O80" s="227"/>
      <c r="P80" s="227"/>
      <c r="Q80" s="227"/>
      <c r="R80" s="227"/>
      <c r="S80" s="227"/>
      <c r="T80" s="227"/>
      <c r="U80" s="227"/>
    </row>
    <row r="81" spans="1:21" s="211" customFormat="1" ht="16.5">
      <c r="A81" s="227"/>
      <c r="B81" s="227"/>
      <c r="C81" s="227"/>
      <c r="D81" s="227"/>
      <c r="E81" s="210"/>
      <c r="F81" s="646">
        <v>4</v>
      </c>
      <c r="G81" s="652" t="s">
        <v>5755</v>
      </c>
      <c r="H81" s="646"/>
      <c r="I81" s="653"/>
      <c r="J81" s="653"/>
      <c r="K81" s="653"/>
      <c r="L81" s="201"/>
      <c r="M81" s="647"/>
      <c r="N81" s="227"/>
      <c r="O81" s="227"/>
      <c r="P81" s="227"/>
      <c r="Q81" s="227"/>
      <c r="R81" s="227"/>
      <c r="S81" s="227"/>
      <c r="T81" s="227"/>
      <c r="U81" s="227"/>
    </row>
    <row r="82" spans="1:21" s="211" customFormat="1" ht="16.5">
      <c r="A82" s="227"/>
      <c r="B82" s="227"/>
      <c r="C82" s="227"/>
      <c r="D82" s="227"/>
      <c r="E82" s="210"/>
      <c r="F82" s="646"/>
      <c r="G82" s="652" t="s">
        <v>5734</v>
      </c>
      <c r="H82" s="646" t="s">
        <v>3514</v>
      </c>
      <c r="I82" s="653"/>
      <c r="J82" s="653"/>
      <c r="K82" s="653"/>
      <c r="L82" s="201"/>
      <c r="M82" s="647"/>
      <c r="N82" s="227"/>
      <c r="O82" s="227"/>
      <c r="P82" s="227"/>
      <c r="Q82" s="227"/>
      <c r="R82" s="227"/>
      <c r="S82" s="227"/>
      <c r="T82" s="227"/>
      <c r="U82" s="227"/>
    </row>
    <row r="83" spans="1:21" s="211" customFormat="1" ht="16.5">
      <c r="A83" s="227"/>
      <c r="B83" s="227"/>
      <c r="C83" s="227"/>
      <c r="D83" s="227"/>
      <c r="E83" s="210"/>
      <c r="F83" s="646"/>
      <c r="G83" s="652" t="s">
        <v>5736</v>
      </c>
      <c r="H83" s="646"/>
      <c r="I83" s="653">
        <v>8.7900000000000009</v>
      </c>
      <c r="J83" s="653">
        <v>8.7919999999999998</v>
      </c>
      <c r="K83" s="653">
        <v>1.9999999999988916E-3</v>
      </c>
      <c r="L83" s="201"/>
      <c r="M83" s="647"/>
      <c r="N83" s="227"/>
      <c r="O83" s="227"/>
      <c r="P83" s="227"/>
      <c r="Q83" s="227"/>
      <c r="R83" s="227"/>
      <c r="S83" s="227"/>
      <c r="T83" s="227"/>
      <c r="U83" s="227"/>
    </row>
    <row r="84" spans="1:21" s="211" customFormat="1" ht="16.5">
      <c r="A84" s="227"/>
      <c r="B84" s="227"/>
      <c r="C84" s="227"/>
      <c r="D84" s="227"/>
      <c r="E84" s="210"/>
      <c r="F84" s="646"/>
      <c r="G84" s="652" t="s">
        <v>5737</v>
      </c>
      <c r="H84" s="646"/>
      <c r="I84" s="653">
        <v>8.7900000000000009</v>
      </c>
      <c r="J84" s="653">
        <v>8.7940000000000005</v>
      </c>
      <c r="K84" s="653">
        <v>3.9999999999995595E-3</v>
      </c>
      <c r="L84" s="201"/>
      <c r="M84" s="647"/>
      <c r="N84" s="227"/>
      <c r="O84" s="227"/>
      <c r="P84" s="227"/>
      <c r="Q84" s="227"/>
      <c r="R84" s="227"/>
      <c r="S84" s="227"/>
      <c r="T84" s="227"/>
      <c r="U84" s="227"/>
    </row>
    <row r="85" spans="1:21" s="211" customFormat="1" ht="16.5">
      <c r="A85" s="227"/>
      <c r="B85" s="227"/>
      <c r="C85" s="227"/>
      <c r="D85" s="227"/>
      <c r="E85" s="210"/>
      <c r="F85" s="646"/>
      <c r="G85" s="652" t="s">
        <v>5738</v>
      </c>
      <c r="H85" s="646" t="s">
        <v>3514</v>
      </c>
      <c r="I85" s="653"/>
      <c r="J85" s="653"/>
      <c r="K85" s="653"/>
      <c r="L85" s="201"/>
      <c r="M85" s="647"/>
      <c r="N85" s="227"/>
      <c r="O85" s="227"/>
      <c r="P85" s="227"/>
      <c r="Q85" s="227"/>
      <c r="R85" s="227"/>
      <c r="S85" s="227"/>
      <c r="T85" s="227"/>
      <c r="U85" s="227"/>
    </row>
    <row r="86" spans="1:21" s="211" customFormat="1" ht="16.5">
      <c r="A86" s="227"/>
      <c r="B86" s="227"/>
      <c r="C86" s="227"/>
      <c r="D86" s="227"/>
      <c r="E86" s="210"/>
      <c r="F86" s="646"/>
      <c r="G86" s="652" t="s">
        <v>5739</v>
      </c>
      <c r="H86" s="646"/>
      <c r="I86" s="653">
        <v>0.7</v>
      </c>
      <c r="J86" s="653">
        <v>0.7</v>
      </c>
      <c r="K86" s="653">
        <v>0</v>
      </c>
      <c r="L86" s="201"/>
      <c r="M86" s="647"/>
      <c r="N86" s="227"/>
      <c r="O86" s="227"/>
      <c r="P86" s="227"/>
      <c r="Q86" s="227"/>
      <c r="R86" s="227"/>
      <c r="S86" s="227"/>
      <c r="T86" s="227"/>
      <c r="U86" s="227"/>
    </row>
    <row r="87" spans="1:21" s="211" customFormat="1" ht="16.5">
      <c r="A87" s="227"/>
      <c r="B87" s="227"/>
      <c r="C87" s="227"/>
      <c r="D87" s="227"/>
      <c r="E87" s="210"/>
      <c r="F87" s="646"/>
      <c r="G87" s="652" t="s">
        <v>5740</v>
      </c>
      <c r="H87" s="646"/>
      <c r="I87" s="653">
        <v>0.12</v>
      </c>
      <c r="J87" s="653">
        <v>0.12</v>
      </c>
      <c r="K87" s="653">
        <v>0</v>
      </c>
      <c r="L87" s="201"/>
      <c r="M87" s="647"/>
      <c r="N87" s="227"/>
      <c r="O87" s="227"/>
      <c r="P87" s="227"/>
      <c r="Q87" s="227"/>
      <c r="R87" s="227"/>
      <c r="S87" s="227"/>
      <c r="T87" s="227"/>
      <c r="U87" s="227"/>
    </row>
    <row r="88" spans="1:21" s="211" customFormat="1" ht="16.5">
      <c r="A88" s="227"/>
      <c r="B88" s="227"/>
      <c r="C88" s="227"/>
      <c r="D88" s="227"/>
      <c r="E88" s="210"/>
      <c r="F88" s="646"/>
      <c r="G88" s="652" t="s">
        <v>5741</v>
      </c>
      <c r="H88" s="646"/>
      <c r="I88" s="653">
        <v>0.12</v>
      </c>
      <c r="J88" s="653">
        <v>0.12</v>
      </c>
      <c r="K88" s="653">
        <v>0</v>
      </c>
      <c r="L88" s="201"/>
      <c r="M88" s="647"/>
      <c r="N88" s="227"/>
      <c r="O88" s="227"/>
      <c r="P88" s="227"/>
      <c r="Q88" s="227"/>
      <c r="R88" s="227"/>
      <c r="S88" s="227"/>
      <c r="T88" s="227"/>
      <c r="U88" s="227"/>
    </row>
    <row r="89" spans="1:21" s="211" customFormat="1" ht="16.5">
      <c r="A89" s="227"/>
      <c r="B89" s="227"/>
      <c r="C89" s="227"/>
      <c r="D89" s="227"/>
      <c r="E89" s="210"/>
      <c r="F89" s="646">
        <v>5</v>
      </c>
      <c r="G89" s="652" t="s">
        <v>5756</v>
      </c>
      <c r="H89" s="646"/>
      <c r="I89" s="653"/>
      <c r="J89" s="653"/>
      <c r="K89" s="653"/>
      <c r="L89" s="201"/>
      <c r="M89" s="647"/>
      <c r="N89" s="227"/>
      <c r="O89" s="227"/>
      <c r="P89" s="227"/>
      <c r="Q89" s="227"/>
      <c r="R89" s="227"/>
      <c r="S89" s="227"/>
      <c r="T89" s="227"/>
      <c r="U89" s="227"/>
    </row>
    <row r="90" spans="1:21" s="211" customFormat="1" ht="16.5">
      <c r="A90" s="227"/>
      <c r="B90" s="227"/>
      <c r="C90" s="227"/>
      <c r="D90" s="227"/>
      <c r="E90" s="210"/>
      <c r="F90" s="646"/>
      <c r="G90" s="652" t="s">
        <v>5734</v>
      </c>
      <c r="H90" s="646" t="s">
        <v>3514</v>
      </c>
      <c r="I90" s="653"/>
      <c r="J90" s="653"/>
      <c r="K90" s="653"/>
      <c r="L90" s="201"/>
      <c r="M90" s="647"/>
      <c r="N90" s="227"/>
      <c r="O90" s="227"/>
      <c r="P90" s="227"/>
      <c r="Q90" s="227"/>
      <c r="R90" s="227"/>
      <c r="S90" s="227"/>
      <c r="T90" s="227"/>
      <c r="U90" s="227"/>
    </row>
    <row r="91" spans="1:21" s="211" customFormat="1" ht="16.5">
      <c r="A91" s="227"/>
      <c r="B91" s="227"/>
      <c r="C91" s="227"/>
      <c r="D91" s="227"/>
      <c r="E91" s="210"/>
      <c r="F91" s="646"/>
      <c r="G91" s="652" t="s">
        <v>5736</v>
      </c>
      <c r="H91" s="646"/>
      <c r="I91" s="653">
        <v>8.7900000000000009</v>
      </c>
      <c r="J91" s="653">
        <v>8.7940000000000005</v>
      </c>
      <c r="K91" s="653">
        <v>3.9999999999995595E-3</v>
      </c>
      <c r="L91" s="201"/>
      <c r="M91" s="647"/>
      <c r="N91" s="227"/>
      <c r="O91" s="227"/>
      <c r="P91" s="227"/>
      <c r="Q91" s="227"/>
      <c r="R91" s="227"/>
      <c r="S91" s="227"/>
      <c r="T91" s="227"/>
      <c r="U91" s="227"/>
    </row>
    <row r="92" spans="1:21" s="211" customFormat="1" ht="16.5">
      <c r="A92" s="227"/>
      <c r="B92" s="227"/>
      <c r="C92" s="227"/>
      <c r="D92" s="227"/>
      <c r="E92" s="210"/>
      <c r="F92" s="646"/>
      <c r="G92" s="652" t="s">
        <v>5737</v>
      </c>
      <c r="H92" s="646"/>
      <c r="I92" s="653">
        <v>8.7900000000000009</v>
      </c>
      <c r="J92" s="653">
        <v>8.7940000000000005</v>
      </c>
      <c r="K92" s="653">
        <v>3.9999999999995595E-3</v>
      </c>
      <c r="L92" s="201"/>
      <c r="M92" s="647"/>
      <c r="N92" s="227"/>
      <c r="O92" s="227"/>
      <c r="P92" s="227"/>
      <c r="Q92" s="227"/>
      <c r="R92" s="227"/>
      <c r="S92" s="227"/>
      <c r="T92" s="227"/>
      <c r="U92" s="227"/>
    </row>
    <row r="93" spans="1:21" s="211" customFormat="1" ht="16.5">
      <c r="A93" s="227"/>
      <c r="B93" s="227"/>
      <c r="C93" s="227"/>
      <c r="D93" s="227"/>
      <c r="E93" s="210"/>
      <c r="F93" s="646"/>
      <c r="G93" s="652" t="s">
        <v>5738</v>
      </c>
      <c r="H93" s="646" t="s">
        <v>3514</v>
      </c>
      <c r="I93" s="653"/>
      <c r="J93" s="653"/>
      <c r="K93" s="653"/>
      <c r="L93" s="201"/>
      <c r="M93" s="647"/>
      <c r="N93" s="227"/>
      <c r="O93" s="227"/>
      <c r="P93" s="227"/>
      <c r="Q93" s="227"/>
      <c r="R93" s="227"/>
      <c r="S93" s="227"/>
      <c r="T93" s="227"/>
      <c r="U93" s="227"/>
    </row>
    <row r="94" spans="1:21" s="211" customFormat="1" ht="16.5">
      <c r="A94" s="227"/>
      <c r="B94" s="227"/>
      <c r="C94" s="227"/>
      <c r="D94" s="227"/>
      <c r="E94" s="210"/>
      <c r="F94" s="646"/>
      <c r="G94" s="652" t="s">
        <v>5739</v>
      </c>
      <c r="H94" s="646"/>
      <c r="I94" s="653">
        <v>0.7</v>
      </c>
      <c r="J94" s="653">
        <v>0.7</v>
      </c>
      <c r="K94" s="653">
        <v>0</v>
      </c>
      <c r="L94" s="201"/>
      <c r="M94" s="647"/>
      <c r="N94" s="227"/>
      <c r="O94" s="227"/>
      <c r="P94" s="227"/>
      <c r="Q94" s="227"/>
      <c r="R94" s="227"/>
      <c r="S94" s="227"/>
      <c r="T94" s="227"/>
      <c r="U94" s="227"/>
    </row>
    <row r="95" spans="1:21" s="211" customFormat="1" ht="16.5">
      <c r="A95" s="227"/>
      <c r="B95" s="227"/>
      <c r="C95" s="227"/>
      <c r="D95" s="227"/>
      <c r="E95" s="210"/>
      <c r="F95" s="646"/>
      <c r="G95" s="652" t="s">
        <v>5740</v>
      </c>
      <c r="H95" s="646"/>
      <c r="I95" s="653">
        <v>0.12</v>
      </c>
      <c r="J95" s="653">
        <v>0.12</v>
      </c>
      <c r="K95" s="653">
        <v>0</v>
      </c>
      <c r="L95" s="201"/>
      <c r="M95" s="647"/>
      <c r="N95" s="227"/>
      <c r="O95" s="227"/>
      <c r="P95" s="227"/>
      <c r="Q95" s="227"/>
      <c r="R95" s="227"/>
      <c r="S95" s="227"/>
      <c r="T95" s="227"/>
      <c r="U95" s="227"/>
    </row>
    <row r="96" spans="1:21" s="211" customFormat="1" ht="16.5">
      <c r="A96" s="227"/>
      <c r="B96" s="227"/>
      <c r="C96" s="227"/>
      <c r="D96" s="227"/>
      <c r="E96" s="210"/>
      <c r="F96" s="646"/>
      <c r="G96" s="652" t="s">
        <v>5741</v>
      </c>
      <c r="H96" s="646"/>
      <c r="I96" s="653">
        <v>0.12</v>
      </c>
      <c r="J96" s="653">
        <v>0.12</v>
      </c>
      <c r="K96" s="653">
        <v>0</v>
      </c>
      <c r="L96" s="201"/>
      <c r="M96" s="647"/>
      <c r="N96" s="227"/>
      <c r="O96" s="227"/>
      <c r="P96" s="227"/>
      <c r="Q96" s="227"/>
      <c r="R96" s="227"/>
      <c r="S96" s="227"/>
      <c r="T96" s="227"/>
      <c r="U96" s="227"/>
    </row>
    <row r="97" spans="1:21" s="211" customFormat="1" ht="16.5">
      <c r="A97" s="227"/>
      <c r="B97" s="227"/>
      <c r="C97" s="227"/>
      <c r="D97" s="227"/>
      <c r="E97" s="210"/>
      <c r="F97" s="646">
        <v>6</v>
      </c>
      <c r="G97" s="652" t="s">
        <v>5757</v>
      </c>
      <c r="H97" s="646"/>
      <c r="I97" s="653"/>
      <c r="J97" s="653"/>
      <c r="K97" s="653"/>
      <c r="L97" s="201"/>
      <c r="M97" s="647"/>
      <c r="N97" s="227"/>
      <c r="O97" s="227"/>
      <c r="P97" s="227"/>
      <c r="Q97" s="227"/>
      <c r="R97" s="227"/>
      <c r="S97" s="227"/>
      <c r="T97" s="227"/>
      <c r="U97" s="227"/>
    </row>
    <row r="98" spans="1:21" s="211" customFormat="1" ht="16.5">
      <c r="A98" s="227"/>
      <c r="B98" s="227"/>
      <c r="C98" s="227"/>
      <c r="D98" s="227"/>
      <c r="E98" s="210"/>
      <c r="F98" s="646"/>
      <c r="G98" s="652" t="s">
        <v>5734</v>
      </c>
      <c r="H98" s="646" t="s">
        <v>3514</v>
      </c>
      <c r="I98" s="653"/>
      <c r="J98" s="653"/>
      <c r="K98" s="653"/>
      <c r="L98" s="201"/>
      <c r="M98" s="647"/>
      <c r="N98" s="227"/>
      <c r="O98" s="227"/>
      <c r="P98" s="227"/>
      <c r="Q98" s="227"/>
      <c r="R98" s="227"/>
      <c r="S98" s="227"/>
      <c r="T98" s="227"/>
      <c r="U98" s="227"/>
    </row>
    <row r="99" spans="1:21" s="211" customFormat="1" ht="16.5">
      <c r="A99" s="227"/>
      <c r="B99" s="227"/>
      <c r="C99" s="227"/>
      <c r="D99" s="227"/>
      <c r="E99" s="210"/>
      <c r="F99" s="646"/>
      <c r="G99" s="652" t="s">
        <v>5736</v>
      </c>
      <c r="H99" s="646"/>
      <c r="I99" s="653">
        <v>8.7800000000000011</v>
      </c>
      <c r="J99" s="653">
        <v>8.7840000000000007</v>
      </c>
      <c r="K99" s="653">
        <v>3.9999999999995595E-3</v>
      </c>
      <c r="L99" s="201"/>
      <c r="M99" s="647"/>
      <c r="N99" s="227"/>
      <c r="O99" s="227"/>
      <c r="P99" s="227"/>
      <c r="Q99" s="227"/>
      <c r="R99" s="227"/>
      <c r="S99" s="227"/>
      <c r="T99" s="227"/>
      <c r="U99" s="227"/>
    </row>
    <row r="100" spans="1:21" s="211" customFormat="1" ht="16.5">
      <c r="A100" s="227"/>
      <c r="B100" s="227"/>
      <c r="C100" s="227"/>
      <c r="D100" s="227"/>
      <c r="E100" s="210"/>
      <c r="F100" s="646"/>
      <c r="G100" s="652" t="s">
        <v>5737</v>
      </c>
      <c r="H100" s="646"/>
      <c r="I100" s="653">
        <v>8.7800000000000011</v>
      </c>
      <c r="J100" s="653">
        <v>8.7840000000000007</v>
      </c>
      <c r="K100" s="653">
        <v>3.9999999999995595E-3</v>
      </c>
      <c r="L100" s="201"/>
      <c r="M100" s="647"/>
      <c r="N100" s="227"/>
      <c r="O100" s="227"/>
      <c r="P100" s="227"/>
      <c r="Q100" s="227"/>
      <c r="R100" s="227"/>
      <c r="S100" s="227"/>
      <c r="T100" s="227"/>
      <c r="U100" s="227"/>
    </row>
    <row r="101" spans="1:21" s="211" customFormat="1" ht="16.5">
      <c r="A101" s="227"/>
      <c r="B101" s="227"/>
      <c r="C101" s="227"/>
      <c r="D101" s="227"/>
      <c r="E101" s="210"/>
      <c r="F101" s="646"/>
      <c r="G101" s="652" t="s">
        <v>5738</v>
      </c>
      <c r="H101" s="646" t="s">
        <v>3514</v>
      </c>
      <c r="I101" s="653"/>
      <c r="J101" s="653"/>
      <c r="K101" s="653"/>
      <c r="L101" s="201"/>
      <c r="M101" s="647"/>
      <c r="N101" s="227"/>
      <c r="O101" s="227"/>
      <c r="P101" s="227"/>
      <c r="Q101" s="227"/>
      <c r="R101" s="227"/>
      <c r="S101" s="227"/>
      <c r="T101" s="227"/>
      <c r="U101" s="227"/>
    </row>
    <row r="102" spans="1:21" s="211" customFormat="1" ht="16.5">
      <c r="A102" s="227"/>
      <c r="B102" s="227"/>
      <c r="C102" s="227"/>
      <c r="D102" s="227"/>
      <c r="E102" s="210"/>
      <c r="F102" s="646"/>
      <c r="G102" s="652" t="s">
        <v>5739</v>
      </c>
      <c r="H102" s="646"/>
      <c r="I102" s="653">
        <v>0.7</v>
      </c>
      <c r="J102" s="653">
        <v>0.7</v>
      </c>
      <c r="K102" s="653">
        <v>0</v>
      </c>
      <c r="L102" s="201"/>
      <c r="M102" s="647"/>
      <c r="N102" s="227"/>
      <c r="O102" s="227"/>
      <c r="P102" s="227"/>
      <c r="Q102" s="227"/>
      <c r="R102" s="227"/>
      <c r="S102" s="227"/>
      <c r="T102" s="227"/>
      <c r="U102" s="227"/>
    </row>
    <row r="103" spans="1:21" s="211" customFormat="1" ht="16.5">
      <c r="A103" s="227"/>
      <c r="B103" s="227"/>
      <c r="C103" s="227"/>
      <c r="D103" s="227"/>
      <c r="E103" s="210"/>
      <c r="F103" s="646"/>
      <c r="G103" s="652" t="s">
        <v>5740</v>
      </c>
      <c r="H103" s="646"/>
      <c r="I103" s="653">
        <v>0.12</v>
      </c>
      <c r="J103" s="653">
        <v>0.12</v>
      </c>
      <c r="K103" s="653">
        <v>0</v>
      </c>
      <c r="L103" s="201"/>
      <c r="M103" s="647"/>
      <c r="N103" s="227"/>
      <c r="O103" s="227"/>
      <c r="P103" s="227"/>
      <c r="Q103" s="227"/>
      <c r="R103" s="227"/>
      <c r="S103" s="227"/>
      <c r="T103" s="227"/>
      <c r="U103" s="227"/>
    </row>
    <row r="104" spans="1:21" s="211" customFormat="1" ht="16.5">
      <c r="A104" s="227"/>
      <c r="B104" s="227"/>
      <c r="C104" s="227"/>
      <c r="D104" s="227"/>
      <c r="E104" s="210"/>
      <c r="F104" s="646"/>
      <c r="G104" s="652" t="s">
        <v>5741</v>
      </c>
      <c r="H104" s="646"/>
      <c r="I104" s="653">
        <v>0.12</v>
      </c>
      <c r="J104" s="653">
        <v>0.13</v>
      </c>
      <c r="K104" s="653">
        <v>1.0000000000000009E-2</v>
      </c>
      <c r="L104" s="201"/>
      <c r="M104" s="647"/>
      <c r="N104" s="227"/>
      <c r="O104" s="227"/>
      <c r="P104" s="227"/>
      <c r="Q104" s="227"/>
      <c r="R104" s="227"/>
      <c r="S104" s="227"/>
      <c r="T104" s="227"/>
      <c r="U104" s="227"/>
    </row>
    <row r="105" spans="1:21" s="211" customFormat="1" ht="16.5" hidden="1">
      <c r="A105" s="227"/>
      <c r="B105" s="227"/>
      <c r="C105" s="227"/>
      <c r="D105" s="227"/>
      <c r="E105" s="210"/>
      <c r="F105" s="646"/>
      <c r="G105" s="652"/>
      <c r="H105" s="646"/>
      <c r="I105" s="653"/>
      <c r="J105" s="653"/>
      <c r="K105" s="653"/>
      <c r="L105" s="201"/>
      <c r="M105" s="647"/>
      <c r="N105" s="227"/>
      <c r="O105" s="227"/>
      <c r="P105" s="227"/>
      <c r="Q105" s="227"/>
      <c r="R105" s="227"/>
      <c r="S105" s="227"/>
      <c r="T105" s="227"/>
      <c r="U105" s="227"/>
    </row>
    <row r="106" spans="1:21" s="211" customFormat="1" ht="16.5" hidden="1">
      <c r="A106" s="227"/>
      <c r="B106" s="227"/>
      <c r="C106" s="227"/>
      <c r="D106" s="227"/>
      <c r="E106" s="210"/>
      <c r="F106" s="646"/>
      <c r="G106" s="652"/>
      <c r="H106" s="646"/>
      <c r="I106" s="653"/>
      <c r="J106" s="653"/>
      <c r="K106" s="653"/>
      <c r="L106" s="201"/>
      <c r="M106" s="647"/>
      <c r="N106" s="227"/>
      <c r="O106" s="227"/>
      <c r="P106" s="227"/>
      <c r="Q106" s="227"/>
      <c r="R106" s="227"/>
      <c r="S106" s="227"/>
      <c r="T106" s="227"/>
      <c r="U106" s="227"/>
    </row>
    <row r="107" spans="1:21" s="211" customFormat="1" ht="16.5" hidden="1">
      <c r="A107" s="227"/>
      <c r="B107" s="227"/>
      <c r="C107" s="227"/>
      <c r="D107" s="227"/>
      <c r="E107" s="210"/>
      <c r="F107" s="646"/>
      <c r="G107" s="652"/>
      <c r="H107" s="646"/>
      <c r="I107" s="653"/>
      <c r="J107" s="653"/>
      <c r="K107" s="653"/>
      <c r="L107" s="201"/>
      <c r="M107" s="647"/>
      <c r="N107" s="227"/>
      <c r="O107" s="227"/>
      <c r="P107" s="227"/>
      <c r="Q107" s="227"/>
      <c r="R107" s="227"/>
      <c r="S107" s="227"/>
      <c r="T107" s="227"/>
      <c r="U107" s="227"/>
    </row>
    <row r="108" spans="1:21" s="211" customFormat="1" ht="16.5" hidden="1">
      <c r="A108" s="227"/>
      <c r="B108" s="227"/>
      <c r="C108" s="227"/>
      <c r="D108" s="227"/>
      <c r="E108" s="210"/>
      <c r="F108" s="646"/>
      <c r="G108" s="652"/>
      <c r="H108" s="646"/>
      <c r="I108" s="653"/>
      <c r="J108" s="653"/>
      <c r="K108" s="653"/>
      <c r="L108" s="201"/>
      <c r="M108" s="647"/>
      <c r="N108" s="227"/>
      <c r="O108" s="227"/>
      <c r="P108" s="227"/>
      <c r="Q108" s="227"/>
      <c r="R108" s="227"/>
      <c r="S108" s="227"/>
      <c r="T108" s="227"/>
      <c r="U108" s="227"/>
    </row>
    <row r="109" spans="1:21" s="211" customFormat="1" ht="16.5" hidden="1">
      <c r="A109" s="227"/>
      <c r="B109" s="227"/>
      <c r="C109" s="227"/>
      <c r="D109" s="227"/>
      <c r="E109" s="210"/>
      <c r="F109" s="646"/>
      <c r="G109" s="652"/>
      <c r="H109" s="646"/>
      <c r="I109" s="653"/>
      <c r="J109" s="653"/>
      <c r="K109" s="653"/>
      <c r="L109" s="201"/>
      <c r="M109" s="647"/>
      <c r="N109" s="227"/>
      <c r="O109" s="227"/>
      <c r="P109" s="227"/>
      <c r="Q109" s="227"/>
      <c r="R109" s="227"/>
      <c r="S109" s="227"/>
      <c r="T109" s="227"/>
      <c r="U109" s="227"/>
    </row>
    <row r="110" spans="1:21" s="211" customFormat="1" ht="16.5" hidden="1">
      <c r="A110" s="227"/>
      <c r="B110" s="227"/>
      <c r="C110" s="227"/>
      <c r="D110" s="227"/>
      <c r="E110" s="210"/>
      <c r="F110" s="646"/>
      <c r="G110" s="652"/>
      <c r="H110" s="646"/>
      <c r="I110" s="653"/>
      <c r="J110" s="653"/>
      <c r="K110" s="653"/>
      <c r="L110" s="201"/>
      <c r="M110" s="647"/>
      <c r="N110" s="227"/>
      <c r="O110" s="227"/>
      <c r="P110" s="227"/>
      <c r="Q110" s="227"/>
      <c r="R110" s="227"/>
      <c r="S110" s="227"/>
      <c r="T110" s="227"/>
      <c r="U110" s="227"/>
    </row>
    <row r="111" spans="1:21" s="211" customFormat="1" ht="16.5" hidden="1">
      <c r="A111" s="227"/>
      <c r="B111" s="227"/>
      <c r="C111" s="227"/>
      <c r="D111" s="227"/>
      <c r="E111" s="210"/>
      <c r="F111" s="646"/>
      <c r="G111" s="652"/>
      <c r="H111" s="646"/>
      <c r="I111" s="653"/>
      <c r="J111" s="653"/>
      <c r="K111" s="653"/>
      <c r="L111" s="201"/>
      <c r="M111" s="647"/>
      <c r="N111" s="227"/>
      <c r="O111" s="227"/>
      <c r="P111" s="227"/>
      <c r="Q111" s="227"/>
      <c r="R111" s="227"/>
      <c r="S111" s="227"/>
      <c r="T111" s="227"/>
      <c r="U111" s="227"/>
    </row>
    <row r="112" spans="1:21" s="211" customFormat="1" ht="16.5" hidden="1">
      <c r="A112" s="227"/>
      <c r="B112" s="227"/>
      <c r="C112" s="227"/>
      <c r="D112" s="227"/>
      <c r="E112" s="210"/>
      <c r="F112" s="646"/>
      <c r="G112" s="652"/>
      <c r="H112" s="646"/>
      <c r="I112" s="653"/>
      <c r="J112" s="653"/>
      <c r="K112" s="653"/>
      <c r="L112" s="201"/>
      <c r="M112" s="647"/>
      <c r="N112" s="227"/>
      <c r="O112" s="227"/>
      <c r="P112" s="227"/>
      <c r="Q112" s="227"/>
      <c r="R112" s="227"/>
      <c r="S112" s="227"/>
      <c r="T112" s="227"/>
      <c r="U112" s="227"/>
    </row>
    <row r="113" spans="1:21" s="211" customFormat="1" ht="16.5" hidden="1">
      <c r="A113" s="227"/>
      <c r="B113" s="227"/>
      <c r="C113" s="227"/>
      <c r="D113" s="227"/>
      <c r="E113" s="210"/>
      <c r="F113" s="646"/>
      <c r="G113" s="652"/>
      <c r="H113" s="646"/>
      <c r="I113" s="653"/>
      <c r="J113" s="653"/>
      <c r="K113" s="653"/>
      <c r="L113" s="201"/>
      <c r="M113" s="647"/>
      <c r="N113" s="227"/>
      <c r="O113" s="227"/>
      <c r="P113" s="227"/>
      <c r="Q113" s="227"/>
      <c r="R113" s="227"/>
      <c r="S113" s="227"/>
      <c r="T113" s="227"/>
      <c r="U113" s="227"/>
    </row>
    <row r="114" spans="1:21" s="211" customFormat="1" ht="16.5" hidden="1">
      <c r="A114" s="227"/>
      <c r="B114" s="227"/>
      <c r="C114" s="227"/>
      <c r="D114" s="227"/>
      <c r="E114" s="210"/>
      <c r="F114" s="646"/>
      <c r="G114" s="652"/>
      <c r="H114" s="646"/>
      <c r="I114" s="653"/>
      <c r="J114" s="653"/>
      <c r="K114" s="653"/>
      <c r="L114" s="201"/>
      <c r="M114" s="647"/>
      <c r="N114" s="227"/>
      <c r="O114" s="227"/>
      <c r="P114" s="227"/>
      <c r="Q114" s="227"/>
      <c r="R114" s="227"/>
      <c r="S114" s="227"/>
      <c r="T114" s="227"/>
      <c r="U114" s="227"/>
    </row>
    <row r="115" spans="1:21" s="211" customFormat="1" ht="16.5" hidden="1">
      <c r="A115" s="227"/>
      <c r="B115" s="227"/>
      <c r="C115" s="227"/>
      <c r="D115" s="227"/>
      <c r="E115" s="210"/>
      <c r="F115" s="646"/>
      <c r="G115" s="652"/>
      <c r="H115" s="646"/>
      <c r="I115" s="653"/>
      <c r="J115" s="653"/>
      <c r="K115" s="653"/>
      <c r="L115" s="201"/>
      <c r="M115" s="647"/>
      <c r="N115" s="227"/>
      <c r="O115" s="227"/>
      <c r="P115" s="227"/>
      <c r="Q115" s="227"/>
      <c r="R115" s="227"/>
      <c r="S115" s="227"/>
      <c r="T115" s="227"/>
      <c r="U115" s="227"/>
    </row>
    <row r="116" spans="1:21" s="211" customFormat="1" ht="16.5" hidden="1">
      <c r="A116" s="227"/>
      <c r="B116" s="227"/>
      <c r="C116" s="227"/>
      <c r="D116" s="227"/>
      <c r="E116" s="210"/>
      <c r="F116" s="646"/>
      <c r="G116" s="652"/>
      <c r="H116" s="646"/>
      <c r="I116" s="653"/>
      <c r="J116" s="653"/>
      <c r="K116" s="653"/>
      <c r="L116" s="201"/>
      <c r="M116" s="647"/>
      <c r="N116" s="227"/>
      <c r="O116" s="227"/>
      <c r="P116" s="227"/>
      <c r="Q116" s="227"/>
      <c r="R116" s="227"/>
      <c r="S116" s="227"/>
      <c r="T116" s="227"/>
      <c r="U116" s="227"/>
    </row>
    <row r="117" spans="1:21" s="211" customFormat="1" ht="16.5" hidden="1">
      <c r="A117" s="227"/>
      <c r="B117" s="227"/>
      <c r="C117" s="227"/>
      <c r="D117" s="227"/>
      <c r="E117" s="210"/>
      <c r="F117" s="646"/>
      <c r="G117" s="652"/>
      <c r="H117" s="646"/>
      <c r="I117" s="653"/>
      <c r="J117" s="653"/>
      <c r="K117" s="653"/>
      <c r="L117" s="201"/>
      <c r="M117" s="647"/>
      <c r="N117" s="227"/>
      <c r="O117" s="227"/>
      <c r="P117" s="227"/>
      <c r="Q117" s="227"/>
      <c r="R117" s="227"/>
      <c r="S117" s="227"/>
      <c r="T117" s="227"/>
      <c r="U117" s="227"/>
    </row>
    <row r="118" spans="1:21" s="211" customFormat="1" ht="16.5" hidden="1">
      <c r="A118" s="227"/>
      <c r="B118" s="227"/>
      <c r="C118" s="227"/>
      <c r="D118" s="227"/>
      <c r="E118" s="210"/>
      <c r="F118" s="646"/>
      <c r="G118" s="652"/>
      <c r="H118" s="646"/>
      <c r="I118" s="653"/>
      <c r="J118" s="653"/>
      <c r="K118" s="653"/>
      <c r="L118" s="201"/>
      <c r="M118" s="647"/>
      <c r="N118" s="227"/>
      <c r="O118" s="227"/>
      <c r="P118" s="227"/>
      <c r="Q118" s="227"/>
      <c r="R118" s="227"/>
      <c r="S118" s="227"/>
      <c r="T118" s="227"/>
      <c r="U118" s="227"/>
    </row>
    <row r="119" spans="1:21" s="211" customFormat="1" ht="16.5" hidden="1">
      <c r="A119" s="227"/>
      <c r="B119" s="227"/>
      <c r="C119" s="227"/>
      <c r="D119" s="227"/>
      <c r="E119" s="210"/>
      <c r="F119" s="646"/>
      <c r="G119" s="652"/>
      <c r="H119" s="646"/>
      <c r="I119" s="653"/>
      <c r="J119" s="653"/>
      <c r="K119" s="653"/>
      <c r="L119" s="201"/>
      <c r="M119" s="647"/>
      <c r="N119" s="227"/>
      <c r="O119" s="227"/>
      <c r="P119" s="227"/>
      <c r="Q119" s="227"/>
      <c r="R119" s="227"/>
      <c r="S119" s="227"/>
      <c r="T119" s="227"/>
      <c r="U119" s="227"/>
    </row>
    <row r="120" spans="1:21" s="211" customFormat="1" ht="16.5" hidden="1">
      <c r="A120" s="227"/>
      <c r="B120" s="227"/>
      <c r="C120" s="227"/>
      <c r="D120" s="227"/>
      <c r="E120" s="210"/>
      <c r="F120" s="646"/>
      <c r="G120" s="652"/>
      <c r="H120" s="646"/>
      <c r="I120" s="653"/>
      <c r="J120" s="653"/>
      <c r="K120" s="653"/>
      <c r="L120" s="201"/>
      <c r="M120" s="647"/>
      <c r="N120" s="227"/>
      <c r="O120" s="227"/>
      <c r="P120" s="227"/>
      <c r="Q120" s="227"/>
      <c r="R120" s="227"/>
      <c r="S120" s="227"/>
      <c r="T120" s="227"/>
      <c r="U120" s="227"/>
    </row>
    <row r="121" spans="1:21" s="211" customFormat="1" ht="16.5" hidden="1">
      <c r="A121" s="227"/>
      <c r="B121" s="227"/>
      <c r="C121" s="227"/>
      <c r="D121" s="227"/>
      <c r="E121" s="210"/>
      <c r="F121" s="646"/>
      <c r="G121" s="652"/>
      <c r="H121" s="646"/>
      <c r="I121" s="653"/>
      <c r="J121" s="653"/>
      <c r="K121" s="653"/>
      <c r="L121" s="201"/>
      <c r="M121" s="647"/>
      <c r="N121" s="227"/>
      <c r="O121" s="227"/>
      <c r="P121" s="227"/>
      <c r="Q121" s="227"/>
      <c r="R121" s="227"/>
      <c r="S121" s="227"/>
      <c r="T121" s="227"/>
      <c r="U121" s="227"/>
    </row>
    <row r="122" spans="1:21" s="211" customFormat="1" ht="16.5" hidden="1">
      <c r="A122" s="227"/>
      <c r="B122" s="227"/>
      <c r="C122" s="227"/>
      <c r="D122" s="227"/>
      <c r="E122" s="210"/>
      <c r="F122" s="646"/>
      <c r="G122" s="652"/>
      <c r="H122" s="646"/>
      <c r="I122" s="653"/>
      <c r="J122" s="653"/>
      <c r="K122" s="653"/>
      <c r="L122" s="201"/>
      <c r="M122" s="647"/>
      <c r="N122" s="227"/>
      <c r="O122" s="227"/>
      <c r="P122" s="227"/>
      <c r="Q122" s="227"/>
      <c r="R122" s="227"/>
      <c r="S122" s="227"/>
      <c r="T122" s="227"/>
      <c r="U122" s="227"/>
    </row>
    <row r="123" spans="1:21" s="211" customFormat="1" ht="16.5" hidden="1">
      <c r="A123" s="227"/>
      <c r="B123" s="227"/>
      <c r="C123" s="227"/>
      <c r="D123" s="227"/>
      <c r="E123" s="210"/>
      <c r="F123" s="646"/>
      <c r="G123" s="652"/>
      <c r="H123" s="646"/>
      <c r="I123" s="653"/>
      <c r="J123" s="653"/>
      <c r="K123" s="653"/>
      <c r="L123" s="201"/>
      <c r="M123" s="647"/>
      <c r="N123" s="227"/>
      <c r="O123" s="227"/>
      <c r="P123" s="227"/>
      <c r="Q123" s="227"/>
      <c r="R123" s="227"/>
      <c r="S123" s="227"/>
      <c r="T123" s="227"/>
      <c r="U123" s="227"/>
    </row>
    <row r="124" spans="1:21" s="211" customFormat="1" ht="16.5" hidden="1">
      <c r="A124" s="227"/>
      <c r="B124" s="227"/>
      <c r="C124" s="227"/>
      <c r="D124" s="227"/>
      <c r="E124" s="210"/>
      <c r="F124" s="646"/>
      <c r="G124" s="652"/>
      <c r="H124" s="646"/>
      <c r="I124" s="653"/>
      <c r="J124" s="653"/>
      <c r="K124" s="653"/>
      <c r="L124" s="201"/>
      <c r="M124" s="647"/>
      <c r="N124" s="227"/>
      <c r="O124" s="227"/>
      <c r="P124" s="227"/>
      <c r="Q124" s="227"/>
      <c r="R124" s="227"/>
      <c r="S124" s="227"/>
      <c r="T124" s="227"/>
      <c r="U124" s="227"/>
    </row>
    <row r="125" spans="1:21" s="211" customFormat="1" ht="16.5" hidden="1">
      <c r="A125" s="227"/>
      <c r="B125" s="227"/>
      <c r="C125" s="227"/>
      <c r="D125" s="227"/>
      <c r="E125" s="210"/>
      <c r="F125" s="646"/>
      <c r="G125" s="652"/>
      <c r="H125" s="646"/>
      <c r="I125" s="653"/>
      <c r="J125" s="653"/>
      <c r="K125" s="653"/>
      <c r="L125" s="201"/>
      <c r="M125" s="647"/>
      <c r="N125" s="227"/>
      <c r="O125" s="227"/>
      <c r="P125" s="227"/>
      <c r="Q125" s="227"/>
      <c r="R125" s="227"/>
      <c r="S125" s="227"/>
      <c r="T125" s="227"/>
      <c r="U125" s="227"/>
    </row>
    <row r="126" spans="1:21" s="211" customFormat="1" ht="16.5" hidden="1">
      <c r="A126" s="227"/>
      <c r="B126" s="227"/>
      <c r="C126" s="227"/>
      <c r="D126" s="227"/>
      <c r="E126" s="210"/>
      <c r="F126" s="646"/>
      <c r="G126" s="652"/>
      <c r="H126" s="646"/>
      <c r="I126" s="653"/>
      <c r="J126" s="653"/>
      <c r="K126" s="653"/>
      <c r="L126" s="201"/>
      <c r="M126" s="647"/>
      <c r="N126" s="227"/>
      <c r="O126" s="227"/>
      <c r="P126" s="227"/>
      <c r="Q126" s="227"/>
      <c r="R126" s="227"/>
      <c r="S126" s="227"/>
      <c r="T126" s="227"/>
      <c r="U126" s="227"/>
    </row>
    <row r="127" spans="1:21" s="211" customFormat="1" ht="16.5" hidden="1">
      <c r="A127" s="227"/>
      <c r="B127" s="227"/>
      <c r="C127" s="227"/>
      <c r="D127" s="227"/>
      <c r="E127" s="210"/>
      <c r="F127" s="646"/>
      <c r="G127" s="652"/>
      <c r="H127" s="646"/>
      <c r="I127" s="653"/>
      <c r="J127" s="653"/>
      <c r="K127" s="653"/>
      <c r="L127" s="201"/>
      <c r="M127" s="647"/>
      <c r="N127" s="227"/>
      <c r="O127" s="227"/>
      <c r="P127" s="227"/>
      <c r="Q127" s="227"/>
      <c r="R127" s="227"/>
      <c r="S127" s="227"/>
      <c r="T127" s="227"/>
      <c r="U127" s="227"/>
    </row>
    <row r="128" spans="1:21" s="211" customFormat="1" ht="16.5" hidden="1">
      <c r="A128" s="227"/>
      <c r="B128" s="227"/>
      <c r="C128" s="227"/>
      <c r="D128" s="227"/>
      <c r="E128" s="210"/>
      <c r="F128" s="646"/>
      <c r="G128" s="652"/>
      <c r="H128" s="646"/>
      <c r="I128" s="653"/>
      <c r="J128" s="653"/>
      <c r="K128" s="653"/>
      <c r="L128" s="201"/>
      <c r="M128" s="647"/>
      <c r="N128" s="227"/>
      <c r="O128" s="227"/>
      <c r="P128" s="227"/>
      <c r="Q128" s="227"/>
      <c r="R128" s="227"/>
      <c r="S128" s="227"/>
      <c r="T128" s="227"/>
      <c r="U128" s="227"/>
    </row>
    <row r="129" spans="1:21" s="211" customFormat="1" ht="16.5" hidden="1">
      <c r="A129" s="227"/>
      <c r="B129" s="227"/>
      <c r="C129" s="227"/>
      <c r="D129" s="227"/>
      <c r="E129" s="210"/>
      <c r="F129" s="646"/>
      <c r="G129" s="652"/>
      <c r="H129" s="646"/>
      <c r="I129" s="653"/>
      <c r="J129" s="653"/>
      <c r="K129" s="653"/>
      <c r="L129" s="201"/>
      <c r="M129" s="647"/>
      <c r="N129" s="227"/>
      <c r="O129" s="227"/>
      <c r="P129" s="227"/>
      <c r="Q129" s="227"/>
      <c r="R129" s="227"/>
      <c r="S129" s="227"/>
      <c r="T129" s="227"/>
      <c r="U129" s="227"/>
    </row>
    <row r="130" spans="1:21" s="211" customFormat="1" ht="16.5" hidden="1">
      <c r="A130" s="227"/>
      <c r="B130" s="227"/>
      <c r="C130" s="227"/>
      <c r="D130" s="227"/>
      <c r="E130" s="210"/>
      <c r="F130" s="646"/>
      <c r="G130" s="652"/>
      <c r="H130" s="646"/>
      <c r="I130" s="653"/>
      <c r="J130" s="653"/>
      <c r="K130" s="653"/>
      <c r="L130" s="201"/>
      <c r="M130" s="647"/>
      <c r="N130" s="227"/>
      <c r="O130" s="227"/>
      <c r="P130" s="227"/>
      <c r="Q130" s="227"/>
      <c r="R130" s="227"/>
      <c r="S130" s="227"/>
      <c r="T130" s="227"/>
      <c r="U130" s="227"/>
    </row>
    <row r="131" spans="1:21" s="211" customFormat="1" ht="16.5" hidden="1">
      <c r="A131" s="227"/>
      <c r="B131" s="227"/>
      <c r="C131" s="227"/>
      <c r="D131" s="227"/>
      <c r="E131" s="210"/>
      <c r="F131" s="646"/>
      <c r="G131" s="652"/>
      <c r="H131" s="646"/>
      <c r="I131" s="653"/>
      <c r="J131" s="653"/>
      <c r="K131" s="653"/>
      <c r="L131" s="201"/>
      <c r="M131" s="647"/>
      <c r="N131" s="227"/>
      <c r="O131" s="227"/>
      <c r="P131" s="227"/>
      <c r="Q131" s="227"/>
      <c r="R131" s="227"/>
      <c r="S131" s="227"/>
      <c r="T131" s="227"/>
      <c r="U131" s="227"/>
    </row>
    <row r="132" spans="1:21" s="211" customFormat="1" ht="16.5" hidden="1">
      <c r="A132" s="227"/>
      <c r="B132" s="227"/>
      <c r="C132" s="227"/>
      <c r="D132" s="227"/>
      <c r="E132" s="210"/>
      <c r="F132" s="646"/>
      <c r="G132" s="652"/>
      <c r="H132" s="646"/>
      <c r="I132" s="653"/>
      <c r="J132" s="653"/>
      <c r="K132" s="653"/>
      <c r="L132" s="201"/>
      <c r="M132" s="647"/>
      <c r="N132" s="227"/>
      <c r="O132" s="227"/>
      <c r="P132" s="227"/>
      <c r="Q132" s="227"/>
      <c r="R132" s="227"/>
      <c r="S132" s="227"/>
      <c r="T132" s="227"/>
      <c r="U132" s="227"/>
    </row>
    <row r="133" spans="1:21" s="211" customFormat="1" ht="16.5" hidden="1">
      <c r="A133" s="227"/>
      <c r="B133" s="227"/>
      <c r="C133" s="227"/>
      <c r="D133" s="227"/>
      <c r="E133" s="210"/>
      <c r="F133" s="646"/>
      <c r="G133" s="652"/>
      <c r="H133" s="646"/>
      <c r="I133" s="653"/>
      <c r="J133" s="653"/>
      <c r="K133" s="653"/>
      <c r="L133" s="201"/>
      <c r="M133" s="647"/>
      <c r="N133" s="227"/>
      <c r="O133" s="227"/>
      <c r="P133" s="227"/>
      <c r="Q133" s="227"/>
      <c r="R133" s="227"/>
      <c r="S133" s="227"/>
      <c r="T133" s="227"/>
      <c r="U133" s="227"/>
    </row>
    <row r="134" spans="1:21" s="211" customFormat="1" ht="16.5" hidden="1">
      <c r="A134" s="227"/>
      <c r="B134" s="227"/>
      <c r="C134" s="227"/>
      <c r="D134" s="227"/>
      <c r="E134" s="210"/>
      <c r="F134" s="646"/>
      <c r="G134" s="652"/>
      <c r="H134" s="646"/>
      <c r="I134" s="653"/>
      <c r="J134" s="653"/>
      <c r="K134" s="653"/>
      <c r="L134" s="201"/>
      <c r="M134" s="647"/>
      <c r="N134" s="227"/>
      <c r="O134" s="227"/>
      <c r="P134" s="227"/>
      <c r="Q134" s="227"/>
      <c r="R134" s="227"/>
      <c r="S134" s="227"/>
      <c r="T134" s="227"/>
      <c r="U134" s="227"/>
    </row>
    <row r="135" spans="1:21" s="211" customFormat="1" ht="16.5" hidden="1">
      <c r="A135" s="227"/>
      <c r="B135" s="227"/>
      <c r="C135" s="227"/>
      <c r="D135" s="227"/>
      <c r="E135" s="210"/>
      <c r="F135" s="646"/>
      <c r="G135" s="652"/>
      <c r="H135" s="646"/>
      <c r="I135" s="653"/>
      <c r="J135" s="653"/>
      <c r="K135" s="653"/>
      <c r="L135" s="201"/>
      <c r="M135" s="647"/>
      <c r="N135" s="227"/>
      <c r="O135" s="227"/>
      <c r="P135" s="227"/>
      <c r="Q135" s="227"/>
      <c r="R135" s="227"/>
      <c r="S135" s="227"/>
      <c r="T135" s="227"/>
      <c r="U135" s="227"/>
    </row>
    <row r="136" spans="1:21" s="211" customFormat="1" ht="16.5" hidden="1">
      <c r="A136" s="227"/>
      <c r="B136" s="227"/>
      <c r="C136" s="227"/>
      <c r="D136" s="227"/>
      <c r="E136" s="210"/>
      <c r="F136" s="646"/>
      <c r="G136" s="652"/>
      <c r="H136" s="646"/>
      <c r="I136" s="653"/>
      <c r="J136" s="653"/>
      <c r="K136" s="653"/>
      <c r="L136" s="201"/>
      <c r="M136" s="647"/>
      <c r="N136" s="227"/>
      <c r="O136" s="227"/>
      <c r="P136" s="227"/>
      <c r="Q136" s="227"/>
      <c r="R136" s="227"/>
      <c r="S136" s="227"/>
      <c r="T136" s="227"/>
      <c r="U136" s="227"/>
    </row>
    <row r="137" spans="1:21" s="211" customFormat="1" ht="16.5" hidden="1">
      <c r="A137" s="227"/>
      <c r="B137" s="227"/>
      <c r="C137" s="227"/>
      <c r="D137" s="227"/>
      <c r="E137" s="210"/>
      <c r="F137" s="646"/>
      <c r="G137" s="652"/>
      <c r="H137" s="646"/>
      <c r="I137" s="653"/>
      <c r="J137" s="653"/>
      <c r="K137" s="653"/>
      <c r="L137" s="201"/>
      <c r="M137" s="647"/>
      <c r="N137" s="227"/>
      <c r="O137" s="227"/>
      <c r="P137" s="227"/>
      <c r="Q137" s="227"/>
      <c r="R137" s="227"/>
      <c r="S137" s="227"/>
      <c r="T137" s="227"/>
      <c r="U137" s="227"/>
    </row>
    <row r="138" spans="1:21" s="211" customFormat="1" ht="16.5" hidden="1">
      <c r="A138" s="227"/>
      <c r="B138" s="227"/>
      <c r="C138" s="227"/>
      <c r="D138" s="227"/>
      <c r="E138" s="210"/>
      <c r="F138" s="646"/>
      <c r="G138" s="652"/>
      <c r="H138" s="646"/>
      <c r="I138" s="653"/>
      <c r="J138" s="653"/>
      <c r="K138" s="653"/>
      <c r="L138" s="201"/>
      <c r="M138" s="647"/>
      <c r="N138" s="227"/>
      <c r="O138" s="227"/>
      <c r="P138" s="227"/>
      <c r="Q138" s="227"/>
      <c r="R138" s="227"/>
      <c r="S138" s="227"/>
      <c r="T138" s="227"/>
      <c r="U138" s="227"/>
    </row>
    <row r="139" spans="1:21" s="211" customFormat="1" ht="16.5" hidden="1">
      <c r="A139" s="227"/>
      <c r="B139" s="227"/>
      <c r="C139" s="227"/>
      <c r="D139" s="227"/>
      <c r="E139" s="210"/>
      <c r="F139" s="646"/>
      <c r="G139" s="652"/>
      <c r="H139" s="646"/>
      <c r="I139" s="653"/>
      <c r="J139" s="653"/>
      <c r="K139" s="653"/>
      <c r="L139" s="201"/>
      <c r="M139" s="647"/>
      <c r="N139" s="227"/>
      <c r="O139" s="227"/>
      <c r="P139" s="227"/>
      <c r="Q139" s="227"/>
      <c r="R139" s="227"/>
      <c r="S139" s="227"/>
      <c r="T139" s="227"/>
      <c r="U139" s="227"/>
    </row>
    <row r="140" spans="1:21" s="211" customFormat="1" ht="16.5" hidden="1">
      <c r="A140" s="227"/>
      <c r="B140" s="227"/>
      <c r="C140" s="227"/>
      <c r="D140" s="227"/>
      <c r="E140" s="210"/>
      <c r="F140" s="646"/>
      <c r="G140" s="652"/>
      <c r="H140" s="646"/>
      <c r="I140" s="653"/>
      <c r="J140" s="653"/>
      <c r="K140" s="653"/>
      <c r="L140" s="201"/>
      <c r="M140" s="647"/>
      <c r="N140" s="227"/>
      <c r="O140" s="227"/>
      <c r="P140" s="227"/>
      <c r="Q140" s="227"/>
      <c r="R140" s="227"/>
      <c r="S140" s="227"/>
      <c r="T140" s="227"/>
      <c r="U140" s="227"/>
    </row>
    <row r="141" spans="1:21" s="211" customFormat="1" ht="16.5" hidden="1">
      <c r="A141" s="227"/>
      <c r="B141" s="227"/>
      <c r="C141" s="227"/>
      <c r="D141" s="227"/>
      <c r="E141" s="210"/>
      <c r="F141" s="646"/>
      <c r="G141" s="652"/>
      <c r="H141" s="646"/>
      <c r="I141" s="653"/>
      <c r="J141" s="653"/>
      <c r="K141" s="653"/>
      <c r="L141" s="201"/>
      <c r="M141" s="647"/>
      <c r="N141" s="227"/>
      <c r="O141" s="227"/>
      <c r="P141" s="227"/>
      <c r="Q141" s="227"/>
      <c r="R141" s="227"/>
      <c r="S141" s="227"/>
      <c r="T141" s="227"/>
      <c r="U141" s="227"/>
    </row>
    <row r="142" spans="1:21" s="211" customFormat="1" ht="16.5" hidden="1">
      <c r="A142" s="227"/>
      <c r="B142" s="227"/>
      <c r="C142" s="227"/>
      <c r="D142" s="227"/>
      <c r="E142" s="210"/>
      <c r="F142" s="646"/>
      <c r="G142" s="652"/>
      <c r="H142" s="646"/>
      <c r="I142" s="653"/>
      <c r="J142" s="653"/>
      <c r="K142" s="653"/>
      <c r="L142" s="201"/>
      <c r="M142" s="647"/>
      <c r="N142" s="227"/>
      <c r="O142" s="227"/>
      <c r="P142" s="227"/>
      <c r="Q142" s="227"/>
      <c r="R142" s="227"/>
      <c r="S142" s="227"/>
      <c r="T142" s="227"/>
      <c r="U142" s="227"/>
    </row>
    <row r="143" spans="1:21" s="211" customFormat="1" ht="16.5" hidden="1">
      <c r="A143" s="227"/>
      <c r="B143" s="227"/>
      <c r="C143" s="227"/>
      <c r="D143" s="227"/>
      <c r="E143" s="210"/>
      <c r="F143" s="646"/>
      <c r="G143" s="652"/>
      <c r="H143" s="646"/>
      <c r="I143" s="653"/>
      <c r="J143" s="653"/>
      <c r="K143" s="653"/>
      <c r="L143" s="201"/>
      <c r="M143" s="647"/>
      <c r="N143" s="227"/>
      <c r="O143" s="227"/>
      <c r="P143" s="227"/>
      <c r="Q143" s="227"/>
      <c r="R143" s="227"/>
      <c r="S143" s="227"/>
      <c r="T143" s="227"/>
      <c r="U143" s="227"/>
    </row>
    <row r="144" spans="1:21" s="211" customFormat="1" ht="16.5" hidden="1">
      <c r="A144" s="227"/>
      <c r="B144" s="227"/>
      <c r="C144" s="227"/>
      <c r="D144" s="227"/>
      <c r="E144" s="210"/>
      <c r="F144" s="646"/>
      <c r="G144" s="652"/>
      <c r="H144" s="646"/>
      <c r="I144" s="653"/>
      <c r="J144" s="653"/>
      <c r="K144" s="653"/>
      <c r="L144" s="201"/>
      <c r="M144" s="647"/>
      <c r="N144" s="227"/>
      <c r="O144" s="227"/>
      <c r="P144" s="227"/>
      <c r="Q144" s="227"/>
      <c r="R144" s="227"/>
      <c r="S144" s="227"/>
      <c r="T144" s="227"/>
      <c r="U144" s="227"/>
    </row>
    <row r="145" spans="1:21" s="211" customFormat="1" ht="16.5" hidden="1">
      <c r="A145" s="227"/>
      <c r="B145" s="227"/>
      <c r="C145" s="227"/>
      <c r="D145" s="227"/>
      <c r="E145" s="210"/>
      <c r="F145" s="646"/>
      <c r="G145" s="652"/>
      <c r="H145" s="646"/>
      <c r="I145" s="653"/>
      <c r="J145" s="653"/>
      <c r="K145" s="653"/>
      <c r="L145" s="201"/>
      <c r="M145" s="647"/>
      <c r="N145" s="227"/>
      <c r="O145" s="227"/>
      <c r="P145" s="227"/>
      <c r="Q145" s="227"/>
      <c r="R145" s="227"/>
      <c r="S145" s="227"/>
      <c r="T145" s="227"/>
      <c r="U145" s="227"/>
    </row>
    <row r="146" spans="1:21" s="211" customFormat="1" ht="16.5" hidden="1">
      <c r="A146" s="227"/>
      <c r="B146" s="227"/>
      <c r="C146" s="227"/>
      <c r="D146" s="227"/>
      <c r="E146" s="210"/>
      <c r="F146" s="646"/>
      <c r="G146" s="652"/>
      <c r="H146" s="646"/>
      <c r="I146" s="653"/>
      <c r="J146" s="653"/>
      <c r="K146" s="653"/>
      <c r="L146" s="201"/>
      <c r="M146" s="647"/>
      <c r="N146" s="227"/>
      <c r="O146" s="227"/>
      <c r="P146" s="227"/>
      <c r="Q146" s="227"/>
      <c r="R146" s="227"/>
      <c r="S146" s="227"/>
      <c r="T146" s="227"/>
      <c r="U146" s="227"/>
    </row>
    <row r="147" spans="1:21" s="211" customFormat="1" ht="16.5" hidden="1">
      <c r="A147" s="227"/>
      <c r="B147" s="227"/>
      <c r="C147" s="227"/>
      <c r="D147" s="227"/>
      <c r="E147" s="210"/>
      <c r="F147" s="646"/>
      <c r="G147" s="652"/>
      <c r="H147" s="646"/>
      <c r="I147" s="653"/>
      <c r="J147" s="653"/>
      <c r="K147" s="653"/>
      <c r="L147" s="201"/>
      <c r="M147" s="647"/>
      <c r="N147" s="227"/>
      <c r="O147" s="227"/>
      <c r="P147" s="227"/>
      <c r="Q147" s="227"/>
      <c r="R147" s="227"/>
      <c r="S147" s="227"/>
      <c r="T147" s="227"/>
      <c r="U147" s="227"/>
    </row>
    <row r="148" spans="1:21" s="211" customFormat="1" ht="16.5" hidden="1">
      <c r="A148" s="227"/>
      <c r="B148" s="227"/>
      <c r="C148" s="227"/>
      <c r="D148" s="227"/>
      <c r="E148" s="210"/>
      <c r="F148" s="646"/>
      <c r="G148" s="652"/>
      <c r="H148" s="646"/>
      <c r="I148" s="653"/>
      <c r="J148" s="653"/>
      <c r="K148" s="653"/>
      <c r="L148" s="201"/>
      <c r="M148" s="647"/>
      <c r="N148" s="227"/>
      <c r="O148" s="227"/>
      <c r="P148" s="227"/>
      <c r="Q148" s="227"/>
      <c r="R148" s="227"/>
      <c r="S148" s="227"/>
      <c r="T148" s="227"/>
      <c r="U148" s="227"/>
    </row>
    <row r="149" spans="1:21" s="211" customFormat="1" ht="16.5" hidden="1">
      <c r="A149" s="227"/>
      <c r="B149" s="227"/>
      <c r="C149" s="227"/>
      <c r="D149" s="227"/>
      <c r="E149" s="210"/>
      <c r="F149" s="646"/>
      <c r="G149" s="652"/>
      <c r="H149" s="646"/>
      <c r="I149" s="653"/>
      <c r="J149" s="653"/>
      <c r="K149" s="653"/>
      <c r="L149" s="201"/>
      <c r="M149" s="647"/>
      <c r="N149" s="227"/>
      <c r="O149" s="227"/>
      <c r="P149" s="227"/>
      <c r="Q149" s="227"/>
      <c r="R149" s="227"/>
      <c r="S149" s="227"/>
      <c r="T149" s="227"/>
      <c r="U149" s="227"/>
    </row>
    <row r="150" spans="1:21" s="211" customFormat="1" ht="16.5" hidden="1">
      <c r="A150" s="227"/>
      <c r="B150" s="227"/>
      <c r="C150" s="227"/>
      <c r="D150" s="227"/>
      <c r="E150" s="210"/>
      <c r="F150" s="646"/>
      <c r="G150" s="652"/>
      <c r="H150" s="646"/>
      <c r="I150" s="653"/>
      <c r="J150" s="653"/>
      <c r="K150" s="653"/>
      <c r="L150" s="201"/>
      <c r="M150" s="647"/>
      <c r="N150" s="227"/>
      <c r="O150" s="227"/>
      <c r="P150" s="227"/>
      <c r="Q150" s="227"/>
      <c r="R150" s="227"/>
      <c r="S150" s="227"/>
      <c r="T150" s="227"/>
      <c r="U150" s="227"/>
    </row>
    <row r="151" spans="1:21" s="211" customFormat="1" ht="16.5" hidden="1">
      <c r="A151" s="227"/>
      <c r="B151" s="227"/>
      <c r="C151" s="227"/>
      <c r="D151" s="227"/>
      <c r="E151" s="210"/>
      <c r="F151" s="646"/>
      <c r="G151" s="652"/>
      <c r="H151" s="646"/>
      <c r="I151" s="653"/>
      <c r="J151" s="653"/>
      <c r="K151" s="653"/>
      <c r="L151" s="201"/>
      <c r="M151" s="647"/>
      <c r="N151" s="227"/>
      <c r="O151" s="227"/>
      <c r="P151" s="227"/>
      <c r="Q151" s="227"/>
      <c r="R151" s="227"/>
      <c r="S151" s="227"/>
      <c r="T151" s="227"/>
      <c r="U151" s="227"/>
    </row>
    <row r="152" spans="1:21" s="211" customFormat="1" ht="16.5" hidden="1">
      <c r="A152" s="227"/>
      <c r="B152" s="227"/>
      <c r="C152" s="227"/>
      <c r="D152" s="227"/>
      <c r="E152" s="210"/>
      <c r="F152" s="646"/>
      <c r="G152" s="652"/>
      <c r="H152" s="646"/>
      <c r="I152" s="653"/>
      <c r="J152" s="653"/>
      <c r="K152" s="653"/>
      <c r="L152" s="201"/>
      <c r="M152" s="647"/>
      <c r="N152" s="227"/>
      <c r="O152" s="227"/>
      <c r="P152" s="227"/>
      <c r="Q152" s="227"/>
      <c r="R152" s="227"/>
      <c r="S152" s="227"/>
      <c r="T152" s="227"/>
      <c r="U152" s="227"/>
    </row>
    <row r="153" spans="1:21" s="211" customFormat="1" ht="16.5" hidden="1">
      <c r="A153" s="227"/>
      <c r="B153" s="227"/>
      <c r="C153" s="227"/>
      <c r="D153" s="227"/>
      <c r="E153" s="210"/>
      <c r="F153" s="646"/>
      <c r="G153" s="652"/>
      <c r="H153" s="646"/>
      <c r="I153" s="653"/>
      <c r="J153" s="653"/>
      <c r="K153" s="653"/>
      <c r="L153" s="201"/>
      <c r="M153" s="647"/>
      <c r="N153" s="227"/>
      <c r="O153" s="227"/>
      <c r="P153" s="227"/>
      <c r="Q153" s="227"/>
      <c r="R153" s="227"/>
      <c r="S153" s="227"/>
      <c r="T153" s="227"/>
      <c r="U153" s="227"/>
    </row>
    <row r="154" spans="1:21" s="211" customFormat="1" ht="16.5" hidden="1">
      <c r="A154" s="227"/>
      <c r="B154" s="227"/>
      <c r="C154" s="227"/>
      <c r="D154" s="227"/>
      <c r="E154" s="210"/>
      <c r="F154" s="646"/>
      <c r="G154" s="652"/>
      <c r="H154" s="646"/>
      <c r="I154" s="653"/>
      <c r="J154" s="653"/>
      <c r="K154" s="653"/>
      <c r="L154" s="201"/>
      <c r="M154" s="647"/>
      <c r="N154" s="227"/>
      <c r="O154" s="227"/>
      <c r="P154" s="227"/>
      <c r="Q154" s="227"/>
      <c r="R154" s="227"/>
      <c r="S154" s="227"/>
      <c r="T154" s="227"/>
      <c r="U154" s="227"/>
    </row>
    <row r="155" spans="1:21" s="211" customFormat="1" ht="16.5" hidden="1">
      <c r="A155" s="227"/>
      <c r="B155" s="227"/>
      <c r="C155" s="227"/>
      <c r="D155" s="227"/>
      <c r="E155" s="210"/>
      <c r="F155" s="646"/>
      <c r="G155" s="652"/>
      <c r="H155" s="646"/>
      <c r="I155" s="653"/>
      <c r="J155" s="653"/>
      <c r="K155" s="653"/>
      <c r="L155" s="201"/>
      <c r="M155" s="647"/>
      <c r="N155" s="227"/>
      <c r="O155" s="227"/>
      <c r="P155" s="227"/>
      <c r="Q155" s="227"/>
      <c r="R155" s="227"/>
      <c r="S155" s="227"/>
      <c r="T155" s="227"/>
      <c r="U155" s="227"/>
    </row>
    <row r="156" spans="1:21" s="211" customFormat="1" ht="16.5" hidden="1">
      <c r="A156" s="227"/>
      <c r="B156" s="227"/>
      <c r="C156" s="227"/>
      <c r="D156" s="227"/>
      <c r="E156" s="210"/>
      <c r="F156" s="646"/>
      <c r="G156" s="652"/>
      <c r="H156" s="646"/>
      <c r="I156" s="653"/>
      <c r="J156" s="653"/>
      <c r="K156" s="653"/>
      <c r="L156" s="201"/>
      <c r="M156" s="647"/>
      <c r="N156" s="227"/>
      <c r="O156" s="227"/>
      <c r="P156" s="227"/>
      <c r="Q156" s="227"/>
      <c r="R156" s="227"/>
      <c r="S156" s="227"/>
      <c r="T156" s="227"/>
      <c r="U156" s="227"/>
    </row>
    <row r="157" spans="1:21" s="211" customFormat="1" ht="16.5" hidden="1">
      <c r="A157" s="227"/>
      <c r="B157" s="227"/>
      <c r="C157" s="227"/>
      <c r="D157" s="227"/>
      <c r="E157" s="210"/>
      <c r="F157" s="646"/>
      <c r="G157" s="652"/>
      <c r="H157" s="646"/>
      <c r="I157" s="653"/>
      <c r="J157" s="653"/>
      <c r="K157" s="653"/>
      <c r="L157" s="201"/>
      <c r="M157" s="647"/>
      <c r="N157" s="227"/>
      <c r="O157" s="227"/>
      <c r="P157" s="227"/>
      <c r="Q157" s="227"/>
      <c r="R157" s="227"/>
      <c r="S157" s="227"/>
      <c r="T157" s="227"/>
      <c r="U157" s="227"/>
    </row>
    <row r="158" spans="1:21" s="211" customFormat="1" ht="16.5" hidden="1">
      <c r="A158" s="227"/>
      <c r="B158" s="227"/>
      <c r="C158" s="227"/>
      <c r="D158" s="227"/>
      <c r="E158" s="210"/>
      <c r="F158" s="646"/>
      <c r="G158" s="652"/>
      <c r="H158" s="646"/>
      <c r="I158" s="653"/>
      <c r="J158" s="653"/>
      <c r="K158" s="653"/>
      <c r="L158" s="201"/>
      <c r="M158" s="647"/>
      <c r="N158" s="227"/>
      <c r="O158" s="227"/>
      <c r="P158" s="227"/>
      <c r="Q158" s="227"/>
      <c r="R158" s="227"/>
      <c r="S158" s="227"/>
      <c r="T158" s="227"/>
      <c r="U158" s="227"/>
    </row>
    <row r="159" spans="1:21" s="211" customFormat="1" ht="16.5" hidden="1">
      <c r="A159" s="227"/>
      <c r="B159" s="227"/>
      <c r="C159" s="227"/>
      <c r="D159" s="227"/>
      <c r="E159" s="210"/>
      <c r="F159" s="646"/>
      <c r="G159" s="652"/>
      <c r="H159" s="646"/>
      <c r="I159" s="653"/>
      <c r="J159" s="653"/>
      <c r="K159" s="653"/>
      <c r="L159" s="201"/>
      <c r="M159" s="647"/>
      <c r="N159" s="227"/>
      <c r="O159" s="227"/>
      <c r="P159" s="227"/>
      <c r="Q159" s="227"/>
      <c r="R159" s="227"/>
      <c r="S159" s="227"/>
      <c r="T159" s="227"/>
      <c r="U159" s="227"/>
    </row>
    <row r="160" spans="1:21" s="211" customFormat="1" ht="16.5" hidden="1">
      <c r="A160" s="227"/>
      <c r="B160" s="227"/>
      <c r="C160" s="227"/>
      <c r="D160" s="227"/>
      <c r="E160" s="210"/>
      <c r="F160" s="646"/>
      <c r="G160" s="652"/>
      <c r="H160" s="646"/>
      <c r="I160" s="653"/>
      <c r="J160" s="653"/>
      <c r="K160" s="653"/>
      <c r="L160" s="201"/>
      <c r="M160" s="647"/>
      <c r="N160" s="227"/>
      <c r="O160" s="227"/>
      <c r="P160" s="227"/>
      <c r="Q160" s="227"/>
      <c r="R160" s="227"/>
      <c r="S160" s="227"/>
      <c r="T160" s="227"/>
      <c r="U160" s="227"/>
    </row>
    <row r="161" spans="1:21" s="211" customFormat="1" ht="16.5" hidden="1">
      <c r="A161" s="227"/>
      <c r="B161" s="227"/>
      <c r="C161" s="227"/>
      <c r="D161" s="227"/>
      <c r="E161" s="210"/>
      <c r="F161" s="646"/>
      <c r="G161" s="652"/>
      <c r="H161" s="646"/>
      <c r="I161" s="653"/>
      <c r="J161" s="653"/>
      <c r="K161" s="653"/>
      <c r="L161" s="201"/>
      <c r="M161" s="647"/>
      <c r="N161" s="227"/>
      <c r="O161" s="227"/>
      <c r="P161" s="227"/>
      <c r="Q161" s="227"/>
      <c r="R161" s="227"/>
      <c r="S161" s="227"/>
      <c r="T161" s="227"/>
      <c r="U161" s="227"/>
    </row>
    <row r="162" spans="1:21" s="211" customFormat="1" ht="16.5" hidden="1">
      <c r="A162" s="227"/>
      <c r="B162" s="227"/>
      <c r="C162" s="227"/>
      <c r="D162" s="227"/>
      <c r="E162" s="210"/>
      <c r="F162" s="646"/>
      <c r="G162" s="652"/>
      <c r="H162" s="646"/>
      <c r="I162" s="653"/>
      <c r="J162" s="653"/>
      <c r="K162" s="653"/>
      <c r="L162" s="201"/>
      <c r="M162" s="647"/>
      <c r="N162" s="227"/>
      <c r="O162" s="227"/>
      <c r="P162" s="227"/>
      <c r="Q162" s="227"/>
      <c r="R162" s="227"/>
      <c r="S162" s="227"/>
      <c r="T162" s="227"/>
      <c r="U162" s="227"/>
    </row>
    <row r="163" spans="1:21" s="211" customFormat="1" ht="16.5" hidden="1">
      <c r="A163" s="227"/>
      <c r="B163" s="227"/>
      <c r="C163" s="227"/>
      <c r="D163" s="227"/>
      <c r="E163" s="210"/>
      <c r="F163" s="646"/>
      <c r="G163" s="652"/>
      <c r="H163" s="646"/>
      <c r="I163" s="653"/>
      <c r="J163" s="653"/>
      <c r="K163" s="653"/>
      <c r="L163" s="201"/>
      <c r="M163" s="647"/>
      <c r="N163" s="227"/>
      <c r="O163" s="227"/>
      <c r="P163" s="227"/>
      <c r="Q163" s="227"/>
      <c r="R163" s="227"/>
      <c r="S163" s="227"/>
      <c r="T163" s="227"/>
      <c r="U163" s="227"/>
    </row>
    <row r="164" spans="1:21" s="211" customFormat="1" ht="16.5" hidden="1">
      <c r="A164" s="227"/>
      <c r="B164" s="227"/>
      <c r="C164" s="227"/>
      <c r="D164" s="227"/>
      <c r="E164" s="210"/>
      <c r="F164" s="646"/>
      <c r="G164" s="652"/>
      <c r="H164" s="646"/>
      <c r="I164" s="653"/>
      <c r="J164" s="653"/>
      <c r="K164" s="653"/>
      <c r="L164" s="201"/>
      <c r="M164" s="647"/>
      <c r="N164" s="227"/>
      <c r="O164" s="227"/>
      <c r="P164" s="227"/>
      <c r="Q164" s="227"/>
      <c r="R164" s="227"/>
      <c r="S164" s="227"/>
      <c r="T164" s="227"/>
      <c r="U164" s="227"/>
    </row>
    <row r="165" spans="1:21" s="211" customFormat="1" ht="16.5" hidden="1">
      <c r="A165" s="227"/>
      <c r="B165" s="227"/>
      <c r="C165" s="227"/>
      <c r="D165" s="227"/>
      <c r="E165" s="210"/>
      <c r="F165" s="646"/>
      <c r="G165" s="652"/>
      <c r="H165" s="646"/>
      <c r="I165" s="653"/>
      <c r="J165" s="653"/>
      <c r="K165" s="653"/>
      <c r="L165" s="201"/>
      <c r="M165" s="647"/>
      <c r="N165" s="227"/>
      <c r="O165" s="227"/>
      <c r="P165" s="227"/>
      <c r="Q165" s="227"/>
      <c r="R165" s="227"/>
      <c r="S165" s="227"/>
      <c r="T165" s="227"/>
      <c r="U165" s="227"/>
    </row>
    <row r="166" spans="1:21" s="211" customFormat="1" ht="16.5" hidden="1">
      <c r="A166" s="227"/>
      <c r="B166" s="227"/>
      <c r="C166" s="227"/>
      <c r="D166" s="227"/>
      <c r="E166" s="210"/>
      <c r="F166" s="646"/>
      <c r="G166" s="652"/>
      <c r="H166" s="646"/>
      <c r="I166" s="653"/>
      <c r="J166" s="653"/>
      <c r="K166" s="653"/>
      <c r="L166" s="201"/>
      <c r="M166" s="647"/>
      <c r="N166" s="227"/>
      <c r="O166" s="227"/>
      <c r="P166" s="227"/>
      <c r="Q166" s="227"/>
      <c r="R166" s="227"/>
      <c r="S166" s="227"/>
      <c r="T166" s="227"/>
      <c r="U166" s="227"/>
    </row>
    <row r="167" spans="1:21" s="211" customFormat="1" ht="16.5" hidden="1">
      <c r="A167" s="227"/>
      <c r="B167" s="227"/>
      <c r="C167" s="227"/>
      <c r="D167" s="227"/>
      <c r="E167" s="210"/>
      <c r="F167" s="646"/>
      <c r="G167" s="652"/>
      <c r="H167" s="646"/>
      <c r="I167" s="653"/>
      <c r="J167" s="653"/>
      <c r="K167" s="653"/>
      <c r="L167" s="201"/>
      <c r="M167" s="647"/>
      <c r="N167" s="227"/>
      <c r="O167" s="227"/>
      <c r="P167" s="227"/>
      <c r="Q167" s="227"/>
      <c r="R167" s="227"/>
      <c r="S167" s="227"/>
      <c r="T167" s="227"/>
      <c r="U167" s="227"/>
    </row>
    <row r="168" spans="1:21" s="211" customFormat="1" ht="16.5" hidden="1">
      <c r="A168" s="227"/>
      <c r="B168" s="227"/>
      <c r="C168" s="227"/>
      <c r="D168" s="227"/>
      <c r="E168" s="210"/>
      <c r="F168" s="646"/>
      <c r="G168" s="652"/>
      <c r="H168" s="646"/>
      <c r="I168" s="653"/>
      <c r="J168" s="653"/>
      <c r="K168" s="653"/>
      <c r="L168" s="201"/>
      <c r="M168" s="647"/>
      <c r="N168" s="227"/>
      <c r="O168" s="227"/>
      <c r="P168" s="227"/>
      <c r="Q168" s="227"/>
      <c r="R168" s="227"/>
      <c r="S168" s="227"/>
      <c r="T168" s="227"/>
      <c r="U168" s="227"/>
    </row>
    <row r="169" spans="1:21" s="211" customFormat="1" ht="16.5" hidden="1">
      <c r="A169" s="227"/>
      <c r="B169" s="227"/>
      <c r="C169" s="227"/>
      <c r="D169" s="227"/>
      <c r="E169" s="210"/>
      <c r="F169" s="646"/>
      <c r="G169" s="652"/>
      <c r="H169" s="646"/>
      <c r="I169" s="653"/>
      <c r="J169" s="653"/>
      <c r="K169" s="653"/>
      <c r="L169" s="201"/>
      <c r="M169" s="647"/>
      <c r="N169" s="227"/>
      <c r="O169" s="227"/>
      <c r="P169" s="227"/>
      <c r="Q169" s="227"/>
      <c r="R169" s="227"/>
      <c r="S169" s="227"/>
      <c r="T169" s="227"/>
      <c r="U169" s="227"/>
    </row>
    <row r="170" spans="1:21" s="211" customFormat="1" ht="16.5" hidden="1">
      <c r="A170" s="227"/>
      <c r="B170" s="227"/>
      <c r="C170" s="227"/>
      <c r="D170" s="227"/>
      <c r="E170" s="210"/>
      <c r="F170" s="646"/>
      <c r="G170" s="652"/>
      <c r="H170" s="646"/>
      <c r="I170" s="653"/>
      <c r="J170" s="653"/>
      <c r="K170" s="653"/>
      <c r="L170" s="201"/>
      <c r="M170" s="647"/>
      <c r="N170" s="227"/>
      <c r="O170" s="227"/>
      <c r="P170" s="227"/>
      <c r="Q170" s="227"/>
      <c r="R170" s="227"/>
      <c r="S170" s="227"/>
      <c r="T170" s="227"/>
      <c r="U170" s="227"/>
    </row>
    <row r="171" spans="1:21" s="211" customFormat="1" ht="16.5" hidden="1">
      <c r="A171" s="227"/>
      <c r="B171" s="227"/>
      <c r="C171" s="227"/>
      <c r="D171" s="227"/>
      <c r="E171" s="210"/>
      <c r="F171" s="646"/>
      <c r="G171" s="652"/>
      <c r="H171" s="646"/>
      <c r="I171" s="653"/>
      <c r="J171" s="653"/>
      <c r="K171" s="653"/>
      <c r="L171" s="201"/>
      <c r="M171" s="647"/>
      <c r="N171" s="227"/>
      <c r="O171" s="227"/>
      <c r="P171" s="227"/>
      <c r="Q171" s="227"/>
      <c r="R171" s="227"/>
      <c r="S171" s="227"/>
      <c r="T171" s="227"/>
      <c r="U171" s="227"/>
    </row>
    <row r="172" spans="1:21" s="211" customFormat="1" ht="16.5" hidden="1">
      <c r="A172" s="227"/>
      <c r="B172" s="227"/>
      <c r="C172" s="227"/>
      <c r="D172" s="227"/>
      <c r="E172" s="210"/>
      <c r="F172" s="646"/>
      <c r="G172" s="652"/>
      <c r="H172" s="646"/>
      <c r="I172" s="653"/>
      <c r="J172" s="653"/>
      <c r="K172" s="653"/>
      <c r="L172" s="201"/>
      <c r="M172" s="647"/>
      <c r="N172" s="227"/>
      <c r="O172" s="227"/>
      <c r="P172" s="227"/>
      <c r="Q172" s="227"/>
      <c r="R172" s="227"/>
      <c r="S172" s="227"/>
      <c r="T172" s="227"/>
      <c r="U172" s="227"/>
    </row>
    <row r="173" spans="1:21" s="211" customFormat="1" ht="16.5" hidden="1">
      <c r="A173" s="227"/>
      <c r="B173" s="227"/>
      <c r="C173" s="227"/>
      <c r="D173" s="227"/>
      <c r="E173" s="210"/>
      <c r="F173" s="646"/>
      <c r="G173" s="652"/>
      <c r="H173" s="646"/>
      <c r="I173" s="653"/>
      <c r="J173" s="653"/>
      <c r="K173" s="653"/>
      <c r="L173" s="201"/>
      <c r="M173" s="647"/>
      <c r="N173" s="227"/>
      <c r="O173" s="227"/>
      <c r="P173" s="227"/>
      <c r="Q173" s="227"/>
      <c r="R173" s="227"/>
      <c r="S173" s="227"/>
      <c r="T173" s="227"/>
      <c r="U173" s="227"/>
    </row>
    <row r="174" spans="1:21" s="211" customFormat="1" ht="16.5" hidden="1">
      <c r="A174" s="227"/>
      <c r="B174" s="227"/>
      <c r="C174" s="227"/>
      <c r="D174" s="227"/>
      <c r="E174" s="210"/>
      <c r="F174" s="646"/>
      <c r="G174" s="652"/>
      <c r="H174" s="646"/>
      <c r="I174" s="653"/>
      <c r="J174" s="653"/>
      <c r="K174" s="653"/>
      <c r="L174" s="201"/>
      <c r="M174" s="647"/>
      <c r="N174" s="227"/>
      <c r="O174" s="227"/>
      <c r="P174" s="227"/>
      <c r="Q174" s="227"/>
      <c r="R174" s="227"/>
      <c r="S174" s="227"/>
      <c r="T174" s="227"/>
      <c r="U174" s="227"/>
    </row>
    <row r="175" spans="1:21" s="211" customFormat="1" ht="16.5" hidden="1">
      <c r="A175" s="227"/>
      <c r="B175" s="227"/>
      <c r="C175" s="227"/>
      <c r="D175" s="227"/>
      <c r="E175" s="210"/>
      <c r="F175" s="646"/>
      <c r="G175" s="652"/>
      <c r="H175" s="646"/>
      <c r="I175" s="653"/>
      <c r="J175" s="653"/>
      <c r="K175" s="653"/>
      <c r="L175" s="201"/>
      <c r="M175" s="647"/>
      <c r="N175" s="227"/>
      <c r="O175" s="227"/>
      <c r="P175" s="227"/>
      <c r="Q175" s="227"/>
      <c r="R175" s="227"/>
      <c r="S175" s="227"/>
      <c r="T175" s="227"/>
      <c r="U175" s="227"/>
    </row>
    <row r="176" spans="1:21" s="211" customFormat="1" ht="16.5" hidden="1">
      <c r="A176" s="227"/>
      <c r="B176" s="227"/>
      <c r="C176" s="227"/>
      <c r="D176" s="227"/>
      <c r="E176" s="210"/>
      <c r="F176" s="646"/>
      <c r="G176" s="652"/>
      <c r="H176" s="646"/>
      <c r="I176" s="653"/>
      <c r="J176" s="653"/>
      <c r="K176" s="653"/>
      <c r="L176" s="201"/>
      <c r="M176" s="647"/>
      <c r="N176" s="227"/>
      <c r="O176" s="227"/>
      <c r="P176" s="227"/>
      <c r="Q176" s="227"/>
      <c r="R176" s="227"/>
      <c r="S176" s="227"/>
      <c r="T176" s="227"/>
      <c r="U176" s="227"/>
    </row>
    <row r="177" spans="1:21" s="211" customFormat="1" ht="16.5" hidden="1">
      <c r="A177" s="227"/>
      <c r="B177" s="227"/>
      <c r="C177" s="227"/>
      <c r="D177" s="227"/>
      <c r="E177" s="210"/>
      <c r="F177" s="646"/>
      <c r="G177" s="652"/>
      <c r="H177" s="646"/>
      <c r="I177" s="653"/>
      <c r="J177" s="653"/>
      <c r="K177" s="653"/>
      <c r="L177" s="201"/>
      <c r="M177" s="647"/>
      <c r="N177" s="227"/>
      <c r="O177" s="227"/>
      <c r="P177" s="227"/>
      <c r="Q177" s="227"/>
      <c r="R177" s="227"/>
      <c r="S177" s="227"/>
      <c r="T177" s="227"/>
      <c r="U177" s="227"/>
    </row>
    <row r="178" spans="1:21" s="211" customFormat="1" ht="16.5" hidden="1">
      <c r="A178" s="227"/>
      <c r="B178" s="227"/>
      <c r="C178" s="227"/>
      <c r="D178" s="227"/>
      <c r="E178" s="210"/>
      <c r="F178" s="646"/>
      <c r="G178" s="652"/>
      <c r="H178" s="646"/>
      <c r="I178" s="653"/>
      <c r="J178" s="653"/>
      <c r="K178" s="653"/>
      <c r="L178" s="201"/>
      <c r="M178" s="647"/>
      <c r="N178" s="227"/>
      <c r="O178" s="227"/>
      <c r="P178" s="227"/>
      <c r="Q178" s="227"/>
      <c r="R178" s="227"/>
      <c r="S178" s="227"/>
      <c r="T178" s="227"/>
      <c r="U178" s="227"/>
    </row>
    <row r="179" spans="1:21" s="211" customFormat="1" ht="16.5" hidden="1">
      <c r="A179" s="227"/>
      <c r="B179" s="227"/>
      <c r="C179" s="227"/>
      <c r="D179" s="227"/>
      <c r="E179" s="210"/>
      <c r="F179" s="646"/>
      <c r="G179" s="652"/>
      <c r="H179" s="646"/>
      <c r="I179" s="653"/>
      <c r="J179" s="653"/>
      <c r="K179" s="653"/>
      <c r="L179" s="201"/>
      <c r="M179" s="647"/>
      <c r="N179" s="227"/>
      <c r="O179" s="227"/>
      <c r="P179" s="227"/>
      <c r="Q179" s="227"/>
      <c r="R179" s="227"/>
      <c r="S179" s="227"/>
      <c r="T179" s="227"/>
      <c r="U179" s="227"/>
    </row>
    <row r="180" spans="1:21" s="211" customFormat="1" ht="16.5" hidden="1">
      <c r="A180" s="227"/>
      <c r="B180" s="227"/>
      <c r="C180" s="227"/>
      <c r="D180" s="227"/>
      <c r="E180" s="210"/>
      <c r="F180" s="646"/>
      <c r="G180" s="652"/>
      <c r="H180" s="646"/>
      <c r="I180" s="653"/>
      <c r="J180" s="653"/>
      <c r="K180" s="653"/>
      <c r="L180" s="201"/>
      <c r="M180" s="647"/>
      <c r="N180" s="227"/>
      <c r="O180" s="227"/>
      <c r="P180" s="227"/>
      <c r="Q180" s="227"/>
      <c r="R180" s="227"/>
      <c r="S180" s="227"/>
      <c r="T180" s="227"/>
      <c r="U180" s="227"/>
    </row>
    <row r="181" spans="1:21" s="211" customFormat="1" ht="16.5" hidden="1">
      <c r="A181" s="227"/>
      <c r="B181" s="227"/>
      <c r="C181" s="227"/>
      <c r="D181" s="227"/>
      <c r="E181" s="210"/>
      <c r="F181" s="646"/>
      <c r="G181" s="652"/>
      <c r="H181" s="646"/>
      <c r="I181" s="653"/>
      <c r="J181" s="653"/>
      <c r="K181" s="653"/>
      <c r="L181" s="201"/>
      <c r="M181" s="647"/>
      <c r="N181" s="227"/>
      <c r="O181" s="227"/>
      <c r="P181" s="227"/>
      <c r="Q181" s="227"/>
      <c r="R181" s="227"/>
      <c r="S181" s="227"/>
      <c r="T181" s="227"/>
      <c r="U181" s="227"/>
    </row>
    <row r="182" spans="1:21" s="211" customFormat="1" ht="16.5" hidden="1">
      <c r="A182" s="227"/>
      <c r="B182" s="227"/>
      <c r="C182" s="227"/>
      <c r="D182" s="227"/>
      <c r="E182" s="210"/>
      <c r="F182" s="646"/>
      <c r="G182" s="652"/>
      <c r="H182" s="646"/>
      <c r="I182" s="653"/>
      <c r="J182" s="653"/>
      <c r="K182" s="653"/>
      <c r="L182" s="201"/>
      <c r="M182" s="647"/>
      <c r="N182" s="227"/>
      <c r="O182" s="227"/>
      <c r="P182" s="227"/>
      <c r="Q182" s="227"/>
      <c r="R182" s="227"/>
      <c r="S182" s="227"/>
      <c r="T182" s="227"/>
      <c r="U182" s="227"/>
    </row>
    <row r="183" spans="1:21" s="211" customFormat="1" ht="16.5" hidden="1">
      <c r="A183" s="227"/>
      <c r="B183" s="227"/>
      <c r="C183" s="227"/>
      <c r="D183" s="227"/>
      <c r="E183" s="210"/>
      <c r="F183" s="646"/>
      <c r="G183" s="652"/>
      <c r="H183" s="646"/>
      <c r="I183" s="653"/>
      <c r="J183" s="653"/>
      <c r="K183" s="653"/>
      <c r="L183" s="201"/>
      <c r="M183" s="647"/>
      <c r="N183" s="227"/>
      <c r="O183" s="227"/>
      <c r="P183" s="227"/>
      <c r="Q183" s="227"/>
      <c r="R183" s="227"/>
      <c r="S183" s="227"/>
      <c r="T183" s="227"/>
      <c r="U183" s="227"/>
    </row>
    <row r="184" spans="1:21" s="211" customFormat="1" ht="16.5" hidden="1">
      <c r="A184" s="227"/>
      <c r="B184" s="227"/>
      <c r="C184" s="227"/>
      <c r="D184" s="227"/>
      <c r="E184" s="210"/>
      <c r="F184" s="646"/>
      <c r="G184" s="652"/>
      <c r="H184" s="646"/>
      <c r="I184" s="653"/>
      <c r="J184" s="653"/>
      <c r="K184" s="653"/>
      <c r="L184" s="201"/>
      <c r="M184" s="647"/>
      <c r="N184" s="227"/>
      <c r="O184" s="227"/>
      <c r="P184" s="227"/>
      <c r="Q184" s="227"/>
      <c r="R184" s="227"/>
      <c r="S184" s="227"/>
      <c r="T184" s="227"/>
      <c r="U184" s="227"/>
    </row>
    <row r="185" spans="1:21" s="211" customFormat="1" ht="16.5" hidden="1">
      <c r="A185" s="227"/>
      <c r="B185" s="227"/>
      <c r="C185" s="227"/>
      <c r="D185" s="227"/>
      <c r="E185" s="210"/>
      <c r="F185" s="646"/>
      <c r="G185" s="652"/>
      <c r="H185" s="646"/>
      <c r="I185" s="653"/>
      <c r="J185" s="653"/>
      <c r="K185" s="653"/>
      <c r="L185" s="201"/>
      <c r="M185" s="647"/>
      <c r="N185" s="227"/>
      <c r="O185" s="227"/>
      <c r="P185" s="227"/>
      <c r="Q185" s="227"/>
      <c r="R185" s="227"/>
      <c r="S185" s="227"/>
      <c r="T185" s="227"/>
      <c r="U185" s="227"/>
    </row>
    <row r="186" spans="1:21" s="211" customFormat="1" ht="16.5" hidden="1">
      <c r="A186" s="227"/>
      <c r="B186" s="227"/>
      <c r="C186" s="227"/>
      <c r="D186" s="227"/>
      <c r="E186" s="210"/>
      <c r="F186" s="646"/>
      <c r="G186" s="652"/>
      <c r="H186" s="646"/>
      <c r="I186" s="653"/>
      <c r="J186" s="653"/>
      <c r="K186" s="653"/>
      <c r="L186" s="201"/>
      <c r="M186" s="647"/>
      <c r="N186" s="227"/>
      <c r="O186" s="227"/>
      <c r="P186" s="227"/>
      <c r="Q186" s="227"/>
      <c r="R186" s="227"/>
      <c r="S186" s="227"/>
      <c r="T186" s="227"/>
      <c r="U186" s="227"/>
    </row>
    <row r="187" spans="1:21" s="211" customFormat="1" ht="16.5" hidden="1">
      <c r="A187" s="227"/>
      <c r="B187" s="227"/>
      <c r="C187" s="227"/>
      <c r="D187" s="227"/>
      <c r="E187" s="210"/>
      <c r="F187" s="646"/>
      <c r="G187" s="652"/>
      <c r="H187" s="646"/>
      <c r="I187" s="653"/>
      <c r="J187" s="653"/>
      <c r="K187" s="653"/>
      <c r="L187" s="201"/>
      <c r="M187" s="647"/>
      <c r="N187" s="227"/>
      <c r="O187" s="227"/>
      <c r="P187" s="227"/>
      <c r="Q187" s="227"/>
      <c r="R187" s="227"/>
      <c r="S187" s="227"/>
      <c r="T187" s="227"/>
      <c r="U187" s="227"/>
    </row>
    <row r="188" spans="1:21" s="211" customFormat="1" ht="16.5" hidden="1">
      <c r="A188" s="227"/>
      <c r="B188" s="227"/>
      <c r="C188" s="227"/>
      <c r="D188" s="227"/>
      <c r="E188" s="210"/>
      <c r="F188" s="646"/>
      <c r="G188" s="652"/>
      <c r="H188" s="646"/>
      <c r="I188" s="653"/>
      <c r="J188" s="653"/>
      <c r="K188" s="653"/>
      <c r="L188" s="201"/>
      <c r="M188" s="647"/>
      <c r="N188" s="227"/>
      <c r="O188" s="227"/>
      <c r="P188" s="227"/>
      <c r="Q188" s="227"/>
      <c r="R188" s="227"/>
      <c r="S188" s="227"/>
      <c r="T188" s="227"/>
      <c r="U188" s="227"/>
    </row>
    <row r="189" spans="1:21" s="211" customFormat="1" ht="16.5" hidden="1">
      <c r="A189" s="227"/>
      <c r="B189" s="227"/>
      <c r="C189" s="227"/>
      <c r="D189" s="227"/>
      <c r="E189" s="210"/>
      <c r="F189" s="646"/>
      <c r="G189" s="652"/>
      <c r="H189" s="646"/>
      <c r="I189" s="653"/>
      <c r="J189" s="653"/>
      <c r="K189" s="653"/>
      <c r="L189" s="201"/>
      <c r="M189" s="647"/>
      <c r="N189" s="227"/>
      <c r="O189" s="227"/>
      <c r="P189" s="227"/>
      <c r="Q189" s="227"/>
      <c r="R189" s="227"/>
      <c r="S189" s="227"/>
      <c r="T189" s="227"/>
      <c r="U189" s="227"/>
    </row>
    <row r="190" spans="1:21" s="211" customFormat="1" ht="16.5" hidden="1">
      <c r="A190" s="227"/>
      <c r="B190" s="227"/>
      <c r="C190" s="227"/>
      <c r="D190" s="227"/>
      <c r="E190" s="210"/>
      <c r="F190" s="646"/>
      <c r="G190" s="652"/>
      <c r="H190" s="646"/>
      <c r="I190" s="653"/>
      <c r="J190" s="653"/>
      <c r="K190" s="653"/>
      <c r="L190" s="201"/>
      <c r="M190" s="647"/>
      <c r="N190" s="227"/>
      <c r="O190" s="227"/>
      <c r="P190" s="227"/>
      <c r="Q190" s="227"/>
      <c r="R190" s="227"/>
      <c r="S190" s="227"/>
      <c r="T190" s="227"/>
      <c r="U190" s="227"/>
    </row>
    <row r="191" spans="1:21" s="211" customFormat="1" ht="16.5" hidden="1">
      <c r="A191" s="227"/>
      <c r="B191" s="227"/>
      <c r="C191" s="227"/>
      <c r="D191" s="227"/>
      <c r="E191" s="210"/>
      <c r="F191" s="646"/>
      <c r="G191" s="652"/>
      <c r="H191" s="646"/>
      <c r="I191" s="653"/>
      <c r="J191" s="653"/>
      <c r="K191" s="653"/>
      <c r="L191" s="201"/>
      <c r="M191" s="647"/>
      <c r="N191" s="227"/>
      <c r="O191" s="227"/>
      <c r="P191" s="227"/>
      <c r="Q191" s="227"/>
      <c r="R191" s="227"/>
      <c r="S191" s="227"/>
      <c r="T191" s="227"/>
      <c r="U191" s="227"/>
    </row>
    <row r="192" spans="1:21" s="211" customFormat="1" ht="16.5" hidden="1">
      <c r="A192" s="227"/>
      <c r="B192" s="227"/>
      <c r="C192" s="227"/>
      <c r="D192" s="227"/>
      <c r="E192" s="210"/>
      <c r="F192" s="646"/>
      <c r="G192" s="652"/>
      <c r="H192" s="646"/>
      <c r="I192" s="653"/>
      <c r="J192" s="653"/>
      <c r="K192" s="653"/>
      <c r="L192" s="201"/>
      <c r="M192" s="647"/>
      <c r="N192" s="227"/>
      <c r="O192" s="227"/>
      <c r="P192" s="227"/>
      <c r="Q192" s="227"/>
      <c r="R192" s="227"/>
      <c r="S192" s="227"/>
      <c r="T192" s="227"/>
      <c r="U192" s="227"/>
    </row>
    <row r="193" spans="1:21" s="211" customFormat="1" ht="16.5" hidden="1">
      <c r="A193" s="227"/>
      <c r="B193" s="227"/>
      <c r="C193" s="227"/>
      <c r="D193" s="227"/>
      <c r="E193" s="210"/>
      <c r="F193" s="646"/>
      <c r="G193" s="652"/>
      <c r="H193" s="646"/>
      <c r="I193" s="653"/>
      <c r="J193" s="653"/>
      <c r="K193" s="653"/>
      <c r="L193" s="201"/>
      <c r="M193" s="647"/>
      <c r="N193" s="227"/>
      <c r="O193" s="227"/>
      <c r="P193" s="227"/>
      <c r="Q193" s="227"/>
      <c r="R193" s="227"/>
      <c r="S193" s="227"/>
      <c r="T193" s="227"/>
      <c r="U193" s="227"/>
    </row>
    <row r="194" spans="1:21" s="211" customFormat="1" ht="16.5" hidden="1">
      <c r="A194" s="227"/>
      <c r="B194" s="227"/>
      <c r="C194" s="227"/>
      <c r="D194" s="227"/>
      <c r="E194" s="210"/>
      <c r="F194" s="646"/>
      <c r="G194" s="652"/>
      <c r="H194" s="646"/>
      <c r="I194" s="653"/>
      <c r="J194" s="653"/>
      <c r="K194" s="653"/>
      <c r="L194" s="201"/>
      <c r="M194" s="647"/>
      <c r="N194" s="227"/>
      <c r="O194" s="227"/>
      <c r="P194" s="227"/>
      <c r="Q194" s="227"/>
      <c r="R194" s="227"/>
      <c r="S194" s="227"/>
      <c r="T194" s="227"/>
      <c r="U194" s="227"/>
    </row>
    <row r="195" spans="1:21" s="211" customFormat="1" ht="16.5" hidden="1">
      <c r="A195" s="227"/>
      <c r="B195" s="227"/>
      <c r="C195" s="227"/>
      <c r="D195" s="227"/>
      <c r="E195" s="210"/>
      <c r="F195" s="646"/>
      <c r="G195" s="652"/>
      <c r="H195" s="646"/>
      <c r="I195" s="653"/>
      <c r="J195" s="653"/>
      <c r="K195" s="653"/>
      <c r="L195" s="201"/>
      <c r="M195" s="647"/>
      <c r="N195" s="227"/>
      <c r="O195" s="227"/>
      <c r="P195" s="227"/>
      <c r="Q195" s="227"/>
      <c r="R195" s="227"/>
      <c r="S195" s="227"/>
      <c r="T195" s="227"/>
      <c r="U195" s="227"/>
    </row>
    <row r="196" spans="1:21" s="211" customFormat="1" ht="16.5" hidden="1">
      <c r="A196" s="227"/>
      <c r="B196" s="227"/>
      <c r="C196" s="227"/>
      <c r="D196" s="227"/>
      <c r="E196" s="210"/>
      <c r="F196" s="646"/>
      <c r="G196" s="652"/>
      <c r="H196" s="646"/>
      <c r="I196" s="653"/>
      <c r="J196" s="653"/>
      <c r="K196" s="653"/>
      <c r="L196" s="201"/>
      <c r="M196" s="647"/>
      <c r="N196" s="227"/>
      <c r="O196" s="227"/>
      <c r="P196" s="227"/>
      <c r="Q196" s="227"/>
      <c r="R196" s="227"/>
      <c r="S196" s="227"/>
      <c r="T196" s="227"/>
      <c r="U196" s="227"/>
    </row>
    <row r="197" spans="1:21" s="211" customFormat="1" ht="16.5" hidden="1">
      <c r="A197" s="227"/>
      <c r="B197" s="227"/>
      <c r="C197" s="227"/>
      <c r="D197" s="227"/>
      <c r="E197" s="210"/>
      <c r="F197" s="646"/>
      <c r="G197" s="652"/>
      <c r="H197" s="646"/>
      <c r="I197" s="653"/>
      <c r="J197" s="653"/>
      <c r="K197" s="653"/>
      <c r="L197" s="201"/>
      <c r="M197" s="647"/>
      <c r="N197" s="227"/>
      <c r="O197" s="227"/>
      <c r="P197" s="227"/>
      <c r="Q197" s="227"/>
      <c r="R197" s="227"/>
      <c r="S197" s="227"/>
      <c r="T197" s="227"/>
      <c r="U197" s="227"/>
    </row>
    <row r="198" spans="1:21" s="211" customFormat="1" ht="16.5" hidden="1">
      <c r="A198" s="227"/>
      <c r="B198" s="227"/>
      <c r="C198" s="227"/>
      <c r="D198" s="227"/>
      <c r="E198" s="210"/>
      <c r="F198" s="646"/>
      <c r="G198" s="652"/>
      <c r="H198" s="646"/>
      <c r="I198" s="653"/>
      <c r="J198" s="653"/>
      <c r="K198" s="653"/>
      <c r="L198" s="201"/>
      <c r="M198" s="647"/>
      <c r="N198" s="227"/>
      <c r="O198" s="227"/>
      <c r="P198" s="227"/>
      <c r="Q198" s="227"/>
      <c r="R198" s="227"/>
      <c r="S198" s="227"/>
      <c r="T198" s="227"/>
      <c r="U198" s="227"/>
    </row>
    <row r="199" spans="1:21" s="211" customFormat="1" ht="16.5" hidden="1">
      <c r="A199" s="227"/>
      <c r="B199" s="227"/>
      <c r="C199" s="227"/>
      <c r="D199" s="227"/>
      <c r="E199" s="210"/>
      <c r="F199" s="646"/>
      <c r="G199" s="652"/>
      <c r="H199" s="646"/>
      <c r="I199" s="653"/>
      <c r="J199" s="653"/>
      <c r="K199" s="653"/>
      <c r="L199" s="201"/>
      <c r="M199" s="647"/>
      <c r="N199" s="227"/>
      <c r="O199" s="227"/>
      <c r="P199" s="227"/>
      <c r="Q199" s="227"/>
      <c r="R199" s="227"/>
      <c r="S199" s="227"/>
      <c r="T199" s="227"/>
      <c r="U199" s="227"/>
    </row>
    <row r="200" spans="1:21" s="211" customFormat="1" ht="16.5" hidden="1">
      <c r="A200" s="227"/>
      <c r="B200" s="227"/>
      <c r="C200" s="227"/>
      <c r="D200" s="227"/>
      <c r="E200" s="210"/>
      <c r="F200" s="646"/>
      <c r="G200" s="652"/>
      <c r="H200" s="646"/>
      <c r="I200" s="653"/>
      <c r="J200" s="653"/>
      <c r="K200" s="653"/>
      <c r="L200" s="201"/>
      <c r="M200" s="647"/>
      <c r="N200" s="227"/>
      <c r="O200" s="227"/>
      <c r="P200" s="227"/>
      <c r="Q200" s="227"/>
      <c r="R200" s="227"/>
      <c r="S200" s="227"/>
      <c r="T200" s="227"/>
      <c r="U200" s="227"/>
    </row>
    <row r="201" spans="1:21" s="211" customFormat="1" ht="16.5" hidden="1">
      <c r="A201" s="227"/>
      <c r="B201" s="227"/>
      <c r="C201" s="227"/>
      <c r="D201" s="227"/>
      <c r="E201" s="210"/>
      <c r="F201" s="646"/>
      <c r="G201" s="652"/>
      <c r="H201" s="646"/>
      <c r="I201" s="653"/>
      <c r="J201" s="653"/>
      <c r="K201" s="653"/>
      <c r="L201" s="201"/>
      <c r="M201" s="647"/>
      <c r="N201" s="227"/>
      <c r="O201" s="227"/>
      <c r="P201" s="227"/>
      <c r="Q201" s="227"/>
      <c r="R201" s="227"/>
      <c r="S201" s="227"/>
      <c r="T201" s="227"/>
      <c r="U201" s="227"/>
    </row>
    <row r="202" spans="1:21" s="211" customFormat="1" ht="16.5" hidden="1">
      <c r="A202" s="227"/>
      <c r="B202" s="227"/>
      <c r="C202" s="227"/>
      <c r="D202" s="227"/>
      <c r="E202" s="210"/>
      <c r="F202" s="646"/>
      <c r="G202" s="652"/>
      <c r="H202" s="646"/>
      <c r="I202" s="653"/>
      <c r="J202" s="653"/>
      <c r="K202" s="653"/>
      <c r="L202" s="201"/>
      <c r="M202" s="647"/>
      <c r="N202" s="227"/>
      <c r="O202" s="227"/>
      <c r="P202" s="227"/>
      <c r="Q202" s="227"/>
      <c r="R202" s="227"/>
      <c r="S202" s="227"/>
      <c r="T202" s="227"/>
      <c r="U202" s="227"/>
    </row>
    <row r="203" spans="1:21" s="211" customFormat="1" ht="16.5" hidden="1">
      <c r="A203" s="227"/>
      <c r="B203" s="227"/>
      <c r="C203" s="227"/>
      <c r="D203" s="227"/>
      <c r="E203" s="210"/>
      <c r="F203" s="646"/>
      <c r="G203" s="652"/>
      <c r="H203" s="646"/>
      <c r="I203" s="653"/>
      <c r="J203" s="653"/>
      <c r="K203" s="653"/>
      <c r="L203" s="201"/>
      <c r="M203" s="647"/>
      <c r="N203" s="227"/>
      <c r="O203" s="227"/>
      <c r="P203" s="227"/>
      <c r="Q203" s="227"/>
      <c r="R203" s="227"/>
      <c r="S203" s="227"/>
      <c r="T203" s="227"/>
      <c r="U203" s="227"/>
    </row>
    <row r="204" spans="1:21" s="211" customFormat="1" ht="16.5" hidden="1">
      <c r="A204" s="227"/>
      <c r="B204" s="227"/>
      <c r="C204" s="227"/>
      <c r="D204" s="227"/>
      <c r="E204" s="210"/>
      <c r="F204" s="646"/>
      <c r="G204" s="652"/>
      <c r="H204" s="646"/>
      <c r="I204" s="653"/>
      <c r="J204" s="653"/>
      <c r="K204" s="653"/>
      <c r="L204" s="201"/>
      <c r="M204" s="647"/>
      <c r="N204" s="227"/>
      <c r="O204" s="227"/>
      <c r="P204" s="227"/>
      <c r="Q204" s="227"/>
      <c r="R204" s="227"/>
      <c r="S204" s="227"/>
      <c r="T204" s="227"/>
      <c r="U204" s="227"/>
    </row>
    <row r="205" spans="1:21" s="211" customFormat="1" ht="16.5" hidden="1">
      <c r="A205" s="227"/>
      <c r="B205" s="227"/>
      <c r="C205" s="227"/>
      <c r="D205" s="227"/>
      <c r="E205" s="210"/>
      <c r="F205" s="646"/>
      <c r="G205" s="652"/>
      <c r="H205" s="646"/>
      <c r="I205" s="653"/>
      <c r="J205" s="653"/>
      <c r="K205" s="653"/>
      <c r="L205" s="201"/>
      <c r="M205" s="647"/>
      <c r="N205" s="227"/>
      <c r="O205" s="227"/>
      <c r="P205" s="227"/>
      <c r="Q205" s="227"/>
      <c r="R205" s="227"/>
      <c r="S205" s="227"/>
      <c r="T205" s="227"/>
      <c r="U205" s="227"/>
    </row>
    <row r="206" spans="1:21" s="211" customFormat="1" ht="16.5" hidden="1">
      <c r="A206" s="227"/>
      <c r="B206" s="227"/>
      <c r="C206" s="227"/>
      <c r="D206" s="227"/>
      <c r="E206" s="210"/>
      <c r="F206" s="624"/>
      <c r="G206" s="625"/>
      <c r="H206" s="626"/>
      <c r="I206" s="654"/>
      <c r="J206" s="654"/>
      <c r="K206" s="654"/>
      <c r="L206" s="201"/>
      <c r="M206" s="647"/>
      <c r="N206" s="227"/>
      <c r="O206" s="227"/>
      <c r="P206" s="227"/>
      <c r="Q206" s="227"/>
      <c r="R206" s="227"/>
      <c r="S206" s="227"/>
      <c r="T206" s="227"/>
      <c r="U206" s="227"/>
    </row>
    <row r="207" spans="1:21" s="211" customFormat="1" ht="16.5" hidden="1">
      <c r="A207" s="227"/>
      <c r="B207" s="227"/>
      <c r="C207" s="227"/>
      <c r="D207" s="227"/>
      <c r="E207" s="210"/>
      <c r="F207" s="624"/>
      <c r="G207" s="625"/>
      <c r="H207" s="626"/>
      <c r="I207" s="654"/>
      <c r="J207" s="654"/>
      <c r="K207" s="654"/>
      <c r="L207" s="201"/>
      <c r="M207" s="647"/>
      <c r="N207" s="227"/>
      <c r="O207" s="227"/>
      <c r="P207" s="227"/>
      <c r="Q207" s="227"/>
      <c r="R207" s="227"/>
      <c r="S207" s="227"/>
      <c r="T207" s="227"/>
      <c r="U207" s="227"/>
    </row>
    <row r="208" spans="1:21" s="211" customFormat="1" ht="16.5" hidden="1">
      <c r="A208" s="227"/>
      <c r="B208" s="227"/>
      <c r="C208" s="227"/>
      <c r="D208" s="227"/>
      <c r="E208" s="210"/>
      <c r="F208" s="624"/>
      <c r="G208" s="625"/>
      <c r="H208" s="626"/>
      <c r="I208" s="654"/>
      <c r="J208" s="654"/>
      <c r="K208" s="654"/>
      <c r="L208" s="201"/>
      <c r="M208" s="647"/>
      <c r="N208" s="227"/>
      <c r="O208" s="227"/>
      <c r="P208" s="227"/>
      <c r="Q208" s="227"/>
      <c r="R208" s="227"/>
      <c r="S208" s="227"/>
      <c r="T208" s="227"/>
      <c r="U208" s="227"/>
    </row>
    <row r="209" spans="1:21" s="211" customFormat="1" ht="16.5" hidden="1">
      <c r="A209" s="227"/>
      <c r="B209" s="227"/>
      <c r="C209" s="227"/>
      <c r="D209" s="227"/>
      <c r="E209" s="210"/>
      <c r="F209" s="624"/>
      <c r="G209" s="625"/>
      <c r="H209" s="626"/>
      <c r="I209" s="654"/>
      <c r="J209" s="654"/>
      <c r="K209" s="654"/>
      <c r="L209" s="201"/>
      <c r="M209" s="647"/>
      <c r="N209" s="227"/>
      <c r="O209" s="227"/>
      <c r="P209" s="227"/>
      <c r="Q209" s="227"/>
      <c r="R209" s="227"/>
      <c r="S209" s="227"/>
      <c r="T209" s="227"/>
      <c r="U209" s="227"/>
    </row>
    <row r="210" spans="1:21" s="211" customFormat="1" ht="16.5" hidden="1">
      <c r="A210" s="227"/>
      <c r="B210" s="227"/>
      <c r="C210" s="227"/>
      <c r="D210" s="227"/>
      <c r="E210" s="210"/>
      <c r="F210" s="624"/>
      <c r="G210" s="625"/>
      <c r="H210" s="626"/>
      <c r="I210" s="654"/>
      <c r="J210" s="654"/>
      <c r="K210" s="654"/>
      <c r="L210" s="201"/>
      <c r="M210" s="647"/>
      <c r="N210" s="227"/>
      <c r="O210" s="227"/>
      <c r="P210" s="227"/>
      <c r="Q210" s="227"/>
      <c r="R210" s="227"/>
      <c r="S210" s="227"/>
      <c r="T210" s="227"/>
      <c r="U210" s="227"/>
    </row>
    <row r="211" spans="1:21" s="211" customFormat="1" ht="16.5" hidden="1">
      <c r="A211" s="227"/>
      <c r="B211" s="227"/>
      <c r="C211" s="227"/>
      <c r="D211" s="227"/>
      <c r="E211" s="210"/>
      <c r="F211" s="624"/>
      <c r="G211" s="625"/>
      <c r="H211" s="626"/>
      <c r="I211" s="654"/>
      <c r="J211" s="654"/>
      <c r="K211" s="654"/>
      <c r="L211" s="201"/>
      <c r="M211" s="647"/>
      <c r="N211" s="227"/>
      <c r="O211" s="227"/>
      <c r="P211" s="227"/>
      <c r="Q211" s="227"/>
      <c r="R211" s="227"/>
      <c r="S211" s="227"/>
      <c r="T211" s="227"/>
      <c r="U211" s="227"/>
    </row>
    <row r="212" spans="1:21" s="211" customFormat="1" ht="16.5" hidden="1">
      <c r="A212" s="227"/>
      <c r="B212" s="227"/>
      <c r="C212" s="227"/>
      <c r="D212" s="227"/>
      <c r="E212" s="210"/>
      <c r="F212" s="624"/>
      <c r="G212" s="625"/>
      <c r="H212" s="626"/>
      <c r="I212" s="654"/>
      <c r="J212" s="654"/>
      <c r="K212" s="654"/>
      <c r="L212" s="201"/>
      <c r="M212" s="647"/>
      <c r="N212" s="227"/>
      <c r="O212" s="227"/>
      <c r="P212" s="227"/>
      <c r="Q212" s="227"/>
      <c r="R212" s="227"/>
      <c r="S212" s="227"/>
      <c r="T212" s="227"/>
      <c r="U212" s="227"/>
    </row>
    <row r="213" spans="1:21" s="211" customFormat="1" ht="16.5" hidden="1">
      <c r="A213" s="227"/>
      <c r="B213" s="227"/>
      <c r="C213" s="227"/>
      <c r="D213" s="227"/>
      <c r="E213" s="210"/>
      <c r="F213" s="624"/>
      <c r="G213" s="625"/>
      <c r="H213" s="626"/>
      <c r="I213" s="654"/>
      <c r="J213" s="654"/>
      <c r="K213" s="654"/>
      <c r="L213" s="201"/>
      <c r="M213" s="647"/>
      <c r="N213" s="227"/>
      <c r="O213" s="227"/>
      <c r="P213" s="227"/>
      <c r="Q213" s="227"/>
      <c r="R213" s="227"/>
      <c r="S213" s="227"/>
      <c r="T213" s="227"/>
      <c r="U213" s="227"/>
    </row>
    <row r="214" spans="1:21" s="211" customFormat="1" ht="16.5" hidden="1">
      <c r="A214" s="227"/>
      <c r="B214" s="227"/>
      <c r="C214" s="227"/>
      <c r="D214" s="227"/>
      <c r="E214" s="210"/>
      <c r="F214" s="624"/>
      <c r="G214" s="625"/>
      <c r="H214" s="626"/>
      <c r="I214" s="654"/>
      <c r="J214" s="654"/>
      <c r="K214" s="654"/>
      <c r="L214" s="201"/>
      <c r="M214" s="647"/>
      <c r="N214" s="227"/>
      <c r="O214" s="227"/>
      <c r="P214" s="227"/>
      <c r="Q214" s="227"/>
      <c r="R214" s="227"/>
      <c r="S214" s="227"/>
      <c r="T214" s="227"/>
      <c r="U214" s="227"/>
    </row>
    <row r="215" spans="1:21" s="211" customFormat="1" ht="16.5">
      <c r="A215" s="227"/>
      <c r="B215" s="227"/>
      <c r="C215" s="227"/>
      <c r="D215" s="227"/>
      <c r="E215" s="210"/>
      <c r="F215" s="671"/>
      <c r="G215" s="310"/>
      <c r="H215" s="313"/>
      <c r="I215" s="688"/>
      <c r="J215" s="688"/>
      <c r="K215" s="688"/>
      <c r="L215" s="201"/>
      <c r="M215" s="647"/>
      <c r="N215" s="227"/>
      <c r="O215" s="227"/>
      <c r="P215" s="227"/>
      <c r="Q215" s="227"/>
      <c r="R215" s="227"/>
      <c r="S215" s="227"/>
      <c r="T215" s="227"/>
      <c r="U215" s="227"/>
    </row>
    <row r="216" spans="1:21" s="211" customFormat="1" ht="20.25" customHeight="1">
      <c r="A216" s="227"/>
      <c r="B216" s="227"/>
      <c r="C216" s="227"/>
      <c r="D216" s="227"/>
      <c r="E216" s="223" t="str">
        <f>IF(E45&lt;&gt;"","7/","6/")</f>
        <v>7/</v>
      </c>
      <c r="F216" s="692" t="s">
        <v>4338</v>
      </c>
      <c r="G216" s="224"/>
      <c r="H216" s="224"/>
      <c r="I216" s="224"/>
      <c r="J216" s="224"/>
      <c r="K216" s="210"/>
      <c r="L216" s="210"/>
      <c r="M216" s="227"/>
      <c r="N216" s="227"/>
      <c r="O216" s="227"/>
      <c r="P216" s="227"/>
      <c r="Q216" s="227"/>
      <c r="R216" s="227"/>
      <c r="S216" s="227"/>
      <c r="T216" s="227"/>
      <c r="U216" s="227"/>
    </row>
    <row r="217" spans="1:21" s="211" customFormat="1" ht="20.25" customHeight="1">
      <c r="A217" s="227"/>
      <c r="B217" s="227"/>
      <c r="C217" s="227"/>
      <c r="D217" s="227"/>
      <c r="E217" s="223" t="str">
        <f>IF(E45&lt;&gt;"","8/","7/")</f>
        <v>8/</v>
      </c>
      <c r="F217" s="692" t="s">
        <v>4390</v>
      </c>
      <c r="G217" s="225"/>
      <c r="H217" s="225"/>
      <c r="I217" s="225"/>
      <c r="J217" s="225"/>
      <c r="K217" s="210"/>
      <c r="L217" s="210"/>
      <c r="M217" s="227"/>
      <c r="N217" s="227"/>
      <c r="O217" s="227"/>
      <c r="P217" s="227"/>
      <c r="Q217" s="227"/>
      <c r="R217" s="227"/>
      <c r="S217" s="227"/>
      <c r="T217" s="227"/>
      <c r="U217" s="227"/>
    </row>
    <row r="218" spans="1:21" ht="16.5">
      <c r="A218" s="227"/>
      <c r="B218" s="227"/>
      <c r="C218" s="227"/>
      <c r="D218" s="227"/>
      <c r="E218" s="1635" t="s">
        <v>446</v>
      </c>
      <c r="F218" s="1635"/>
      <c r="G218" s="1635"/>
      <c r="H218" s="256"/>
      <c r="I218" s="1635" t="s">
        <v>447</v>
      </c>
      <c r="J218" s="1635"/>
      <c r="K218" s="1635"/>
      <c r="L218" s="1635"/>
      <c r="M218" s="227"/>
      <c r="N218" s="227"/>
      <c r="O218" s="227"/>
      <c r="P218" s="227"/>
      <c r="Q218" s="227"/>
      <c r="R218" s="227"/>
      <c r="S218" s="227"/>
      <c r="T218" s="227"/>
      <c r="U218" s="227"/>
    </row>
    <row r="219" spans="1:21" ht="16.5">
      <c r="A219" s="227"/>
      <c r="B219" s="227"/>
      <c r="C219" s="227"/>
      <c r="D219" s="227"/>
      <c r="E219" s="224"/>
      <c r="F219" s="224"/>
      <c r="G219" s="226"/>
      <c r="H219" s="226"/>
      <c r="I219" s="224"/>
      <c r="J219" s="224"/>
      <c r="K219" s="224"/>
      <c r="L219" s="224"/>
      <c r="M219" s="227"/>
      <c r="N219" s="227"/>
      <c r="O219" s="227"/>
      <c r="P219" s="227"/>
      <c r="Q219" s="227"/>
      <c r="R219" s="227"/>
      <c r="S219" s="227"/>
      <c r="T219" s="227"/>
      <c r="U219" s="227"/>
    </row>
    <row r="220" spans="1:21" ht="16.5">
      <c r="A220" s="227"/>
      <c r="B220" s="227"/>
      <c r="C220" s="227"/>
      <c r="D220" s="227"/>
      <c r="E220" s="224"/>
      <c r="F220" s="224"/>
      <c r="G220" s="226"/>
      <c r="H220" s="226"/>
      <c r="I220" s="224"/>
      <c r="J220" s="224"/>
      <c r="K220" s="224"/>
      <c r="L220" s="224"/>
      <c r="M220" s="227"/>
      <c r="N220" s="227"/>
      <c r="O220" s="227"/>
      <c r="P220" s="227"/>
      <c r="Q220" s="227"/>
      <c r="R220" s="227"/>
      <c r="S220" s="227"/>
      <c r="T220" s="227"/>
      <c r="U220" s="227"/>
    </row>
    <row r="221" spans="1:21" ht="16.5">
      <c r="A221" s="227"/>
      <c r="B221" s="227"/>
      <c r="C221" s="227"/>
      <c r="D221" s="227"/>
      <c r="E221" s="224"/>
      <c r="F221" s="224"/>
      <c r="G221" s="226"/>
      <c r="H221" s="226"/>
      <c r="I221" s="224"/>
      <c r="J221" s="224"/>
      <c r="K221" s="224"/>
      <c r="L221" s="224"/>
      <c r="M221" s="227"/>
      <c r="N221" s="227"/>
      <c r="O221" s="227"/>
      <c r="P221" s="227"/>
      <c r="Q221" s="227"/>
      <c r="R221" s="227"/>
      <c r="S221" s="227"/>
      <c r="T221" s="227"/>
      <c r="U221" s="227"/>
    </row>
    <row r="222" spans="1:21" ht="16.5">
      <c r="A222" s="227"/>
      <c r="B222" s="227"/>
      <c r="C222" s="227"/>
      <c r="D222" s="227"/>
      <c r="E222" s="224"/>
      <c r="F222" s="224"/>
      <c r="G222" s="224"/>
      <c r="H222" s="224"/>
      <c r="I222" s="224"/>
      <c r="J222" s="224"/>
      <c r="K222" s="224"/>
      <c r="L222" s="224"/>
      <c r="M222" s="227"/>
      <c r="N222" s="227"/>
      <c r="O222" s="227"/>
      <c r="P222" s="227"/>
      <c r="Q222" s="227"/>
      <c r="R222" s="227"/>
      <c r="S222" s="227"/>
      <c r="T222" s="227"/>
      <c r="U222" s="227"/>
    </row>
    <row r="223" spans="1:21" ht="16.5">
      <c r="A223" s="227"/>
      <c r="B223" s="227"/>
      <c r="C223" s="227"/>
      <c r="D223" s="227"/>
      <c r="E223" s="1635" t="str">
        <f>CBGS1</f>
        <v>Trần Trọng Liêm</v>
      </c>
      <c r="F223" s="1635"/>
      <c r="G223" s="1635"/>
      <c r="H223" s="256"/>
      <c r="I223" s="1635" t="str">
        <f>CBKT1</f>
        <v>Hoàng Đình Tảng</v>
      </c>
      <c r="J223" s="1635"/>
      <c r="K223" s="1635"/>
      <c r="L223" s="1635"/>
      <c r="M223" s="227"/>
      <c r="N223" s="227"/>
      <c r="O223" s="227"/>
      <c r="P223" s="227"/>
      <c r="Q223" s="227"/>
      <c r="R223" s="227"/>
      <c r="S223" s="227"/>
      <c r="T223" s="227"/>
      <c r="U223" s="227"/>
    </row>
    <row r="224" spans="1:21" ht="16.5">
      <c r="A224" s="227"/>
      <c r="B224" s="227"/>
      <c r="C224" s="227"/>
      <c r="D224" s="227"/>
      <c r="E224" s="227"/>
      <c r="F224" s="227"/>
      <c r="G224" s="227"/>
      <c r="H224" s="227"/>
      <c r="I224" s="227"/>
      <c r="J224" s="227"/>
      <c r="K224" s="227"/>
      <c r="L224" s="227"/>
      <c r="M224" s="227"/>
      <c r="N224" s="227"/>
      <c r="O224" s="227"/>
      <c r="P224" s="227"/>
      <c r="Q224" s="227"/>
      <c r="R224" s="227"/>
      <c r="S224" s="227"/>
      <c r="T224" s="227"/>
      <c r="U224" s="227"/>
    </row>
    <row r="225" spans="1:21" ht="16.5">
      <c r="A225" s="227"/>
      <c r="B225" s="227"/>
      <c r="C225" s="227"/>
      <c r="D225" s="227"/>
      <c r="E225" s="227"/>
      <c r="F225" s="227"/>
      <c r="G225" s="227"/>
      <c r="H225" s="227"/>
      <c r="I225" s="227"/>
      <c r="J225" s="227"/>
      <c r="K225" s="227"/>
      <c r="L225" s="227"/>
      <c r="M225" s="227"/>
      <c r="N225" s="227"/>
      <c r="O225" s="227"/>
      <c r="P225" s="227"/>
      <c r="Q225" s="227"/>
      <c r="R225" s="227"/>
      <c r="S225" s="227"/>
      <c r="T225" s="227"/>
      <c r="U225" s="227"/>
    </row>
    <row r="226" spans="1:21" ht="16.5">
      <c r="A226" s="227"/>
      <c r="B226" s="227"/>
      <c r="C226" s="227"/>
      <c r="D226" s="227"/>
      <c r="E226" s="227"/>
      <c r="F226" s="227"/>
      <c r="G226" s="227"/>
      <c r="H226" s="227"/>
      <c r="I226" s="227"/>
      <c r="J226" s="227"/>
      <c r="K226" s="227"/>
      <c r="L226" s="227"/>
      <c r="M226" s="227"/>
      <c r="N226" s="227"/>
      <c r="O226" s="227"/>
      <c r="P226" s="227"/>
      <c r="Q226" s="227"/>
      <c r="R226" s="227"/>
      <c r="S226" s="227"/>
      <c r="T226" s="227"/>
      <c r="U226" s="227"/>
    </row>
    <row r="227" spans="1:21" ht="16.5">
      <c r="A227" s="227"/>
      <c r="B227" s="227"/>
      <c r="C227" s="227"/>
      <c r="D227" s="227"/>
      <c r="E227" s="227"/>
      <c r="F227" s="227"/>
      <c r="G227" s="227"/>
      <c r="H227" s="227"/>
      <c r="I227" s="227"/>
      <c r="J227" s="227"/>
      <c r="K227" s="227"/>
      <c r="L227" s="227"/>
      <c r="M227" s="227"/>
      <c r="N227" s="227"/>
      <c r="O227" s="227"/>
      <c r="P227" s="227"/>
      <c r="Q227" s="227"/>
      <c r="R227" s="227"/>
      <c r="S227" s="227"/>
      <c r="T227" s="227"/>
      <c r="U227" s="227"/>
    </row>
    <row r="228" spans="1:21" ht="16.5">
      <c r="A228" s="227"/>
      <c r="B228" s="227"/>
      <c r="C228" s="227"/>
      <c r="D228" s="227"/>
      <c r="E228" s="227"/>
      <c r="F228" s="227"/>
      <c r="G228" s="227"/>
      <c r="H228" s="227"/>
      <c r="I228" s="227"/>
      <c r="J228" s="227"/>
      <c r="K228" s="227"/>
      <c r="L228" s="227"/>
      <c r="M228" s="227"/>
      <c r="N228" s="227"/>
      <c r="O228" s="227"/>
      <c r="P228" s="227"/>
      <c r="Q228" s="227"/>
      <c r="R228" s="227"/>
      <c r="S228" s="227"/>
      <c r="T228" s="227"/>
      <c r="U228" s="227"/>
    </row>
    <row r="229" spans="1:21" ht="16.5">
      <c r="A229" s="227"/>
      <c r="B229" s="227"/>
      <c r="C229" s="227"/>
      <c r="D229" s="227"/>
      <c r="E229" s="227"/>
      <c r="F229" s="227"/>
      <c r="G229" s="227"/>
      <c r="H229" s="227"/>
      <c r="I229" s="227"/>
      <c r="J229" s="227"/>
      <c r="K229" s="227"/>
      <c r="L229" s="227"/>
      <c r="M229" s="227"/>
      <c r="N229" s="227"/>
      <c r="O229" s="227"/>
      <c r="P229" s="227"/>
      <c r="Q229" s="227"/>
      <c r="R229" s="227"/>
      <c r="S229" s="227"/>
      <c r="T229" s="227"/>
      <c r="U229" s="227"/>
    </row>
    <row r="230" spans="1:21" ht="16.5">
      <c r="A230" s="227"/>
      <c r="B230" s="227"/>
      <c r="C230" s="227"/>
      <c r="D230" s="227"/>
      <c r="E230" s="227"/>
      <c r="F230" s="227"/>
      <c r="G230" s="227"/>
      <c r="H230" s="227"/>
      <c r="I230" s="227"/>
      <c r="J230" s="227"/>
      <c r="K230" s="227"/>
      <c r="L230" s="227"/>
      <c r="M230" s="227"/>
      <c r="N230" s="227"/>
      <c r="O230" s="227"/>
      <c r="P230" s="227"/>
      <c r="Q230" s="227"/>
      <c r="R230" s="227"/>
      <c r="S230" s="227"/>
      <c r="T230" s="227"/>
      <c r="U230" s="227"/>
    </row>
    <row r="231" spans="1:21" ht="16.5">
      <c r="A231" s="227"/>
      <c r="B231" s="227"/>
      <c r="C231" s="227"/>
      <c r="D231" s="227"/>
      <c r="E231" s="227"/>
      <c r="F231" s="227"/>
      <c r="G231" s="227"/>
      <c r="H231" s="227"/>
      <c r="I231" s="227"/>
      <c r="J231" s="227"/>
      <c r="K231" s="227"/>
      <c r="L231" s="227"/>
      <c r="M231" s="227"/>
      <c r="N231" s="227"/>
      <c r="O231" s="227"/>
      <c r="P231" s="227"/>
      <c r="Q231" s="227"/>
      <c r="R231" s="227"/>
      <c r="S231" s="227"/>
      <c r="T231" s="227"/>
      <c r="U231" s="227"/>
    </row>
    <row r="232" spans="1:21" ht="16.5">
      <c r="A232" s="227"/>
      <c r="B232" s="227"/>
      <c r="C232" s="227"/>
      <c r="D232" s="227"/>
      <c r="E232" s="227"/>
      <c r="F232" s="227"/>
      <c r="G232" s="227"/>
      <c r="H232" s="227"/>
      <c r="I232" s="227"/>
      <c r="J232" s="227"/>
      <c r="K232" s="227"/>
      <c r="L232" s="227"/>
      <c r="M232" s="227"/>
      <c r="N232" s="227"/>
      <c r="O232" s="227"/>
      <c r="P232" s="227"/>
      <c r="Q232" s="227"/>
      <c r="R232" s="227"/>
      <c r="S232" s="227"/>
      <c r="T232" s="227"/>
      <c r="U232" s="227"/>
    </row>
    <row r="233" spans="1:21" ht="16.5">
      <c r="A233" s="227"/>
      <c r="B233" s="227"/>
      <c r="C233" s="227"/>
      <c r="D233" s="227"/>
      <c r="E233" s="227"/>
      <c r="F233" s="227"/>
      <c r="G233" s="227"/>
      <c r="H233" s="227"/>
      <c r="I233" s="227"/>
      <c r="J233" s="227"/>
      <c r="K233" s="227"/>
      <c r="L233" s="227"/>
      <c r="M233" s="227"/>
      <c r="N233" s="227"/>
      <c r="O233" s="227"/>
      <c r="P233" s="227"/>
      <c r="Q233" s="227"/>
      <c r="R233" s="227"/>
      <c r="S233" s="227"/>
      <c r="T233" s="227"/>
      <c r="U233" s="227"/>
    </row>
    <row r="234" spans="1:21" ht="16.5">
      <c r="A234" s="227"/>
      <c r="B234" s="227"/>
      <c r="C234" s="227"/>
      <c r="D234" s="227"/>
      <c r="E234" s="227"/>
      <c r="F234" s="227"/>
      <c r="G234" s="227"/>
      <c r="H234" s="227"/>
      <c r="I234" s="227"/>
      <c r="J234" s="227"/>
      <c r="K234" s="227"/>
      <c r="L234" s="227"/>
      <c r="M234" s="227"/>
      <c r="N234" s="227"/>
      <c r="O234" s="227"/>
      <c r="P234" s="227"/>
      <c r="Q234" s="227"/>
      <c r="R234" s="227"/>
      <c r="S234" s="227"/>
      <c r="T234" s="227"/>
      <c r="U234" s="227"/>
    </row>
    <row r="235" spans="1:21" ht="16.5">
      <c r="A235" s="227"/>
      <c r="B235" s="227"/>
      <c r="C235" s="227"/>
      <c r="D235" s="227"/>
      <c r="E235" s="227"/>
      <c r="F235" s="227"/>
      <c r="G235" s="227"/>
      <c r="H235" s="227"/>
      <c r="I235" s="227"/>
      <c r="J235" s="227"/>
      <c r="K235" s="227"/>
      <c r="L235" s="227"/>
      <c r="M235" s="227"/>
      <c r="N235" s="227"/>
      <c r="O235" s="227"/>
      <c r="P235" s="227"/>
      <c r="Q235" s="227"/>
      <c r="R235" s="227"/>
      <c r="S235" s="227"/>
      <c r="T235" s="227"/>
      <c r="U235" s="227"/>
    </row>
    <row r="236" spans="1:21" ht="16.5">
      <c r="A236" s="227"/>
      <c r="B236" s="227"/>
      <c r="C236" s="227"/>
      <c r="D236" s="227"/>
      <c r="E236" s="227"/>
      <c r="F236" s="227"/>
      <c r="G236" s="227"/>
      <c r="H236" s="227"/>
      <c r="I236" s="227"/>
      <c r="J236" s="227"/>
      <c r="K236" s="227"/>
      <c r="L236" s="227"/>
      <c r="M236" s="227"/>
      <c r="N236" s="227"/>
      <c r="O236" s="227"/>
      <c r="P236" s="227"/>
      <c r="Q236" s="227"/>
      <c r="R236" s="227"/>
      <c r="S236" s="227"/>
      <c r="T236" s="227"/>
      <c r="U236" s="227"/>
    </row>
    <row r="237" spans="1:21" ht="16.5">
      <c r="A237" s="227"/>
      <c r="B237" s="227"/>
      <c r="C237" s="227"/>
      <c r="D237" s="227"/>
      <c r="E237" s="227"/>
      <c r="F237" s="227"/>
      <c r="G237" s="227"/>
      <c r="H237" s="227"/>
      <c r="I237" s="227"/>
      <c r="J237" s="227"/>
      <c r="K237" s="227"/>
      <c r="L237" s="227"/>
      <c r="M237" s="227"/>
      <c r="N237" s="227"/>
      <c r="O237" s="227"/>
      <c r="P237" s="227"/>
      <c r="Q237" s="227"/>
      <c r="R237" s="227"/>
      <c r="S237" s="227"/>
      <c r="T237" s="227"/>
      <c r="U237" s="227"/>
    </row>
    <row r="238" spans="1:21" ht="16.5">
      <c r="A238" s="227"/>
      <c r="B238" s="227"/>
      <c r="C238" s="227"/>
      <c r="D238" s="227"/>
      <c r="E238" s="227"/>
      <c r="F238" s="227"/>
      <c r="G238" s="227"/>
      <c r="H238" s="227"/>
      <c r="I238" s="227"/>
      <c r="J238" s="227"/>
      <c r="K238" s="227"/>
      <c r="L238" s="227"/>
      <c r="M238" s="227"/>
      <c r="N238" s="227"/>
      <c r="O238" s="227"/>
      <c r="P238" s="227"/>
      <c r="Q238" s="227"/>
      <c r="R238" s="227"/>
      <c r="S238" s="227"/>
      <c r="T238" s="227"/>
      <c r="U238" s="227"/>
    </row>
  </sheetData>
  <mergeCells count="36">
    <mergeCell ref="E21:L21"/>
    <mergeCell ref="F30:L30"/>
    <mergeCell ref="E14:L14"/>
    <mergeCell ref="E15:L15"/>
    <mergeCell ref="E18:L18"/>
    <mergeCell ref="E19:L19"/>
    <mergeCell ref="I37:J37"/>
    <mergeCell ref="I218:L218"/>
    <mergeCell ref="I223:L223"/>
    <mergeCell ref="K37:K38"/>
    <mergeCell ref="E47:L55"/>
    <mergeCell ref="E218:G218"/>
    <mergeCell ref="E223:G223"/>
    <mergeCell ref="G37:H38"/>
    <mergeCell ref="G39:H39"/>
    <mergeCell ref="G40:H40"/>
    <mergeCell ref="G41:H41"/>
    <mergeCell ref="G42:H42"/>
    <mergeCell ref="G43:H43"/>
    <mergeCell ref="F37:F38"/>
    <mergeCell ref="F36:G36"/>
    <mergeCell ref="F31:L31"/>
    <mergeCell ref="E1:L1"/>
    <mergeCell ref="E2:L2"/>
    <mergeCell ref="E3:L3"/>
    <mergeCell ref="E10:L10"/>
    <mergeCell ref="E5:L5"/>
    <mergeCell ref="E6:L6"/>
    <mergeCell ref="E7:L7"/>
    <mergeCell ref="E8:L8"/>
    <mergeCell ref="E12:L12"/>
    <mergeCell ref="E33:L33"/>
    <mergeCell ref="E34:L34"/>
    <mergeCell ref="E35:L35"/>
    <mergeCell ref="E13:L13"/>
    <mergeCell ref="E25:L25"/>
  </mergeCells>
  <dataValidations count="1">
    <dataValidation allowBlank="1" showInputMessage="1" showErrorMessage="1" prompt="Hinh Ảnh minh hoạ" sqref="A3" xr:uid="{00000000-0002-0000-2D00-000000000000}"/>
  </dataValidations>
  <pageMargins left="0.98425196850393704" right="0.51181102362204722" top="0.43307086614173229" bottom="0.47244094488188981" header="0.47244094488188981" footer="0.4724409448818898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Spinner 1">
              <controlPr defaultSize="0" autoPict="0" macro="[0]!BBKT_VK_Spinner1_2_Change">
                <anchor moveWithCells="1" sizeWithCells="1">
                  <from>
                    <xdr:col>14</xdr:col>
                    <xdr:colOff>133350</xdr:colOff>
                    <xdr:row>0</xdr:row>
                    <xdr:rowOff>0</xdr:rowOff>
                  </from>
                  <to>
                    <xdr:col>14</xdr:col>
                    <xdr:colOff>400050</xdr:colOff>
                    <xdr:row>2</xdr:row>
                    <xdr:rowOff>133350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E218"/>
  <sheetViews>
    <sheetView showGridLines="0" showZeros="0" zoomScaleNormal="100" workbookViewId="0">
      <pane xSplit="29" ySplit="4" topLeftCell="AD26" activePane="bottomRight" state="frozen"/>
      <selection pane="topRight" activeCell="AD1" sqref="AD1"/>
      <selection pane="bottomLeft" activeCell="A5" sqref="A5"/>
      <selection pane="bottomRight" activeCell="E35" sqref="E35:R35"/>
    </sheetView>
  </sheetViews>
  <sheetFormatPr defaultRowHeight="15.75" zeroHeight="1"/>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5" style="202" customWidth="1"/>
    <col min="8" max="8" width="5.88671875" style="202" customWidth="1"/>
    <col min="9" max="9" width="5.21875" style="202" customWidth="1"/>
    <col min="10" max="10" width="5.44140625" style="202" customWidth="1"/>
    <col min="11" max="11" width="5.88671875" style="202" customWidth="1"/>
    <col min="12" max="12" width="5.21875" style="202" customWidth="1"/>
    <col min="13" max="13" width="5.109375" style="202" customWidth="1"/>
    <col min="14" max="14" width="7.109375" style="202" customWidth="1"/>
    <col min="15" max="15" width="8.5546875" style="202" customWidth="1"/>
    <col min="16" max="16" width="9.33203125" style="202" bestFit="1" customWidth="1"/>
    <col min="17" max="17" width="8.5546875" style="202" customWidth="1"/>
    <col min="18" max="18" width="1.109375" style="202" customWidth="1"/>
    <col min="19" max="19" width="4.21875" style="202" customWidth="1"/>
    <col min="20" max="20" width="4.5546875" style="202" customWidth="1"/>
    <col min="21" max="28" width="8.88671875" style="202"/>
    <col min="29" max="29" width="9.44140625" style="202" customWidth="1"/>
    <col min="30" max="262" width="8.88671875" style="202"/>
    <col min="263" max="263" width="3" style="202" customWidth="1"/>
    <col min="264" max="264" width="4.88671875" style="202" customWidth="1"/>
    <col min="265" max="265" width="7.6640625" style="202" customWidth="1"/>
    <col min="266" max="266" width="7.44140625" style="202" customWidth="1"/>
    <col min="267" max="267" width="5.5546875" style="202" customWidth="1"/>
    <col min="268" max="268" width="4.5546875" style="202" customWidth="1"/>
    <col min="269" max="269" width="8.5546875" style="202" customWidth="1"/>
    <col min="270" max="270" width="5.5546875" style="202" customWidth="1"/>
    <col min="271" max="271" width="6.6640625" style="202" bestFit="1" customWidth="1"/>
    <col min="272" max="272" width="6.88671875" style="202" customWidth="1"/>
    <col min="273" max="273" width="8.33203125" style="202" customWidth="1"/>
    <col min="274" max="274" width="9.44140625" style="202" customWidth="1"/>
    <col min="275" max="275" width="4.88671875" style="202" customWidth="1"/>
    <col min="276" max="284" width="8.88671875" style="202"/>
    <col min="285" max="285" width="9.44140625" style="202" customWidth="1"/>
    <col min="286" max="518" width="8.88671875" style="202"/>
    <col min="519" max="519" width="3" style="202" customWidth="1"/>
    <col min="520" max="520" width="4.88671875" style="202" customWidth="1"/>
    <col min="521" max="521" width="7.6640625" style="202" customWidth="1"/>
    <col min="522" max="522" width="7.44140625" style="202" customWidth="1"/>
    <col min="523" max="523" width="5.5546875" style="202" customWidth="1"/>
    <col min="524" max="524" width="4.5546875" style="202" customWidth="1"/>
    <col min="525" max="525" width="8.5546875" style="202" customWidth="1"/>
    <col min="526" max="526" width="5.5546875" style="202" customWidth="1"/>
    <col min="527" max="527" width="6.6640625" style="202" bestFit="1" customWidth="1"/>
    <col min="528" max="528" width="6.88671875" style="202" customWidth="1"/>
    <col min="529" max="529" width="8.33203125" style="202" customWidth="1"/>
    <col min="530" max="530" width="9.44140625" style="202" customWidth="1"/>
    <col min="531" max="531" width="4.88671875" style="202" customWidth="1"/>
    <col min="532" max="540" width="8.88671875" style="202"/>
    <col min="541" max="541" width="9.44140625" style="202" customWidth="1"/>
    <col min="542" max="774" width="8.88671875" style="202"/>
    <col min="775" max="775" width="3" style="202" customWidth="1"/>
    <col min="776" max="776" width="4.88671875" style="202" customWidth="1"/>
    <col min="777" max="777" width="7.6640625" style="202" customWidth="1"/>
    <col min="778" max="778" width="7.44140625" style="202" customWidth="1"/>
    <col min="779" max="779" width="5.5546875" style="202" customWidth="1"/>
    <col min="780" max="780" width="4.5546875" style="202" customWidth="1"/>
    <col min="781" max="781" width="8.5546875" style="202" customWidth="1"/>
    <col min="782" max="782" width="5.5546875" style="202" customWidth="1"/>
    <col min="783" max="783" width="6.6640625" style="202" bestFit="1" customWidth="1"/>
    <col min="784" max="784" width="6.88671875" style="202" customWidth="1"/>
    <col min="785" max="785" width="8.33203125" style="202" customWidth="1"/>
    <col min="786" max="786" width="9.44140625" style="202" customWidth="1"/>
    <col min="787" max="787" width="4.88671875" style="202" customWidth="1"/>
    <col min="788" max="796" width="8.88671875" style="202"/>
    <col min="797" max="797" width="9.44140625" style="202" customWidth="1"/>
    <col min="798" max="1030" width="8.88671875" style="202"/>
    <col min="1031" max="1031" width="3" style="202" customWidth="1"/>
    <col min="1032" max="1032" width="4.88671875" style="202" customWidth="1"/>
    <col min="1033" max="1033" width="7.6640625" style="202" customWidth="1"/>
    <col min="1034" max="1034" width="7.44140625" style="202" customWidth="1"/>
    <col min="1035" max="1035" width="5.5546875" style="202" customWidth="1"/>
    <col min="1036" max="1036" width="4.5546875" style="202" customWidth="1"/>
    <col min="1037" max="1037" width="8.5546875" style="202" customWidth="1"/>
    <col min="1038" max="1038" width="5.5546875" style="202" customWidth="1"/>
    <col min="1039" max="1039" width="6.6640625" style="202" bestFit="1" customWidth="1"/>
    <col min="1040" max="1040" width="6.88671875" style="202" customWidth="1"/>
    <col min="1041" max="1041" width="8.33203125" style="202" customWidth="1"/>
    <col min="1042" max="1042" width="9.44140625" style="202" customWidth="1"/>
    <col min="1043" max="1043" width="4.88671875" style="202" customWidth="1"/>
    <col min="1044" max="1052" width="8.88671875" style="202"/>
    <col min="1053" max="1053" width="9.44140625" style="202" customWidth="1"/>
    <col min="1054" max="1286" width="8.88671875" style="202"/>
    <col min="1287" max="1287" width="3" style="202" customWidth="1"/>
    <col min="1288" max="1288" width="4.88671875" style="202" customWidth="1"/>
    <col min="1289" max="1289" width="7.6640625" style="202" customWidth="1"/>
    <col min="1290" max="1290" width="7.44140625" style="202" customWidth="1"/>
    <col min="1291" max="1291" width="5.5546875" style="202" customWidth="1"/>
    <col min="1292" max="1292" width="4.5546875" style="202" customWidth="1"/>
    <col min="1293" max="1293" width="8.5546875" style="202" customWidth="1"/>
    <col min="1294" max="1294" width="5.5546875" style="202" customWidth="1"/>
    <col min="1295" max="1295" width="6.6640625" style="202" bestFit="1" customWidth="1"/>
    <col min="1296" max="1296" width="6.88671875" style="202" customWidth="1"/>
    <col min="1297" max="1297" width="8.33203125" style="202" customWidth="1"/>
    <col min="1298" max="1298" width="9.44140625" style="202" customWidth="1"/>
    <col min="1299" max="1299" width="4.88671875" style="202" customWidth="1"/>
    <col min="1300" max="1308" width="8.88671875" style="202"/>
    <col min="1309" max="1309" width="9.44140625" style="202" customWidth="1"/>
    <col min="1310" max="1542" width="8.88671875" style="202"/>
    <col min="1543" max="1543" width="3" style="202" customWidth="1"/>
    <col min="1544" max="1544" width="4.88671875" style="202" customWidth="1"/>
    <col min="1545" max="1545" width="7.6640625" style="202" customWidth="1"/>
    <col min="1546" max="1546" width="7.44140625" style="202" customWidth="1"/>
    <col min="1547" max="1547" width="5.5546875" style="202" customWidth="1"/>
    <col min="1548" max="1548" width="4.5546875" style="202" customWidth="1"/>
    <col min="1549" max="1549" width="8.5546875" style="202" customWidth="1"/>
    <col min="1550" max="1550" width="5.5546875" style="202" customWidth="1"/>
    <col min="1551" max="1551" width="6.6640625" style="202" bestFit="1" customWidth="1"/>
    <col min="1552" max="1552" width="6.88671875" style="202" customWidth="1"/>
    <col min="1553" max="1553" width="8.33203125" style="202" customWidth="1"/>
    <col min="1554" max="1554" width="9.44140625" style="202" customWidth="1"/>
    <col min="1555" max="1555" width="4.88671875" style="202" customWidth="1"/>
    <col min="1556" max="1564" width="8.88671875" style="202"/>
    <col min="1565" max="1565" width="9.44140625" style="202" customWidth="1"/>
    <col min="1566" max="1798" width="8.88671875" style="202"/>
    <col min="1799" max="1799" width="3" style="202" customWidth="1"/>
    <col min="1800" max="1800" width="4.88671875" style="202" customWidth="1"/>
    <col min="1801" max="1801" width="7.6640625" style="202" customWidth="1"/>
    <col min="1802" max="1802" width="7.44140625" style="202" customWidth="1"/>
    <col min="1803" max="1803" width="5.5546875" style="202" customWidth="1"/>
    <col min="1804" max="1804" width="4.5546875" style="202" customWidth="1"/>
    <col min="1805" max="1805" width="8.5546875" style="202" customWidth="1"/>
    <col min="1806" max="1806" width="5.5546875" style="202" customWidth="1"/>
    <col min="1807" max="1807" width="6.6640625" style="202" bestFit="1" customWidth="1"/>
    <col min="1808" max="1808" width="6.88671875" style="202" customWidth="1"/>
    <col min="1809" max="1809" width="8.33203125" style="202" customWidth="1"/>
    <col min="1810" max="1810" width="9.44140625" style="202" customWidth="1"/>
    <col min="1811" max="1811" width="4.88671875" style="202" customWidth="1"/>
    <col min="1812" max="1820" width="8.88671875" style="202"/>
    <col min="1821" max="1821" width="9.44140625" style="202" customWidth="1"/>
    <col min="1822" max="2054" width="8.88671875" style="202"/>
    <col min="2055" max="2055" width="3" style="202" customWidth="1"/>
    <col min="2056" max="2056" width="4.88671875" style="202" customWidth="1"/>
    <col min="2057" max="2057" width="7.6640625" style="202" customWidth="1"/>
    <col min="2058" max="2058" width="7.44140625" style="202" customWidth="1"/>
    <col min="2059" max="2059" width="5.5546875" style="202" customWidth="1"/>
    <col min="2060" max="2060" width="4.5546875" style="202" customWidth="1"/>
    <col min="2061" max="2061" width="8.5546875" style="202" customWidth="1"/>
    <col min="2062" max="2062" width="5.5546875" style="202" customWidth="1"/>
    <col min="2063" max="2063" width="6.6640625" style="202" bestFit="1" customWidth="1"/>
    <col min="2064" max="2064" width="6.88671875" style="202" customWidth="1"/>
    <col min="2065" max="2065" width="8.33203125" style="202" customWidth="1"/>
    <col min="2066" max="2066" width="9.44140625" style="202" customWidth="1"/>
    <col min="2067" max="2067" width="4.88671875" style="202" customWidth="1"/>
    <col min="2068" max="2076" width="8.88671875" style="202"/>
    <col min="2077" max="2077" width="9.44140625" style="202" customWidth="1"/>
    <col min="2078" max="2310" width="8.88671875" style="202"/>
    <col min="2311" max="2311" width="3" style="202" customWidth="1"/>
    <col min="2312" max="2312" width="4.88671875" style="202" customWidth="1"/>
    <col min="2313" max="2313" width="7.6640625" style="202" customWidth="1"/>
    <col min="2314" max="2314" width="7.44140625" style="202" customWidth="1"/>
    <col min="2315" max="2315" width="5.5546875" style="202" customWidth="1"/>
    <col min="2316" max="2316" width="4.5546875" style="202" customWidth="1"/>
    <col min="2317" max="2317" width="8.5546875" style="202" customWidth="1"/>
    <col min="2318" max="2318" width="5.5546875" style="202" customWidth="1"/>
    <col min="2319" max="2319" width="6.6640625" style="202" bestFit="1" customWidth="1"/>
    <col min="2320" max="2320" width="6.88671875" style="202" customWidth="1"/>
    <col min="2321" max="2321" width="8.33203125" style="202" customWidth="1"/>
    <col min="2322" max="2322" width="9.44140625" style="202" customWidth="1"/>
    <col min="2323" max="2323" width="4.88671875" style="202" customWidth="1"/>
    <col min="2324" max="2332" width="8.88671875" style="202"/>
    <col min="2333" max="2333" width="9.44140625" style="202" customWidth="1"/>
    <col min="2334" max="2566" width="8.88671875" style="202"/>
    <col min="2567" max="2567" width="3" style="202" customWidth="1"/>
    <col min="2568" max="2568" width="4.88671875" style="202" customWidth="1"/>
    <col min="2569" max="2569" width="7.6640625" style="202" customWidth="1"/>
    <col min="2570" max="2570" width="7.44140625" style="202" customWidth="1"/>
    <col min="2571" max="2571" width="5.5546875" style="202" customWidth="1"/>
    <col min="2572" max="2572" width="4.5546875" style="202" customWidth="1"/>
    <col min="2573" max="2573" width="8.5546875" style="202" customWidth="1"/>
    <col min="2574" max="2574" width="5.5546875" style="202" customWidth="1"/>
    <col min="2575" max="2575" width="6.6640625" style="202" bestFit="1" customWidth="1"/>
    <col min="2576" max="2576" width="6.88671875" style="202" customWidth="1"/>
    <col min="2577" max="2577" width="8.33203125" style="202" customWidth="1"/>
    <col min="2578" max="2578" width="9.44140625" style="202" customWidth="1"/>
    <col min="2579" max="2579" width="4.88671875" style="202" customWidth="1"/>
    <col min="2580" max="2588" width="8.88671875" style="202"/>
    <col min="2589" max="2589" width="9.44140625" style="202" customWidth="1"/>
    <col min="2590" max="2822" width="8.88671875" style="202"/>
    <col min="2823" max="2823" width="3" style="202" customWidth="1"/>
    <col min="2824" max="2824" width="4.88671875" style="202" customWidth="1"/>
    <col min="2825" max="2825" width="7.6640625" style="202" customWidth="1"/>
    <col min="2826" max="2826" width="7.44140625" style="202" customWidth="1"/>
    <col min="2827" max="2827" width="5.5546875" style="202" customWidth="1"/>
    <col min="2828" max="2828" width="4.5546875" style="202" customWidth="1"/>
    <col min="2829" max="2829" width="8.5546875" style="202" customWidth="1"/>
    <col min="2830" max="2830" width="5.5546875" style="202" customWidth="1"/>
    <col min="2831" max="2831" width="6.6640625" style="202" bestFit="1" customWidth="1"/>
    <col min="2832" max="2832" width="6.88671875" style="202" customWidth="1"/>
    <col min="2833" max="2833" width="8.33203125" style="202" customWidth="1"/>
    <col min="2834" max="2834" width="9.44140625" style="202" customWidth="1"/>
    <col min="2835" max="2835" width="4.88671875" style="202" customWidth="1"/>
    <col min="2836" max="2844" width="8.88671875" style="202"/>
    <col min="2845" max="2845" width="9.44140625" style="202" customWidth="1"/>
    <col min="2846" max="3078" width="8.88671875" style="202"/>
    <col min="3079" max="3079" width="3" style="202" customWidth="1"/>
    <col min="3080" max="3080" width="4.88671875" style="202" customWidth="1"/>
    <col min="3081" max="3081" width="7.6640625" style="202" customWidth="1"/>
    <col min="3082" max="3082" width="7.44140625" style="202" customWidth="1"/>
    <col min="3083" max="3083" width="5.5546875" style="202" customWidth="1"/>
    <col min="3084" max="3084" width="4.5546875" style="202" customWidth="1"/>
    <col min="3085" max="3085" width="8.5546875" style="202" customWidth="1"/>
    <col min="3086" max="3086" width="5.5546875" style="202" customWidth="1"/>
    <col min="3087" max="3087" width="6.6640625" style="202" bestFit="1" customWidth="1"/>
    <col min="3088" max="3088" width="6.88671875" style="202" customWidth="1"/>
    <col min="3089" max="3089" width="8.33203125" style="202" customWidth="1"/>
    <col min="3090" max="3090" width="9.44140625" style="202" customWidth="1"/>
    <col min="3091" max="3091" width="4.88671875" style="202" customWidth="1"/>
    <col min="3092" max="3100" width="8.88671875" style="202"/>
    <col min="3101" max="3101" width="9.44140625" style="202" customWidth="1"/>
    <col min="3102" max="3334" width="8.88671875" style="202"/>
    <col min="3335" max="3335" width="3" style="202" customWidth="1"/>
    <col min="3336" max="3336" width="4.88671875" style="202" customWidth="1"/>
    <col min="3337" max="3337" width="7.6640625" style="202" customWidth="1"/>
    <col min="3338" max="3338" width="7.44140625" style="202" customWidth="1"/>
    <col min="3339" max="3339" width="5.5546875" style="202" customWidth="1"/>
    <col min="3340" max="3340" width="4.5546875" style="202" customWidth="1"/>
    <col min="3341" max="3341" width="8.5546875" style="202" customWidth="1"/>
    <col min="3342" max="3342" width="5.5546875" style="202" customWidth="1"/>
    <col min="3343" max="3343" width="6.6640625" style="202" bestFit="1" customWidth="1"/>
    <col min="3344" max="3344" width="6.88671875" style="202" customWidth="1"/>
    <col min="3345" max="3345" width="8.33203125" style="202" customWidth="1"/>
    <col min="3346" max="3346" width="9.44140625" style="202" customWidth="1"/>
    <col min="3347" max="3347" width="4.88671875" style="202" customWidth="1"/>
    <col min="3348" max="3356" width="8.88671875" style="202"/>
    <col min="3357" max="3357" width="9.44140625" style="202" customWidth="1"/>
    <col min="3358" max="3590" width="8.88671875" style="202"/>
    <col min="3591" max="3591" width="3" style="202" customWidth="1"/>
    <col min="3592" max="3592" width="4.88671875" style="202" customWidth="1"/>
    <col min="3593" max="3593" width="7.6640625" style="202" customWidth="1"/>
    <col min="3594" max="3594" width="7.44140625" style="202" customWidth="1"/>
    <col min="3595" max="3595" width="5.5546875" style="202" customWidth="1"/>
    <col min="3596" max="3596" width="4.5546875" style="202" customWidth="1"/>
    <col min="3597" max="3597" width="8.5546875" style="202" customWidth="1"/>
    <col min="3598" max="3598" width="5.5546875" style="202" customWidth="1"/>
    <col min="3599" max="3599" width="6.6640625" style="202" bestFit="1" customWidth="1"/>
    <col min="3600" max="3600" width="6.88671875" style="202" customWidth="1"/>
    <col min="3601" max="3601" width="8.33203125" style="202" customWidth="1"/>
    <col min="3602" max="3602" width="9.44140625" style="202" customWidth="1"/>
    <col min="3603" max="3603" width="4.88671875" style="202" customWidth="1"/>
    <col min="3604" max="3612" width="8.88671875" style="202"/>
    <col min="3613" max="3613" width="9.44140625" style="202" customWidth="1"/>
    <col min="3614" max="3846" width="8.88671875" style="202"/>
    <col min="3847" max="3847" width="3" style="202" customWidth="1"/>
    <col min="3848" max="3848" width="4.88671875" style="202" customWidth="1"/>
    <col min="3849" max="3849" width="7.6640625" style="202" customWidth="1"/>
    <col min="3850" max="3850" width="7.44140625" style="202" customWidth="1"/>
    <col min="3851" max="3851" width="5.5546875" style="202" customWidth="1"/>
    <col min="3852" max="3852" width="4.5546875" style="202" customWidth="1"/>
    <col min="3853" max="3853" width="8.5546875" style="202" customWidth="1"/>
    <col min="3854" max="3854" width="5.5546875" style="202" customWidth="1"/>
    <col min="3855" max="3855" width="6.6640625" style="202" bestFit="1" customWidth="1"/>
    <col min="3856" max="3856" width="6.88671875" style="202" customWidth="1"/>
    <col min="3857" max="3857" width="8.33203125" style="202" customWidth="1"/>
    <col min="3858" max="3858" width="9.44140625" style="202" customWidth="1"/>
    <col min="3859" max="3859" width="4.88671875" style="202" customWidth="1"/>
    <col min="3860" max="3868" width="8.88671875" style="202"/>
    <col min="3869" max="3869" width="9.44140625" style="202" customWidth="1"/>
    <col min="3870" max="4102" width="8.88671875" style="202"/>
    <col min="4103" max="4103" width="3" style="202" customWidth="1"/>
    <col min="4104" max="4104" width="4.88671875" style="202" customWidth="1"/>
    <col min="4105" max="4105" width="7.6640625" style="202" customWidth="1"/>
    <col min="4106" max="4106" width="7.44140625" style="202" customWidth="1"/>
    <col min="4107" max="4107" width="5.5546875" style="202" customWidth="1"/>
    <col min="4108" max="4108" width="4.5546875" style="202" customWidth="1"/>
    <col min="4109" max="4109" width="8.5546875" style="202" customWidth="1"/>
    <col min="4110" max="4110" width="5.5546875" style="202" customWidth="1"/>
    <col min="4111" max="4111" width="6.6640625" style="202" bestFit="1" customWidth="1"/>
    <col min="4112" max="4112" width="6.88671875" style="202" customWidth="1"/>
    <col min="4113" max="4113" width="8.33203125" style="202" customWidth="1"/>
    <col min="4114" max="4114" width="9.44140625" style="202" customWidth="1"/>
    <col min="4115" max="4115" width="4.88671875" style="202" customWidth="1"/>
    <col min="4116" max="4124" width="8.88671875" style="202"/>
    <col min="4125" max="4125" width="9.44140625" style="202" customWidth="1"/>
    <col min="4126" max="4358" width="8.88671875" style="202"/>
    <col min="4359" max="4359" width="3" style="202" customWidth="1"/>
    <col min="4360" max="4360" width="4.88671875" style="202" customWidth="1"/>
    <col min="4361" max="4361" width="7.6640625" style="202" customWidth="1"/>
    <col min="4362" max="4362" width="7.44140625" style="202" customWidth="1"/>
    <col min="4363" max="4363" width="5.5546875" style="202" customWidth="1"/>
    <col min="4364" max="4364" width="4.5546875" style="202" customWidth="1"/>
    <col min="4365" max="4365" width="8.5546875" style="202" customWidth="1"/>
    <col min="4366" max="4366" width="5.5546875" style="202" customWidth="1"/>
    <col min="4367" max="4367" width="6.6640625" style="202" bestFit="1" customWidth="1"/>
    <col min="4368" max="4368" width="6.88671875" style="202" customWidth="1"/>
    <col min="4369" max="4369" width="8.33203125" style="202" customWidth="1"/>
    <col min="4370" max="4370" width="9.44140625" style="202" customWidth="1"/>
    <col min="4371" max="4371" width="4.88671875" style="202" customWidth="1"/>
    <col min="4372" max="4380" width="8.88671875" style="202"/>
    <col min="4381" max="4381" width="9.44140625" style="202" customWidth="1"/>
    <col min="4382" max="4614" width="8.88671875" style="202"/>
    <col min="4615" max="4615" width="3" style="202" customWidth="1"/>
    <col min="4616" max="4616" width="4.88671875" style="202" customWidth="1"/>
    <col min="4617" max="4617" width="7.6640625" style="202" customWidth="1"/>
    <col min="4618" max="4618" width="7.44140625" style="202" customWidth="1"/>
    <col min="4619" max="4619" width="5.5546875" style="202" customWidth="1"/>
    <col min="4620" max="4620" width="4.5546875" style="202" customWidth="1"/>
    <col min="4621" max="4621" width="8.5546875" style="202" customWidth="1"/>
    <col min="4622" max="4622" width="5.5546875" style="202" customWidth="1"/>
    <col min="4623" max="4623" width="6.6640625" style="202" bestFit="1" customWidth="1"/>
    <col min="4624" max="4624" width="6.88671875" style="202" customWidth="1"/>
    <col min="4625" max="4625" width="8.33203125" style="202" customWidth="1"/>
    <col min="4626" max="4626" width="9.44140625" style="202" customWidth="1"/>
    <col min="4627" max="4627" width="4.88671875" style="202" customWidth="1"/>
    <col min="4628" max="4636" width="8.88671875" style="202"/>
    <col min="4637" max="4637" width="9.44140625" style="202" customWidth="1"/>
    <col min="4638" max="4870" width="8.88671875" style="202"/>
    <col min="4871" max="4871" width="3" style="202" customWidth="1"/>
    <col min="4872" max="4872" width="4.88671875" style="202" customWidth="1"/>
    <col min="4873" max="4873" width="7.6640625" style="202" customWidth="1"/>
    <col min="4874" max="4874" width="7.44140625" style="202" customWidth="1"/>
    <col min="4875" max="4875" width="5.5546875" style="202" customWidth="1"/>
    <col min="4876" max="4876" width="4.5546875" style="202" customWidth="1"/>
    <col min="4877" max="4877" width="8.5546875" style="202" customWidth="1"/>
    <col min="4878" max="4878" width="5.5546875" style="202" customWidth="1"/>
    <col min="4879" max="4879" width="6.6640625" style="202" bestFit="1" customWidth="1"/>
    <col min="4880" max="4880" width="6.88671875" style="202" customWidth="1"/>
    <col min="4881" max="4881" width="8.33203125" style="202" customWidth="1"/>
    <col min="4882" max="4882" width="9.44140625" style="202" customWidth="1"/>
    <col min="4883" max="4883" width="4.88671875" style="202" customWidth="1"/>
    <col min="4884" max="4892" width="8.88671875" style="202"/>
    <col min="4893" max="4893" width="9.44140625" style="202" customWidth="1"/>
    <col min="4894" max="5126" width="8.88671875" style="202"/>
    <col min="5127" max="5127" width="3" style="202" customWidth="1"/>
    <col min="5128" max="5128" width="4.88671875" style="202" customWidth="1"/>
    <col min="5129" max="5129" width="7.6640625" style="202" customWidth="1"/>
    <col min="5130" max="5130" width="7.44140625" style="202" customWidth="1"/>
    <col min="5131" max="5131" width="5.5546875" style="202" customWidth="1"/>
    <col min="5132" max="5132" width="4.5546875" style="202" customWidth="1"/>
    <col min="5133" max="5133" width="8.5546875" style="202" customWidth="1"/>
    <col min="5134" max="5134" width="5.5546875" style="202" customWidth="1"/>
    <col min="5135" max="5135" width="6.6640625" style="202" bestFit="1" customWidth="1"/>
    <col min="5136" max="5136" width="6.88671875" style="202" customWidth="1"/>
    <col min="5137" max="5137" width="8.33203125" style="202" customWidth="1"/>
    <col min="5138" max="5138" width="9.44140625" style="202" customWidth="1"/>
    <col min="5139" max="5139" width="4.88671875" style="202" customWidth="1"/>
    <col min="5140" max="5148" width="8.88671875" style="202"/>
    <col min="5149" max="5149" width="9.44140625" style="202" customWidth="1"/>
    <col min="5150" max="5382" width="8.88671875" style="202"/>
    <col min="5383" max="5383" width="3" style="202" customWidth="1"/>
    <col min="5384" max="5384" width="4.88671875" style="202" customWidth="1"/>
    <col min="5385" max="5385" width="7.6640625" style="202" customWidth="1"/>
    <col min="5386" max="5386" width="7.44140625" style="202" customWidth="1"/>
    <col min="5387" max="5387" width="5.5546875" style="202" customWidth="1"/>
    <col min="5388" max="5388" width="4.5546875" style="202" customWidth="1"/>
    <col min="5389" max="5389" width="8.5546875" style="202" customWidth="1"/>
    <col min="5390" max="5390" width="5.5546875" style="202" customWidth="1"/>
    <col min="5391" max="5391" width="6.6640625" style="202" bestFit="1" customWidth="1"/>
    <col min="5392" max="5392" width="6.88671875" style="202" customWidth="1"/>
    <col min="5393" max="5393" width="8.33203125" style="202" customWidth="1"/>
    <col min="5394" max="5394" width="9.44140625" style="202" customWidth="1"/>
    <col min="5395" max="5395" width="4.88671875" style="202" customWidth="1"/>
    <col min="5396" max="5404" width="8.88671875" style="202"/>
    <col min="5405" max="5405" width="9.44140625" style="202" customWidth="1"/>
    <col min="5406" max="5638" width="8.88671875" style="202"/>
    <col min="5639" max="5639" width="3" style="202" customWidth="1"/>
    <col min="5640" max="5640" width="4.88671875" style="202" customWidth="1"/>
    <col min="5641" max="5641" width="7.6640625" style="202" customWidth="1"/>
    <col min="5642" max="5642" width="7.44140625" style="202" customWidth="1"/>
    <col min="5643" max="5643" width="5.5546875" style="202" customWidth="1"/>
    <col min="5644" max="5644" width="4.5546875" style="202" customWidth="1"/>
    <col min="5645" max="5645" width="8.5546875" style="202" customWidth="1"/>
    <col min="5646" max="5646" width="5.5546875" style="202" customWidth="1"/>
    <col min="5647" max="5647" width="6.6640625" style="202" bestFit="1" customWidth="1"/>
    <col min="5648" max="5648" width="6.88671875" style="202" customWidth="1"/>
    <col min="5649" max="5649" width="8.33203125" style="202" customWidth="1"/>
    <col min="5650" max="5650" width="9.44140625" style="202" customWidth="1"/>
    <col min="5651" max="5651" width="4.88671875" style="202" customWidth="1"/>
    <col min="5652" max="5660" width="8.88671875" style="202"/>
    <col min="5661" max="5661" width="9.44140625" style="202" customWidth="1"/>
    <col min="5662" max="5894" width="8.88671875" style="202"/>
    <col min="5895" max="5895" width="3" style="202" customWidth="1"/>
    <col min="5896" max="5896" width="4.88671875" style="202" customWidth="1"/>
    <col min="5897" max="5897" width="7.6640625" style="202" customWidth="1"/>
    <col min="5898" max="5898" width="7.44140625" style="202" customWidth="1"/>
    <col min="5899" max="5899" width="5.5546875" style="202" customWidth="1"/>
    <col min="5900" max="5900" width="4.5546875" style="202" customWidth="1"/>
    <col min="5901" max="5901" width="8.5546875" style="202" customWidth="1"/>
    <col min="5902" max="5902" width="5.5546875" style="202" customWidth="1"/>
    <col min="5903" max="5903" width="6.6640625" style="202" bestFit="1" customWidth="1"/>
    <col min="5904" max="5904" width="6.88671875" style="202" customWidth="1"/>
    <col min="5905" max="5905" width="8.33203125" style="202" customWidth="1"/>
    <col min="5906" max="5906" width="9.44140625" style="202" customWidth="1"/>
    <col min="5907" max="5907" width="4.88671875" style="202" customWidth="1"/>
    <col min="5908" max="5916" width="8.88671875" style="202"/>
    <col min="5917" max="5917" width="9.44140625" style="202" customWidth="1"/>
    <col min="5918" max="6150" width="8.88671875" style="202"/>
    <col min="6151" max="6151" width="3" style="202" customWidth="1"/>
    <col min="6152" max="6152" width="4.88671875" style="202" customWidth="1"/>
    <col min="6153" max="6153" width="7.6640625" style="202" customWidth="1"/>
    <col min="6154" max="6154" width="7.44140625" style="202" customWidth="1"/>
    <col min="6155" max="6155" width="5.5546875" style="202" customWidth="1"/>
    <col min="6156" max="6156" width="4.5546875" style="202" customWidth="1"/>
    <col min="6157" max="6157" width="8.5546875" style="202" customWidth="1"/>
    <col min="6158" max="6158" width="5.5546875" style="202" customWidth="1"/>
    <col min="6159" max="6159" width="6.6640625" style="202" bestFit="1" customWidth="1"/>
    <col min="6160" max="6160" width="6.88671875" style="202" customWidth="1"/>
    <col min="6161" max="6161" width="8.33203125" style="202" customWidth="1"/>
    <col min="6162" max="6162" width="9.44140625" style="202" customWidth="1"/>
    <col min="6163" max="6163" width="4.88671875" style="202" customWidth="1"/>
    <col min="6164" max="6172" width="8.88671875" style="202"/>
    <col min="6173" max="6173" width="9.44140625" style="202" customWidth="1"/>
    <col min="6174" max="6406" width="8.88671875" style="202"/>
    <col min="6407" max="6407" width="3" style="202" customWidth="1"/>
    <col min="6408" max="6408" width="4.88671875" style="202" customWidth="1"/>
    <col min="6409" max="6409" width="7.6640625" style="202" customWidth="1"/>
    <col min="6410" max="6410" width="7.44140625" style="202" customWidth="1"/>
    <col min="6411" max="6411" width="5.5546875" style="202" customWidth="1"/>
    <col min="6412" max="6412" width="4.5546875" style="202" customWidth="1"/>
    <col min="6413" max="6413" width="8.5546875" style="202" customWidth="1"/>
    <col min="6414" max="6414" width="5.5546875" style="202" customWidth="1"/>
    <col min="6415" max="6415" width="6.6640625" style="202" bestFit="1" customWidth="1"/>
    <col min="6416" max="6416" width="6.88671875" style="202" customWidth="1"/>
    <col min="6417" max="6417" width="8.33203125" style="202" customWidth="1"/>
    <col min="6418" max="6418" width="9.44140625" style="202" customWidth="1"/>
    <col min="6419" max="6419" width="4.88671875" style="202" customWidth="1"/>
    <col min="6420" max="6428" width="8.88671875" style="202"/>
    <col min="6429" max="6429" width="9.44140625" style="202" customWidth="1"/>
    <col min="6430" max="6662" width="8.88671875" style="202"/>
    <col min="6663" max="6663" width="3" style="202" customWidth="1"/>
    <col min="6664" max="6664" width="4.88671875" style="202" customWidth="1"/>
    <col min="6665" max="6665" width="7.6640625" style="202" customWidth="1"/>
    <col min="6666" max="6666" width="7.44140625" style="202" customWidth="1"/>
    <col min="6667" max="6667" width="5.5546875" style="202" customWidth="1"/>
    <col min="6668" max="6668" width="4.5546875" style="202" customWidth="1"/>
    <col min="6669" max="6669" width="8.5546875" style="202" customWidth="1"/>
    <col min="6670" max="6670" width="5.5546875" style="202" customWidth="1"/>
    <col min="6671" max="6671" width="6.6640625" style="202" bestFit="1" customWidth="1"/>
    <col min="6672" max="6672" width="6.88671875" style="202" customWidth="1"/>
    <col min="6673" max="6673" width="8.33203125" style="202" customWidth="1"/>
    <col min="6674" max="6674" width="9.44140625" style="202" customWidth="1"/>
    <col min="6675" max="6675" width="4.88671875" style="202" customWidth="1"/>
    <col min="6676" max="6684" width="8.88671875" style="202"/>
    <col min="6685" max="6685" width="9.44140625" style="202" customWidth="1"/>
    <col min="6686" max="6918" width="8.88671875" style="202"/>
    <col min="6919" max="6919" width="3" style="202" customWidth="1"/>
    <col min="6920" max="6920" width="4.88671875" style="202" customWidth="1"/>
    <col min="6921" max="6921" width="7.6640625" style="202" customWidth="1"/>
    <col min="6922" max="6922" width="7.44140625" style="202" customWidth="1"/>
    <col min="6923" max="6923" width="5.5546875" style="202" customWidth="1"/>
    <col min="6924" max="6924" width="4.5546875" style="202" customWidth="1"/>
    <col min="6925" max="6925" width="8.5546875" style="202" customWidth="1"/>
    <col min="6926" max="6926" width="5.5546875" style="202" customWidth="1"/>
    <col min="6927" max="6927" width="6.6640625" style="202" bestFit="1" customWidth="1"/>
    <col min="6928" max="6928" width="6.88671875" style="202" customWidth="1"/>
    <col min="6929" max="6929" width="8.33203125" style="202" customWidth="1"/>
    <col min="6930" max="6930" width="9.44140625" style="202" customWidth="1"/>
    <col min="6931" max="6931" width="4.88671875" style="202" customWidth="1"/>
    <col min="6932" max="6940" width="8.88671875" style="202"/>
    <col min="6941" max="6941" width="9.44140625" style="202" customWidth="1"/>
    <col min="6942" max="7174" width="8.88671875" style="202"/>
    <col min="7175" max="7175" width="3" style="202" customWidth="1"/>
    <col min="7176" max="7176" width="4.88671875" style="202" customWidth="1"/>
    <col min="7177" max="7177" width="7.6640625" style="202" customWidth="1"/>
    <col min="7178" max="7178" width="7.44140625" style="202" customWidth="1"/>
    <col min="7179" max="7179" width="5.5546875" style="202" customWidth="1"/>
    <col min="7180" max="7180" width="4.5546875" style="202" customWidth="1"/>
    <col min="7181" max="7181" width="8.5546875" style="202" customWidth="1"/>
    <col min="7182" max="7182" width="5.5546875" style="202" customWidth="1"/>
    <col min="7183" max="7183" width="6.6640625" style="202" bestFit="1" customWidth="1"/>
    <col min="7184" max="7184" width="6.88671875" style="202" customWidth="1"/>
    <col min="7185" max="7185" width="8.33203125" style="202" customWidth="1"/>
    <col min="7186" max="7186" width="9.44140625" style="202" customWidth="1"/>
    <col min="7187" max="7187" width="4.88671875" style="202" customWidth="1"/>
    <col min="7188" max="7196" width="8.88671875" style="202"/>
    <col min="7197" max="7197" width="9.44140625" style="202" customWidth="1"/>
    <col min="7198" max="7430" width="8.88671875" style="202"/>
    <col min="7431" max="7431" width="3" style="202" customWidth="1"/>
    <col min="7432" max="7432" width="4.88671875" style="202" customWidth="1"/>
    <col min="7433" max="7433" width="7.6640625" style="202" customWidth="1"/>
    <col min="7434" max="7434" width="7.44140625" style="202" customWidth="1"/>
    <col min="7435" max="7435" width="5.5546875" style="202" customWidth="1"/>
    <col min="7436" max="7436" width="4.5546875" style="202" customWidth="1"/>
    <col min="7437" max="7437" width="8.5546875" style="202" customWidth="1"/>
    <col min="7438" max="7438" width="5.5546875" style="202" customWidth="1"/>
    <col min="7439" max="7439" width="6.6640625" style="202" bestFit="1" customWidth="1"/>
    <col min="7440" max="7440" width="6.88671875" style="202" customWidth="1"/>
    <col min="7441" max="7441" width="8.33203125" style="202" customWidth="1"/>
    <col min="7442" max="7442" width="9.44140625" style="202" customWidth="1"/>
    <col min="7443" max="7443" width="4.88671875" style="202" customWidth="1"/>
    <col min="7444" max="7452" width="8.88671875" style="202"/>
    <col min="7453" max="7453" width="9.44140625" style="202" customWidth="1"/>
    <col min="7454" max="7686" width="8.88671875" style="202"/>
    <col min="7687" max="7687" width="3" style="202" customWidth="1"/>
    <col min="7688" max="7688" width="4.88671875" style="202" customWidth="1"/>
    <col min="7689" max="7689" width="7.6640625" style="202" customWidth="1"/>
    <col min="7690" max="7690" width="7.44140625" style="202" customWidth="1"/>
    <col min="7691" max="7691" width="5.5546875" style="202" customWidth="1"/>
    <col min="7692" max="7692" width="4.5546875" style="202" customWidth="1"/>
    <col min="7693" max="7693" width="8.5546875" style="202" customWidth="1"/>
    <col min="7694" max="7694" width="5.5546875" style="202" customWidth="1"/>
    <col min="7695" max="7695" width="6.6640625" style="202" bestFit="1" customWidth="1"/>
    <col min="7696" max="7696" width="6.88671875" style="202" customWidth="1"/>
    <col min="7697" max="7697" width="8.33203125" style="202" customWidth="1"/>
    <col min="7698" max="7698" width="9.44140625" style="202" customWidth="1"/>
    <col min="7699" max="7699" width="4.88671875" style="202" customWidth="1"/>
    <col min="7700" max="7708" width="8.88671875" style="202"/>
    <col min="7709" max="7709" width="9.44140625" style="202" customWidth="1"/>
    <col min="7710" max="7942" width="8.88671875" style="202"/>
    <col min="7943" max="7943" width="3" style="202" customWidth="1"/>
    <col min="7944" max="7944" width="4.88671875" style="202" customWidth="1"/>
    <col min="7945" max="7945" width="7.6640625" style="202" customWidth="1"/>
    <col min="7946" max="7946" width="7.44140625" style="202" customWidth="1"/>
    <col min="7947" max="7947" width="5.5546875" style="202" customWidth="1"/>
    <col min="7948" max="7948" width="4.5546875" style="202" customWidth="1"/>
    <col min="7949" max="7949" width="8.5546875" style="202" customWidth="1"/>
    <col min="7950" max="7950" width="5.5546875" style="202" customWidth="1"/>
    <col min="7951" max="7951" width="6.6640625" style="202" bestFit="1" customWidth="1"/>
    <col min="7952" max="7952" width="6.88671875" style="202" customWidth="1"/>
    <col min="7953" max="7953" width="8.33203125" style="202" customWidth="1"/>
    <col min="7954" max="7954" width="9.44140625" style="202" customWidth="1"/>
    <col min="7955" max="7955" width="4.88671875" style="202" customWidth="1"/>
    <col min="7956" max="7964" width="8.88671875" style="202"/>
    <col min="7965" max="7965" width="9.44140625" style="202" customWidth="1"/>
    <col min="7966" max="8198" width="8.88671875" style="202"/>
    <col min="8199" max="8199" width="3" style="202" customWidth="1"/>
    <col min="8200" max="8200" width="4.88671875" style="202" customWidth="1"/>
    <col min="8201" max="8201" width="7.6640625" style="202" customWidth="1"/>
    <col min="8202" max="8202" width="7.44140625" style="202" customWidth="1"/>
    <col min="8203" max="8203" width="5.5546875" style="202" customWidth="1"/>
    <col min="8204" max="8204" width="4.5546875" style="202" customWidth="1"/>
    <col min="8205" max="8205" width="8.5546875" style="202" customWidth="1"/>
    <col min="8206" max="8206" width="5.5546875" style="202" customWidth="1"/>
    <col min="8207" max="8207" width="6.6640625" style="202" bestFit="1" customWidth="1"/>
    <col min="8208" max="8208" width="6.88671875" style="202" customWidth="1"/>
    <col min="8209" max="8209" width="8.33203125" style="202" customWidth="1"/>
    <col min="8210" max="8210" width="9.44140625" style="202" customWidth="1"/>
    <col min="8211" max="8211" width="4.88671875" style="202" customWidth="1"/>
    <col min="8212" max="8220" width="8.88671875" style="202"/>
    <col min="8221" max="8221" width="9.44140625" style="202" customWidth="1"/>
    <col min="8222" max="8454" width="8.88671875" style="202"/>
    <col min="8455" max="8455" width="3" style="202" customWidth="1"/>
    <col min="8456" max="8456" width="4.88671875" style="202" customWidth="1"/>
    <col min="8457" max="8457" width="7.6640625" style="202" customWidth="1"/>
    <col min="8458" max="8458" width="7.44140625" style="202" customWidth="1"/>
    <col min="8459" max="8459" width="5.5546875" style="202" customWidth="1"/>
    <col min="8460" max="8460" width="4.5546875" style="202" customWidth="1"/>
    <col min="8461" max="8461" width="8.5546875" style="202" customWidth="1"/>
    <col min="8462" max="8462" width="5.5546875" style="202" customWidth="1"/>
    <col min="8463" max="8463" width="6.6640625" style="202" bestFit="1" customWidth="1"/>
    <col min="8464" max="8464" width="6.88671875" style="202" customWidth="1"/>
    <col min="8465" max="8465" width="8.33203125" style="202" customWidth="1"/>
    <col min="8466" max="8466" width="9.44140625" style="202" customWidth="1"/>
    <col min="8467" max="8467" width="4.88671875" style="202" customWidth="1"/>
    <col min="8468" max="8476" width="8.88671875" style="202"/>
    <col min="8477" max="8477" width="9.44140625" style="202" customWidth="1"/>
    <col min="8478" max="8710" width="8.88671875" style="202"/>
    <col min="8711" max="8711" width="3" style="202" customWidth="1"/>
    <col min="8712" max="8712" width="4.88671875" style="202" customWidth="1"/>
    <col min="8713" max="8713" width="7.6640625" style="202" customWidth="1"/>
    <col min="8714" max="8714" width="7.44140625" style="202" customWidth="1"/>
    <col min="8715" max="8715" width="5.5546875" style="202" customWidth="1"/>
    <col min="8716" max="8716" width="4.5546875" style="202" customWidth="1"/>
    <col min="8717" max="8717" width="8.5546875" style="202" customWidth="1"/>
    <col min="8718" max="8718" width="5.5546875" style="202" customWidth="1"/>
    <col min="8719" max="8719" width="6.6640625" style="202" bestFit="1" customWidth="1"/>
    <col min="8720" max="8720" width="6.88671875" style="202" customWidth="1"/>
    <col min="8721" max="8721" width="8.33203125" style="202" customWidth="1"/>
    <col min="8722" max="8722" width="9.44140625" style="202" customWidth="1"/>
    <col min="8723" max="8723" width="4.88671875" style="202" customWidth="1"/>
    <col min="8724" max="8732" width="8.88671875" style="202"/>
    <col min="8733" max="8733" width="9.44140625" style="202" customWidth="1"/>
    <col min="8734" max="8966" width="8.88671875" style="202"/>
    <col min="8967" max="8967" width="3" style="202" customWidth="1"/>
    <col min="8968" max="8968" width="4.88671875" style="202" customWidth="1"/>
    <col min="8969" max="8969" width="7.6640625" style="202" customWidth="1"/>
    <col min="8970" max="8970" width="7.44140625" style="202" customWidth="1"/>
    <col min="8971" max="8971" width="5.5546875" style="202" customWidth="1"/>
    <col min="8972" max="8972" width="4.5546875" style="202" customWidth="1"/>
    <col min="8973" max="8973" width="8.5546875" style="202" customWidth="1"/>
    <col min="8974" max="8974" width="5.5546875" style="202" customWidth="1"/>
    <col min="8975" max="8975" width="6.6640625" style="202" bestFit="1" customWidth="1"/>
    <col min="8976" max="8976" width="6.88671875" style="202" customWidth="1"/>
    <col min="8977" max="8977" width="8.33203125" style="202" customWidth="1"/>
    <col min="8978" max="8978" width="9.44140625" style="202" customWidth="1"/>
    <col min="8979" max="8979" width="4.88671875" style="202" customWidth="1"/>
    <col min="8980" max="8988" width="8.88671875" style="202"/>
    <col min="8989" max="8989" width="9.44140625" style="202" customWidth="1"/>
    <col min="8990" max="9222" width="8.88671875" style="202"/>
    <col min="9223" max="9223" width="3" style="202" customWidth="1"/>
    <col min="9224" max="9224" width="4.88671875" style="202" customWidth="1"/>
    <col min="9225" max="9225" width="7.6640625" style="202" customWidth="1"/>
    <col min="9226" max="9226" width="7.44140625" style="202" customWidth="1"/>
    <col min="9227" max="9227" width="5.5546875" style="202" customWidth="1"/>
    <col min="9228" max="9228" width="4.5546875" style="202" customWidth="1"/>
    <col min="9229" max="9229" width="8.5546875" style="202" customWidth="1"/>
    <col min="9230" max="9230" width="5.5546875" style="202" customWidth="1"/>
    <col min="9231" max="9231" width="6.6640625" style="202" bestFit="1" customWidth="1"/>
    <col min="9232" max="9232" width="6.88671875" style="202" customWidth="1"/>
    <col min="9233" max="9233" width="8.33203125" style="202" customWidth="1"/>
    <col min="9234" max="9234" width="9.44140625" style="202" customWidth="1"/>
    <col min="9235" max="9235" width="4.88671875" style="202" customWidth="1"/>
    <col min="9236" max="9244" width="8.88671875" style="202"/>
    <col min="9245" max="9245" width="9.44140625" style="202" customWidth="1"/>
    <col min="9246" max="9478" width="8.88671875" style="202"/>
    <col min="9479" max="9479" width="3" style="202" customWidth="1"/>
    <col min="9480" max="9480" width="4.88671875" style="202" customWidth="1"/>
    <col min="9481" max="9481" width="7.6640625" style="202" customWidth="1"/>
    <col min="9482" max="9482" width="7.44140625" style="202" customWidth="1"/>
    <col min="9483" max="9483" width="5.5546875" style="202" customWidth="1"/>
    <col min="9484" max="9484" width="4.5546875" style="202" customWidth="1"/>
    <col min="9485" max="9485" width="8.5546875" style="202" customWidth="1"/>
    <col min="9486" max="9486" width="5.5546875" style="202" customWidth="1"/>
    <col min="9487" max="9487" width="6.6640625" style="202" bestFit="1" customWidth="1"/>
    <col min="9488" max="9488" width="6.88671875" style="202" customWidth="1"/>
    <col min="9489" max="9489" width="8.33203125" style="202" customWidth="1"/>
    <col min="9490" max="9490" width="9.44140625" style="202" customWidth="1"/>
    <col min="9491" max="9491" width="4.88671875" style="202" customWidth="1"/>
    <col min="9492" max="9500" width="8.88671875" style="202"/>
    <col min="9501" max="9501" width="9.44140625" style="202" customWidth="1"/>
    <col min="9502" max="9734" width="8.88671875" style="202"/>
    <col min="9735" max="9735" width="3" style="202" customWidth="1"/>
    <col min="9736" max="9736" width="4.88671875" style="202" customWidth="1"/>
    <col min="9737" max="9737" width="7.6640625" style="202" customWidth="1"/>
    <col min="9738" max="9738" width="7.44140625" style="202" customWidth="1"/>
    <col min="9739" max="9739" width="5.5546875" style="202" customWidth="1"/>
    <col min="9740" max="9740" width="4.5546875" style="202" customWidth="1"/>
    <col min="9741" max="9741" width="8.5546875" style="202" customWidth="1"/>
    <col min="9742" max="9742" width="5.5546875" style="202" customWidth="1"/>
    <col min="9743" max="9743" width="6.6640625" style="202" bestFit="1" customWidth="1"/>
    <col min="9744" max="9744" width="6.88671875" style="202" customWidth="1"/>
    <col min="9745" max="9745" width="8.33203125" style="202" customWidth="1"/>
    <col min="9746" max="9746" width="9.44140625" style="202" customWidth="1"/>
    <col min="9747" max="9747" width="4.88671875" style="202" customWidth="1"/>
    <col min="9748" max="9756" width="8.88671875" style="202"/>
    <col min="9757" max="9757" width="9.44140625" style="202" customWidth="1"/>
    <col min="9758" max="9990" width="8.88671875" style="202"/>
    <col min="9991" max="9991" width="3" style="202" customWidth="1"/>
    <col min="9992" max="9992" width="4.88671875" style="202" customWidth="1"/>
    <col min="9993" max="9993" width="7.6640625" style="202" customWidth="1"/>
    <col min="9994" max="9994" width="7.44140625" style="202" customWidth="1"/>
    <col min="9995" max="9995" width="5.5546875" style="202" customWidth="1"/>
    <col min="9996" max="9996" width="4.5546875" style="202" customWidth="1"/>
    <col min="9997" max="9997" width="8.5546875" style="202" customWidth="1"/>
    <col min="9998" max="9998" width="5.5546875" style="202" customWidth="1"/>
    <col min="9999" max="9999" width="6.6640625" style="202" bestFit="1" customWidth="1"/>
    <col min="10000" max="10000" width="6.88671875" style="202" customWidth="1"/>
    <col min="10001" max="10001" width="8.33203125" style="202" customWidth="1"/>
    <col min="10002" max="10002" width="9.44140625" style="202" customWidth="1"/>
    <col min="10003" max="10003" width="4.88671875" style="202" customWidth="1"/>
    <col min="10004" max="10012" width="8.88671875" style="202"/>
    <col min="10013" max="10013" width="9.44140625" style="202" customWidth="1"/>
    <col min="10014" max="10246" width="8.88671875" style="202"/>
    <col min="10247" max="10247" width="3" style="202" customWidth="1"/>
    <col min="10248" max="10248" width="4.88671875" style="202" customWidth="1"/>
    <col min="10249" max="10249" width="7.6640625" style="202" customWidth="1"/>
    <col min="10250" max="10250" width="7.44140625" style="202" customWidth="1"/>
    <col min="10251" max="10251" width="5.5546875" style="202" customWidth="1"/>
    <col min="10252" max="10252" width="4.5546875" style="202" customWidth="1"/>
    <col min="10253" max="10253" width="8.5546875" style="202" customWidth="1"/>
    <col min="10254" max="10254" width="5.5546875" style="202" customWidth="1"/>
    <col min="10255" max="10255" width="6.6640625" style="202" bestFit="1" customWidth="1"/>
    <col min="10256" max="10256" width="6.88671875" style="202" customWidth="1"/>
    <col min="10257" max="10257" width="8.33203125" style="202" customWidth="1"/>
    <col min="10258" max="10258" width="9.44140625" style="202" customWidth="1"/>
    <col min="10259" max="10259" width="4.88671875" style="202" customWidth="1"/>
    <col min="10260" max="10268" width="8.88671875" style="202"/>
    <col min="10269" max="10269" width="9.44140625" style="202" customWidth="1"/>
    <col min="10270" max="10502" width="8.88671875" style="202"/>
    <col min="10503" max="10503" width="3" style="202" customWidth="1"/>
    <col min="10504" max="10504" width="4.88671875" style="202" customWidth="1"/>
    <col min="10505" max="10505" width="7.6640625" style="202" customWidth="1"/>
    <col min="10506" max="10506" width="7.44140625" style="202" customWidth="1"/>
    <col min="10507" max="10507" width="5.5546875" style="202" customWidth="1"/>
    <col min="10508" max="10508" width="4.5546875" style="202" customWidth="1"/>
    <col min="10509" max="10509" width="8.5546875" style="202" customWidth="1"/>
    <col min="10510" max="10510" width="5.5546875" style="202" customWidth="1"/>
    <col min="10511" max="10511" width="6.6640625" style="202" bestFit="1" customWidth="1"/>
    <col min="10512" max="10512" width="6.88671875" style="202" customWidth="1"/>
    <col min="10513" max="10513" width="8.33203125" style="202" customWidth="1"/>
    <col min="10514" max="10514" width="9.44140625" style="202" customWidth="1"/>
    <col min="10515" max="10515" width="4.88671875" style="202" customWidth="1"/>
    <col min="10516" max="10524" width="8.88671875" style="202"/>
    <col min="10525" max="10525" width="9.44140625" style="202" customWidth="1"/>
    <col min="10526" max="10758" width="8.88671875" style="202"/>
    <col min="10759" max="10759" width="3" style="202" customWidth="1"/>
    <col min="10760" max="10760" width="4.88671875" style="202" customWidth="1"/>
    <col min="10761" max="10761" width="7.6640625" style="202" customWidth="1"/>
    <col min="10762" max="10762" width="7.44140625" style="202" customWidth="1"/>
    <col min="10763" max="10763" width="5.5546875" style="202" customWidth="1"/>
    <col min="10764" max="10764" width="4.5546875" style="202" customWidth="1"/>
    <col min="10765" max="10765" width="8.5546875" style="202" customWidth="1"/>
    <col min="10766" max="10766" width="5.5546875" style="202" customWidth="1"/>
    <col min="10767" max="10767" width="6.6640625" style="202" bestFit="1" customWidth="1"/>
    <col min="10768" max="10768" width="6.88671875" style="202" customWidth="1"/>
    <col min="10769" max="10769" width="8.33203125" style="202" customWidth="1"/>
    <col min="10770" max="10770" width="9.44140625" style="202" customWidth="1"/>
    <col min="10771" max="10771" width="4.88671875" style="202" customWidth="1"/>
    <col min="10772" max="10780" width="8.88671875" style="202"/>
    <col min="10781" max="10781" width="9.44140625" style="202" customWidth="1"/>
    <col min="10782" max="11014" width="8.88671875" style="202"/>
    <col min="11015" max="11015" width="3" style="202" customWidth="1"/>
    <col min="11016" max="11016" width="4.88671875" style="202" customWidth="1"/>
    <col min="11017" max="11017" width="7.6640625" style="202" customWidth="1"/>
    <col min="11018" max="11018" width="7.44140625" style="202" customWidth="1"/>
    <col min="11019" max="11019" width="5.5546875" style="202" customWidth="1"/>
    <col min="11020" max="11020" width="4.5546875" style="202" customWidth="1"/>
    <col min="11021" max="11021" width="8.5546875" style="202" customWidth="1"/>
    <col min="11022" max="11022" width="5.5546875" style="202" customWidth="1"/>
    <col min="11023" max="11023" width="6.6640625" style="202" bestFit="1" customWidth="1"/>
    <col min="11024" max="11024" width="6.88671875" style="202" customWidth="1"/>
    <col min="11025" max="11025" width="8.33203125" style="202" customWidth="1"/>
    <col min="11026" max="11026" width="9.44140625" style="202" customWidth="1"/>
    <col min="11027" max="11027" width="4.88671875" style="202" customWidth="1"/>
    <col min="11028" max="11036" width="8.88671875" style="202"/>
    <col min="11037" max="11037" width="9.44140625" style="202" customWidth="1"/>
    <col min="11038" max="11270" width="8.88671875" style="202"/>
    <col min="11271" max="11271" width="3" style="202" customWidth="1"/>
    <col min="11272" max="11272" width="4.88671875" style="202" customWidth="1"/>
    <col min="11273" max="11273" width="7.6640625" style="202" customWidth="1"/>
    <col min="11274" max="11274" width="7.44140625" style="202" customWidth="1"/>
    <col min="11275" max="11275" width="5.5546875" style="202" customWidth="1"/>
    <col min="11276" max="11276" width="4.5546875" style="202" customWidth="1"/>
    <col min="11277" max="11277" width="8.5546875" style="202" customWidth="1"/>
    <col min="11278" max="11278" width="5.5546875" style="202" customWidth="1"/>
    <col min="11279" max="11279" width="6.6640625" style="202" bestFit="1" customWidth="1"/>
    <col min="11280" max="11280" width="6.88671875" style="202" customWidth="1"/>
    <col min="11281" max="11281" width="8.33203125" style="202" customWidth="1"/>
    <col min="11282" max="11282" width="9.44140625" style="202" customWidth="1"/>
    <col min="11283" max="11283" width="4.88671875" style="202" customWidth="1"/>
    <col min="11284" max="11292" width="8.88671875" style="202"/>
    <col min="11293" max="11293" width="9.44140625" style="202" customWidth="1"/>
    <col min="11294" max="11526" width="8.88671875" style="202"/>
    <col min="11527" max="11527" width="3" style="202" customWidth="1"/>
    <col min="11528" max="11528" width="4.88671875" style="202" customWidth="1"/>
    <col min="11529" max="11529" width="7.6640625" style="202" customWidth="1"/>
    <col min="11530" max="11530" width="7.44140625" style="202" customWidth="1"/>
    <col min="11531" max="11531" width="5.5546875" style="202" customWidth="1"/>
    <col min="11532" max="11532" width="4.5546875" style="202" customWidth="1"/>
    <col min="11533" max="11533" width="8.5546875" style="202" customWidth="1"/>
    <col min="11534" max="11534" width="5.5546875" style="202" customWidth="1"/>
    <col min="11535" max="11535" width="6.6640625" style="202" bestFit="1" customWidth="1"/>
    <col min="11536" max="11536" width="6.88671875" style="202" customWidth="1"/>
    <col min="11537" max="11537" width="8.33203125" style="202" customWidth="1"/>
    <col min="11538" max="11538" width="9.44140625" style="202" customWidth="1"/>
    <col min="11539" max="11539" width="4.88671875" style="202" customWidth="1"/>
    <col min="11540" max="11548" width="8.88671875" style="202"/>
    <col min="11549" max="11549" width="9.44140625" style="202" customWidth="1"/>
    <col min="11550" max="11782" width="8.88671875" style="202"/>
    <col min="11783" max="11783" width="3" style="202" customWidth="1"/>
    <col min="11784" max="11784" width="4.88671875" style="202" customWidth="1"/>
    <col min="11785" max="11785" width="7.6640625" style="202" customWidth="1"/>
    <col min="11786" max="11786" width="7.44140625" style="202" customWidth="1"/>
    <col min="11787" max="11787" width="5.5546875" style="202" customWidth="1"/>
    <col min="11788" max="11788" width="4.5546875" style="202" customWidth="1"/>
    <col min="11789" max="11789" width="8.5546875" style="202" customWidth="1"/>
    <col min="11790" max="11790" width="5.5546875" style="202" customWidth="1"/>
    <col min="11791" max="11791" width="6.6640625" style="202" bestFit="1" customWidth="1"/>
    <col min="11792" max="11792" width="6.88671875" style="202" customWidth="1"/>
    <col min="11793" max="11793" width="8.33203125" style="202" customWidth="1"/>
    <col min="11794" max="11794" width="9.44140625" style="202" customWidth="1"/>
    <col min="11795" max="11795" width="4.88671875" style="202" customWidth="1"/>
    <col min="11796" max="11804" width="8.88671875" style="202"/>
    <col min="11805" max="11805" width="9.44140625" style="202" customWidth="1"/>
    <col min="11806" max="12038" width="8.88671875" style="202"/>
    <col min="12039" max="12039" width="3" style="202" customWidth="1"/>
    <col min="12040" max="12040" width="4.88671875" style="202" customWidth="1"/>
    <col min="12041" max="12041" width="7.6640625" style="202" customWidth="1"/>
    <col min="12042" max="12042" width="7.44140625" style="202" customWidth="1"/>
    <col min="12043" max="12043" width="5.5546875" style="202" customWidth="1"/>
    <col min="12044" max="12044" width="4.5546875" style="202" customWidth="1"/>
    <col min="12045" max="12045" width="8.5546875" style="202" customWidth="1"/>
    <col min="12046" max="12046" width="5.5546875" style="202" customWidth="1"/>
    <col min="12047" max="12047" width="6.6640625" style="202" bestFit="1" customWidth="1"/>
    <col min="12048" max="12048" width="6.88671875" style="202" customWidth="1"/>
    <col min="12049" max="12049" width="8.33203125" style="202" customWidth="1"/>
    <col min="12050" max="12050" width="9.44140625" style="202" customWidth="1"/>
    <col min="12051" max="12051" width="4.88671875" style="202" customWidth="1"/>
    <col min="12052" max="12060" width="8.88671875" style="202"/>
    <col min="12061" max="12061" width="9.44140625" style="202" customWidth="1"/>
    <col min="12062" max="12294" width="8.88671875" style="202"/>
    <col min="12295" max="12295" width="3" style="202" customWidth="1"/>
    <col min="12296" max="12296" width="4.88671875" style="202" customWidth="1"/>
    <col min="12297" max="12297" width="7.6640625" style="202" customWidth="1"/>
    <col min="12298" max="12298" width="7.44140625" style="202" customWidth="1"/>
    <col min="12299" max="12299" width="5.5546875" style="202" customWidth="1"/>
    <col min="12300" max="12300" width="4.5546875" style="202" customWidth="1"/>
    <col min="12301" max="12301" width="8.5546875" style="202" customWidth="1"/>
    <col min="12302" max="12302" width="5.5546875" style="202" customWidth="1"/>
    <col min="12303" max="12303" width="6.6640625" style="202" bestFit="1" customWidth="1"/>
    <col min="12304" max="12304" width="6.88671875" style="202" customWidth="1"/>
    <col min="12305" max="12305" width="8.33203125" style="202" customWidth="1"/>
    <col min="12306" max="12306" width="9.44140625" style="202" customWidth="1"/>
    <col min="12307" max="12307" width="4.88671875" style="202" customWidth="1"/>
    <col min="12308" max="12316" width="8.88671875" style="202"/>
    <col min="12317" max="12317" width="9.44140625" style="202" customWidth="1"/>
    <col min="12318" max="12550" width="8.88671875" style="202"/>
    <col min="12551" max="12551" width="3" style="202" customWidth="1"/>
    <col min="12552" max="12552" width="4.88671875" style="202" customWidth="1"/>
    <col min="12553" max="12553" width="7.6640625" style="202" customWidth="1"/>
    <col min="12554" max="12554" width="7.44140625" style="202" customWidth="1"/>
    <col min="12555" max="12555" width="5.5546875" style="202" customWidth="1"/>
    <col min="12556" max="12556" width="4.5546875" style="202" customWidth="1"/>
    <col min="12557" max="12557" width="8.5546875" style="202" customWidth="1"/>
    <col min="12558" max="12558" width="5.5546875" style="202" customWidth="1"/>
    <col min="12559" max="12559" width="6.6640625" style="202" bestFit="1" customWidth="1"/>
    <col min="12560" max="12560" width="6.88671875" style="202" customWidth="1"/>
    <col min="12561" max="12561" width="8.33203125" style="202" customWidth="1"/>
    <col min="12562" max="12562" width="9.44140625" style="202" customWidth="1"/>
    <col min="12563" max="12563" width="4.88671875" style="202" customWidth="1"/>
    <col min="12564" max="12572" width="8.88671875" style="202"/>
    <col min="12573" max="12573" width="9.44140625" style="202" customWidth="1"/>
    <col min="12574" max="12806" width="8.88671875" style="202"/>
    <col min="12807" max="12807" width="3" style="202" customWidth="1"/>
    <col min="12808" max="12808" width="4.88671875" style="202" customWidth="1"/>
    <col min="12809" max="12809" width="7.6640625" style="202" customWidth="1"/>
    <col min="12810" max="12810" width="7.44140625" style="202" customWidth="1"/>
    <col min="12811" max="12811" width="5.5546875" style="202" customWidth="1"/>
    <col min="12812" max="12812" width="4.5546875" style="202" customWidth="1"/>
    <col min="12813" max="12813" width="8.5546875" style="202" customWidth="1"/>
    <col min="12814" max="12814" width="5.5546875" style="202" customWidth="1"/>
    <col min="12815" max="12815" width="6.6640625" style="202" bestFit="1" customWidth="1"/>
    <col min="12816" max="12816" width="6.88671875" style="202" customWidth="1"/>
    <col min="12817" max="12817" width="8.33203125" style="202" customWidth="1"/>
    <col min="12818" max="12818" width="9.44140625" style="202" customWidth="1"/>
    <col min="12819" max="12819" width="4.88671875" style="202" customWidth="1"/>
    <col min="12820" max="12828" width="8.88671875" style="202"/>
    <col min="12829" max="12829" width="9.44140625" style="202" customWidth="1"/>
    <col min="12830" max="13062" width="8.88671875" style="202"/>
    <col min="13063" max="13063" width="3" style="202" customWidth="1"/>
    <col min="13064" max="13064" width="4.88671875" style="202" customWidth="1"/>
    <col min="13065" max="13065" width="7.6640625" style="202" customWidth="1"/>
    <col min="13066" max="13066" width="7.44140625" style="202" customWidth="1"/>
    <col min="13067" max="13067" width="5.5546875" style="202" customWidth="1"/>
    <col min="13068" max="13068" width="4.5546875" style="202" customWidth="1"/>
    <col min="13069" max="13069" width="8.5546875" style="202" customWidth="1"/>
    <col min="13070" max="13070" width="5.5546875" style="202" customWidth="1"/>
    <col min="13071" max="13071" width="6.6640625" style="202" bestFit="1" customWidth="1"/>
    <col min="13072" max="13072" width="6.88671875" style="202" customWidth="1"/>
    <col min="13073" max="13073" width="8.33203125" style="202" customWidth="1"/>
    <col min="13074" max="13074" width="9.44140625" style="202" customWidth="1"/>
    <col min="13075" max="13075" width="4.88671875" style="202" customWidth="1"/>
    <col min="13076" max="13084" width="8.88671875" style="202"/>
    <col min="13085" max="13085" width="9.44140625" style="202" customWidth="1"/>
    <col min="13086" max="13318" width="8.88671875" style="202"/>
    <col min="13319" max="13319" width="3" style="202" customWidth="1"/>
    <col min="13320" max="13320" width="4.88671875" style="202" customWidth="1"/>
    <col min="13321" max="13321" width="7.6640625" style="202" customWidth="1"/>
    <col min="13322" max="13322" width="7.44140625" style="202" customWidth="1"/>
    <col min="13323" max="13323" width="5.5546875" style="202" customWidth="1"/>
    <col min="13324" max="13324" width="4.5546875" style="202" customWidth="1"/>
    <col min="13325" max="13325" width="8.5546875" style="202" customWidth="1"/>
    <col min="13326" max="13326" width="5.5546875" style="202" customWidth="1"/>
    <col min="13327" max="13327" width="6.6640625" style="202" bestFit="1" customWidth="1"/>
    <col min="13328" max="13328" width="6.88671875" style="202" customWidth="1"/>
    <col min="13329" max="13329" width="8.33203125" style="202" customWidth="1"/>
    <col min="13330" max="13330" width="9.44140625" style="202" customWidth="1"/>
    <col min="13331" max="13331" width="4.88671875" style="202" customWidth="1"/>
    <col min="13332" max="13340" width="8.88671875" style="202"/>
    <col min="13341" max="13341" width="9.44140625" style="202" customWidth="1"/>
    <col min="13342" max="13574" width="8.88671875" style="202"/>
    <col min="13575" max="13575" width="3" style="202" customWidth="1"/>
    <col min="13576" max="13576" width="4.88671875" style="202" customWidth="1"/>
    <col min="13577" max="13577" width="7.6640625" style="202" customWidth="1"/>
    <col min="13578" max="13578" width="7.44140625" style="202" customWidth="1"/>
    <col min="13579" max="13579" width="5.5546875" style="202" customWidth="1"/>
    <col min="13580" max="13580" width="4.5546875" style="202" customWidth="1"/>
    <col min="13581" max="13581" width="8.5546875" style="202" customWidth="1"/>
    <col min="13582" max="13582" width="5.5546875" style="202" customWidth="1"/>
    <col min="13583" max="13583" width="6.6640625" style="202" bestFit="1" customWidth="1"/>
    <col min="13584" max="13584" width="6.88671875" style="202" customWidth="1"/>
    <col min="13585" max="13585" width="8.33203125" style="202" customWidth="1"/>
    <col min="13586" max="13586" width="9.44140625" style="202" customWidth="1"/>
    <col min="13587" max="13587" width="4.88671875" style="202" customWidth="1"/>
    <col min="13588" max="13596" width="8.88671875" style="202"/>
    <col min="13597" max="13597" width="9.44140625" style="202" customWidth="1"/>
    <col min="13598" max="13830" width="8.88671875" style="202"/>
    <col min="13831" max="13831" width="3" style="202" customWidth="1"/>
    <col min="13832" max="13832" width="4.88671875" style="202" customWidth="1"/>
    <col min="13833" max="13833" width="7.6640625" style="202" customWidth="1"/>
    <col min="13834" max="13834" width="7.44140625" style="202" customWidth="1"/>
    <col min="13835" max="13835" width="5.5546875" style="202" customWidth="1"/>
    <col min="13836" max="13836" width="4.5546875" style="202" customWidth="1"/>
    <col min="13837" max="13837" width="8.5546875" style="202" customWidth="1"/>
    <col min="13838" max="13838" width="5.5546875" style="202" customWidth="1"/>
    <col min="13839" max="13839" width="6.6640625" style="202" bestFit="1" customWidth="1"/>
    <col min="13840" max="13840" width="6.88671875" style="202" customWidth="1"/>
    <col min="13841" max="13841" width="8.33203125" style="202" customWidth="1"/>
    <col min="13842" max="13842" width="9.44140625" style="202" customWidth="1"/>
    <col min="13843" max="13843" width="4.88671875" style="202" customWidth="1"/>
    <col min="13844" max="13852" width="8.88671875" style="202"/>
    <col min="13853" max="13853" width="9.44140625" style="202" customWidth="1"/>
    <col min="13854" max="14086" width="8.88671875" style="202"/>
    <col min="14087" max="14087" width="3" style="202" customWidth="1"/>
    <col min="14088" max="14088" width="4.88671875" style="202" customWidth="1"/>
    <col min="14089" max="14089" width="7.6640625" style="202" customWidth="1"/>
    <col min="14090" max="14090" width="7.44140625" style="202" customWidth="1"/>
    <col min="14091" max="14091" width="5.5546875" style="202" customWidth="1"/>
    <col min="14092" max="14092" width="4.5546875" style="202" customWidth="1"/>
    <col min="14093" max="14093" width="8.5546875" style="202" customWidth="1"/>
    <col min="14094" max="14094" width="5.5546875" style="202" customWidth="1"/>
    <col min="14095" max="14095" width="6.6640625" style="202" bestFit="1" customWidth="1"/>
    <col min="14096" max="14096" width="6.88671875" style="202" customWidth="1"/>
    <col min="14097" max="14097" width="8.33203125" style="202" customWidth="1"/>
    <col min="14098" max="14098" width="9.44140625" style="202" customWidth="1"/>
    <col min="14099" max="14099" width="4.88671875" style="202" customWidth="1"/>
    <col min="14100" max="14108" width="8.88671875" style="202"/>
    <col min="14109" max="14109" width="9.44140625" style="202" customWidth="1"/>
    <col min="14110" max="14342" width="8.88671875" style="202"/>
    <col min="14343" max="14343" width="3" style="202" customWidth="1"/>
    <col min="14344" max="14344" width="4.88671875" style="202" customWidth="1"/>
    <col min="14345" max="14345" width="7.6640625" style="202" customWidth="1"/>
    <col min="14346" max="14346" width="7.44140625" style="202" customWidth="1"/>
    <col min="14347" max="14347" width="5.5546875" style="202" customWidth="1"/>
    <col min="14348" max="14348" width="4.5546875" style="202" customWidth="1"/>
    <col min="14349" max="14349" width="8.5546875" style="202" customWidth="1"/>
    <col min="14350" max="14350" width="5.5546875" style="202" customWidth="1"/>
    <col min="14351" max="14351" width="6.6640625" style="202" bestFit="1" customWidth="1"/>
    <col min="14352" max="14352" width="6.88671875" style="202" customWidth="1"/>
    <col min="14353" max="14353" width="8.33203125" style="202" customWidth="1"/>
    <col min="14354" max="14354" width="9.44140625" style="202" customWidth="1"/>
    <col min="14355" max="14355" width="4.88671875" style="202" customWidth="1"/>
    <col min="14356" max="14364" width="8.88671875" style="202"/>
    <col min="14365" max="14365" width="9.44140625" style="202" customWidth="1"/>
    <col min="14366" max="14598" width="8.88671875" style="202"/>
    <col min="14599" max="14599" width="3" style="202" customWidth="1"/>
    <col min="14600" max="14600" width="4.88671875" style="202" customWidth="1"/>
    <col min="14601" max="14601" width="7.6640625" style="202" customWidth="1"/>
    <col min="14602" max="14602" width="7.44140625" style="202" customWidth="1"/>
    <col min="14603" max="14603" width="5.5546875" style="202" customWidth="1"/>
    <col min="14604" max="14604" width="4.5546875" style="202" customWidth="1"/>
    <col min="14605" max="14605" width="8.5546875" style="202" customWidth="1"/>
    <col min="14606" max="14606" width="5.5546875" style="202" customWidth="1"/>
    <col min="14607" max="14607" width="6.6640625" style="202" bestFit="1" customWidth="1"/>
    <col min="14608" max="14608" width="6.88671875" style="202" customWidth="1"/>
    <col min="14609" max="14609" width="8.33203125" style="202" customWidth="1"/>
    <col min="14610" max="14610" width="9.44140625" style="202" customWidth="1"/>
    <col min="14611" max="14611" width="4.88671875" style="202" customWidth="1"/>
    <col min="14612" max="14620" width="8.88671875" style="202"/>
    <col min="14621" max="14621" width="9.44140625" style="202" customWidth="1"/>
    <col min="14622" max="14854" width="8.88671875" style="202"/>
    <col min="14855" max="14855" width="3" style="202" customWidth="1"/>
    <col min="14856" max="14856" width="4.88671875" style="202" customWidth="1"/>
    <col min="14857" max="14857" width="7.6640625" style="202" customWidth="1"/>
    <col min="14858" max="14858" width="7.44140625" style="202" customWidth="1"/>
    <col min="14859" max="14859" width="5.5546875" style="202" customWidth="1"/>
    <col min="14860" max="14860" width="4.5546875" style="202" customWidth="1"/>
    <col min="14861" max="14861" width="8.5546875" style="202" customWidth="1"/>
    <col min="14862" max="14862" width="5.5546875" style="202" customWidth="1"/>
    <col min="14863" max="14863" width="6.6640625" style="202" bestFit="1" customWidth="1"/>
    <col min="14864" max="14864" width="6.88671875" style="202" customWidth="1"/>
    <col min="14865" max="14865" width="8.33203125" style="202" customWidth="1"/>
    <col min="14866" max="14866" width="9.44140625" style="202" customWidth="1"/>
    <col min="14867" max="14867" width="4.88671875" style="202" customWidth="1"/>
    <col min="14868" max="14876" width="8.88671875" style="202"/>
    <col min="14877" max="14877" width="9.44140625" style="202" customWidth="1"/>
    <col min="14878" max="15110" width="8.88671875" style="202"/>
    <col min="15111" max="15111" width="3" style="202" customWidth="1"/>
    <col min="15112" max="15112" width="4.88671875" style="202" customWidth="1"/>
    <col min="15113" max="15113" width="7.6640625" style="202" customWidth="1"/>
    <col min="15114" max="15114" width="7.44140625" style="202" customWidth="1"/>
    <col min="15115" max="15115" width="5.5546875" style="202" customWidth="1"/>
    <col min="15116" max="15116" width="4.5546875" style="202" customWidth="1"/>
    <col min="15117" max="15117" width="8.5546875" style="202" customWidth="1"/>
    <col min="15118" max="15118" width="5.5546875" style="202" customWidth="1"/>
    <col min="15119" max="15119" width="6.6640625" style="202" bestFit="1" customWidth="1"/>
    <col min="15120" max="15120" width="6.88671875" style="202" customWidth="1"/>
    <col min="15121" max="15121" width="8.33203125" style="202" customWidth="1"/>
    <col min="15122" max="15122" width="9.44140625" style="202" customWidth="1"/>
    <col min="15123" max="15123" width="4.88671875" style="202" customWidth="1"/>
    <col min="15124" max="15132" width="8.88671875" style="202"/>
    <col min="15133" max="15133" width="9.44140625" style="202" customWidth="1"/>
    <col min="15134" max="15366" width="8.88671875" style="202"/>
    <col min="15367" max="15367" width="3" style="202" customWidth="1"/>
    <col min="15368" max="15368" width="4.88671875" style="202" customWidth="1"/>
    <col min="15369" max="15369" width="7.6640625" style="202" customWidth="1"/>
    <col min="15370" max="15370" width="7.44140625" style="202" customWidth="1"/>
    <col min="15371" max="15371" width="5.5546875" style="202" customWidth="1"/>
    <col min="15372" max="15372" width="4.5546875" style="202" customWidth="1"/>
    <col min="15373" max="15373" width="8.5546875" style="202" customWidth="1"/>
    <col min="15374" max="15374" width="5.5546875" style="202" customWidth="1"/>
    <col min="15375" max="15375" width="6.6640625" style="202" bestFit="1" customWidth="1"/>
    <col min="15376" max="15376" width="6.88671875" style="202" customWidth="1"/>
    <col min="15377" max="15377" width="8.33203125" style="202" customWidth="1"/>
    <col min="15378" max="15378" width="9.44140625" style="202" customWidth="1"/>
    <col min="15379" max="15379" width="4.88671875" style="202" customWidth="1"/>
    <col min="15380" max="15388" width="8.88671875" style="202"/>
    <col min="15389" max="15389" width="9.44140625" style="202" customWidth="1"/>
    <col min="15390" max="15622" width="8.88671875" style="202"/>
    <col min="15623" max="15623" width="3" style="202" customWidth="1"/>
    <col min="15624" max="15624" width="4.88671875" style="202" customWidth="1"/>
    <col min="15625" max="15625" width="7.6640625" style="202" customWidth="1"/>
    <col min="15626" max="15626" width="7.44140625" style="202" customWidth="1"/>
    <col min="15627" max="15627" width="5.5546875" style="202" customWidth="1"/>
    <col min="15628" max="15628" width="4.5546875" style="202" customWidth="1"/>
    <col min="15629" max="15629" width="8.5546875" style="202" customWidth="1"/>
    <col min="15630" max="15630" width="5.5546875" style="202" customWidth="1"/>
    <col min="15631" max="15631" width="6.6640625" style="202" bestFit="1" customWidth="1"/>
    <col min="15632" max="15632" width="6.88671875" style="202" customWidth="1"/>
    <col min="15633" max="15633" width="8.33203125" style="202" customWidth="1"/>
    <col min="15634" max="15634" width="9.44140625" style="202" customWidth="1"/>
    <col min="15635" max="15635" width="4.88671875" style="202" customWidth="1"/>
    <col min="15636" max="15644" width="8.88671875" style="202"/>
    <col min="15645" max="15645" width="9.44140625" style="202" customWidth="1"/>
    <col min="15646" max="15878" width="8.88671875" style="202"/>
    <col min="15879" max="15879" width="3" style="202" customWidth="1"/>
    <col min="15880" max="15880" width="4.88671875" style="202" customWidth="1"/>
    <col min="15881" max="15881" width="7.6640625" style="202" customWidth="1"/>
    <col min="15882" max="15882" width="7.44140625" style="202" customWidth="1"/>
    <col min="15883" max="15883" width="5.5546875" style="202" customWidth="1"/>
    <col min="15884" max="15884" width="4.5546875" style="202" customWidth="1"/>
    <col min="15885" max="15885" width="8.5546875" style="202" customWidth="1"/>
    <col min="15886" max="15886" width="5.5546875" style="202" customWidth="1"/>
    <col min="15887" max="15887" width="6.6640625" style="202" bestFit="1" customWidth="1"/>
    <col min="15888" max="15888" width="6.88671875" style="202" customWidth="1"/>
    <col min="15889" max="15889" width="8.33203125" style="202" customWidth="1"/>
    <col min="15890" max="15890" width="9.44140625" style="202" customWidth="1"/>
    <col min="15891" max="15891" width="4.88671875" style="202" customWidth="1"/>
    <col min="15892" max="15900" width="8.88671875" style="202"/>
    <col min="15901" max="15901" width="9.44140625" style="202" customWidth="1"/>
    <col min="15902" max="16134" width="8.88671875" style="202"/>
    <col min="16135" max="16135" width="3" style="202" customWidth="1"/>
    <col min="16136" max="16136" width="4.88671875" style="202" customWidth="1"/>
    <col min="16137" max="16137" width="7.6640625" style="202" customWidth="1"/>
    <col min="16138" max="16138" width="7.44140625" style="202" customWidth="1"/>
    <col min="16139" max="16139" width="5.5546875" style="202" customWidth="1"/>
    <col min="16140" max="16140" width="4.5546875" style="202" customWidth="1"/>
    <col min="16141" max="16141" width="8.5546875" style="202" customWidth="1"/>
    <col min="16142" max="16142" width="5.5546875" style="202" customWidth="1"/>
    <col min="16143" max="16143" width="6.6640625" style="202" bestFit="1" customWidth="1"/>
    <col min="16144" max="16144" width="6.88671875" style="202" customWidth="1"/>
    <col min="16145" max="16145" width="8.33203125" style="202" customWidth="1"/>
    <col min="16146" max="16146" width="9.44140625" style="202" customWidth="1"/>
    <col min="16147" max="16147" width="4.88671875" style="202" customWidth="1"/>
    <col min="16148" max="16156" width="8.88671875" style="202"/>
    <col min="16157" max="16157" width="9.44140625" style="202" customWidth="1"/>
    <col min="16158" max="16384" width="8.88671875" style="202"/>
  </cols>
  <sheetData>
    <row r="1" spans="1:28" ht="20.25">
      <c r="A1" s="991"/>
      <c r="B1" s="991" t="str">
        <f ca="1">SUBSTITUTE(CELL("address",F54),"$","")</f>
        <v>F54</v>
      </c>
      <c r="C1" s="991"/>
      <c r="D1" s="227"/>
      <c r="E1" s="1623" t="str">
        <f>E10</f>
        <v>BIÊN BẢN KIỂM TRA CỐT THÉP</v>
      </c>
      <c r="F1" s="1623"/>
      <c r="G1" s="1623"/>
      <c r="H1" s="1623"/>
      <c r="I1" s="1623"/>
      <c r="J1" s="1623"/>
      <c r="K1" s="1623"/>
      <c r="L1" s="1623"/>
      <c r="M1" s="1623"/>
      <c r="N1" s="1623"/>
      <c r="O1" s="1623"/>
      <c r="P1" s="1623"/>
      <c r="Q1" s="1623"/>
      <c r="R1" s="1623"/>
      <c r="S1" s="227"/>
      <c r="T1" s="227"/>
      <c r="U1" s="227"/>
      <c r="V1" s="227"/>
      <c r="W1" s="227"/>
      <c r="X1" s="227"/>
      <c r="Y1" s="227"/>
      <c r="Z1" s="227"/>
      <c r="AA1" s="227"/>
      <c r="AB1" s="227"/>
    </row>
    <row r="2" spans="1:28" ht="16.5">
      <c r="A2" s="991" t="str">
        <f>IFERROR(MID(VLOOKUP($T$2,LIST_BBKT_CT!$A$6:$H$700,8,0),FIND("/",VLOOKUP($T$2,LIST_BBKT_CT!$A$6:$H$700,8,0))+1,100),"")</f>
        <v>CT.1001</v>
      </c>
      <c r="B2" s="991" t="str">
        <f ca="1">SUBSTITUTE(CELL("address",F57),"$","")</f>
        <v>F57</v>
      </c>
      <c r="C2" s="991">
        <f>ROW(E132)</f>
        <v>132</v>
      </c>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1624"/>
      <c r="N2" s="1624"/>
      <c r="O2" s="1624"/>
      <c r="P2" s="1624"/>
      <c r="Q2" s="1624"/>
      <c r="R2" s="1624"/>
      <c r="S2" s="227"/>
      <c r="T2" s="294">
        <v>1</v>
      </c>
      <c r="U2" s="227"/>
      <c r="V2" s="227"/>
      <c r="W2" s="227"/>
      <c r="X2" s="227"/>
      <c r="Y2" s="227"/>
      <c r="Z2" s="227"/>
      <c r="AA2" s="227"/>
      <c r="AB2" s="227"/>
    </row>
    <row r="3" spans="1:28" ht="16.5">
      <c r="A3" s="985"/>
      <c r="B3" s="991" t="str">
        <f ca="1">SUBSTITUTE(CELL("address",F129),"$","")</f>
        <v>F129</v>
      </c>
      <c r="C3" s="991">
        <f>ROW(E138)</f>
        <v>138</v>
      </c>
      <c r="D3" s="227"/>
      <c r="E3" s="1624" t="str">
        <f>"     Địa điểm XD: "&amp;DDXD</f>
        <v xml:space="preserve">     Địa điểm XD: Huyện Ninh Hải - Tỉnh Ninh Thuận</v>
      </c>
      <c r="F3" s="1624"/>
      <c r="G3" s="1624"/>
      <c r="H3" s="1624"/>
      <c r="I3" s="1624"/>
      <c r="J3" s="1624"/>
      <c r="K3" s="1624"/>
      <c r="L3" s="1624"/>
      <c r="M3" s="1624"/>
      <c r="N3" s="1624"/>
      <c r="O3" s="1624"/>
      <c r="P3" s="1624"/>
      <c r="Q3" s="1624"/>
      <c r="R3" s="1624"/>
      <c r="S3" s="227"/>
      <c r="T3" s="227"/>
      <c r="U3" s="227"/>
      <c r="V3" s="227"/>
      <c r="W3" s="227"/>
      <c r="X3" s="227"/>
      <c r="Y3" s="227"/>
      <c r="Z3" s="227"/>
      <c r="AA3" s="227"/>
      <c r="AB3" s="227"/>
    </row>
    <row r="4" spans="1:28" ht="13.5" customHeight="1">
      <c r="A4" s="309"/>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row>
    <row r="5" spans="1:28" ht="16.5">
      <c r="A5" s="227"/>
      <c r="B5" s="227"/>
      <c r="C5" s="227"/>
      <c r="D5" s="227"/>
      <c r="E5" s="1625" t="s">
        <v>158</v>
      </c>
      <c r="F5" s="1625"/>
      <c r="G5" s="1625"/>
      <c r="H5" s="1625"/>
      <c r="I5" s="1625"/>
      <c r="J5" s="1625"/>
      <c r="K5" s="1625"/>
      <c r="L5" s="1625"/>
      <c r="M5" s="1625"/>
      <c r="N5" s="1625"/>
      <c r="O5" s="1625"/>
      <c r="P5" s="1625"/>
      <c r="Q5" s="1625"/>
      <c r="R5" s="1625"/>
      <c r="S5" s="736"/>
      <c r="T5" s="736"/>
      <c r="U5" s="736"/>
      <c r="V5" s="736"/>
      <c r="W5" s="227"/>
      <c r="X5" s="227"/>
      <c r="Y5" s="227"/>
      <c r="Z5" s="227"/>
      <c r="AA5" s="227"/>
      <c r="AB5" s="227"/>
    </row>
    <row r="6" spans="1:28" ht="15" customHeight="1">
      <c r="A6" s="227"/>
      <c r="B6" s="227"/>
      <c r="C6" s="227"/>
      <c r="D6" s="227"/>
      <c r="E6" s="1626" t="s">
        <v>161</v>
      </c>
      <c r="F6" s="1626"/>
      <c r="G6" s="1626"/>
      <c r="H6" s="1626"/>
      <c r="I6" s="1626"/>
      <c r="J6" s="1626"/>
      <c r="K6" s="1626"/>
      <c r="L6" s="1626"/>
      <c r="M6" s="1626"/>
      <c r="N6" s="1626"/>
      <c r="O6" s="1626"/>
      <c r="P6" s="1626"/>
      <c r="Q6" s="1626"/>
      <c r="R6" s="1626"/>
      <c r="S6" s="736"/>
      <c r="T6" s="736"/>
      <c r="U6" s="736"/>
      <c r="V6" s="736"/>
      <c r="W6" s="227"/>
      <c r="X6" s="227"/>
      <c r="Y6" s="227"/>
      <c r="Z6" s="227"/>
      <c r="AA6" s="227"/>
      <c r="AB6" s="227"/>
    </row>
    <row r="7" spans="1:28" ht="6.75" customHeight="1">
      <c r="A7" s="227"/>
      <c r="B7" s="227"/>
      <c r="C7" s="227"/>
      <c r="D7" s="227"/>
      <c r="E7" s="1627"/>
      <c r="F7" s="1627"/>
      <c r="G7" s="1627"/>
      <c r="H7" s="1627"/>
      <c r="I7" s="1627"/>
      <c r="J7" s="1627"/>
      <c r="K7" s="1627"/>
      <c r="L7" s="1627"/>
      <c r="M7" s="1627"/>
      <c r="N7" s="1627"/>
      <c r="O7" s="1627"/>
      <c r="P7" s="1627"/>
      <c r="Q7" s="1627"/>
      <c r="R7" s="1627"/>
      <c r="S7" s="736"/>
      <c r="T7" s="736"/>
      <c r="U7" s="736"/>
      <c r="V7" s="736"/>
      <c r="W7" s="227"/>
      <c r="X7" s="227"/>
      <c r="Y7" s="227"/>
      <c r="Z7" s="227"/>
      <c r="AA7" s="227"/>
      <c r="AB7" s="227"/>
    </row>
    <row r="8" spans="1:28" ht="16.5">
      <c r="A8" s="227"/>
      <c r="B8" s="227"/>
      <c r="C8" s="227"/>
      <c r="D8" s="227"/>
      <c r="E8" s="1622" t="str">
        <f>Diadanh&amp;", "&amp;IFERROR(Doingay(VLOOKUP($T$2,LIST_BBKT_CT!$A$6:$H$700,6,0))," ngày ….. tháng ….. năm …..")</f>
        <v>Ninh Hải,  ngày 18 tháng 5 năm 2020</v>
      </c>
      <c r="F8" s="1622"/>
      <c r="G8" s="1622"/>
      <c r="H8" s="1622"/>
      <c r="I8" s="1622"/>
      <c r="J8" s="1622"/>
      <c r="K8" s="1622"/>
      <c r="L8" s="1622"/>
      <c r="M8" s="1622"/>
      <c r="N8" s="1622"/>
      <c r="O8" s="1622"/>
      <c r="P8" s="1622"/>
      <c r="Q8" s="1622"/>
      <c r="R8" s="1622"/>
      <c r="S8" s="736"/>
      <c r="T8" s="736"/>
      <c r="U8" s="736"/>
      <c r="V8" s="736"/>
      <c r="W8" s="227"/>
      <c r="X8" s="227"/>
      <c r="Y8" s="227"/>
      <c r="Z8" s="227"/>
      <c r="AA8" s="227"/>
      <c r="AB8" s="227"/>
    </row>
    <row r="9" spans="1:28" ht="5.25" customHeight="1">
      <c r="A9" s="227"/>
      <c r="B9" s="227"/>
      <c r="C9" s="227"/>
      <c r="D9" s="227"/>
      <c r="E9" s="648"/>
      <c r="F9" s="648"/>
      <c r="G9" s="648"/>
      <c r="H9" s="648"/>
      <c r="I9" s="648"/>
      <c r="J9" s="648"/>
      <c r="K9" s="648"/>
      <c r="L9" s="648"/>
      <c r="M9" s="648"/>
      <c r="N9" s="648"/>
      <c r="O9" s="648"/>
      <c r="P9" s="648"/>
      <c r="Q9" s="648"/>
      <c r="R9" s="648"/>
      <c r="S9" s="736"/>
      <c r="T9" s="736"/>
      <c r="U9" s="736"/>
      <c r="V9" s="736"/>
      <c r="W9" s="227"/>
      <c r="X9" s="227"/>
      <c r="Y9" s="227"/>
      <c r="Z9" s="227"/>
      <c r="AA9" s="227"/>
      <c r="AB9" s="227"/>
    </row>
    <row r="10" spans="1:28" ht="20.25">
      <c r="A10" s="227"/>
      <c r="B10" s="227"/>
      <c r="C10" s="227"/>
      <c r="D10" s="227"/>
      <c r="E10" s="1657" t="s">
        <v>3904</v>
      </c>
      <c r="F10" s="1657"/>
      <c r="G10" s="1657"/>
      <c r="H10" s="1657"/>
      <c r="I10" s="1657"/>
      <c r="J10" s="1657"/>
      <c r="K10" s="1657"/>
      <c r="L10" s="1657"/>
      <c r="M10" s="1657"/>
      <c r="N10" s="1657"/>
      <c r="O10" s="1657"/>
      <c r="P10" s="1657"/>
      <c r="Q10" s="1657"/>
      <c r="R10" s="1657"/>
      <c r="S10" s="736"/>
      <c r="T10" s="736"/>
      <c r="U10" s="736"/>
      <c r="V10" s="736"/>
      <c r="W10" s="227"/>
      <c r="X10" s="227"/>
      <c r="Y10" s="227"/>
      <c r="Z10" s="227"/>
      <c r="AA10" s="227"/>
      <c r="AB10" s="227"/>
    </row>
    <row r="11" spans="1:28" ht="5.25" customHeight="1">
      <c r="A11" s="227"/>
      <c r="B11" s="227"/>
      <c r="C11" s="227"/>
      <c r="D11" s="227"/>
      <c r="E11" s="649"/>
      <c r="F11" s="649"/>
      <c r="G11" s="649"/>
      <c r="H11" s="649"/>
      <c r="I11" s="649"/>
      <c r="J11" s="649"/>
      <c r="K11" s="649"/>
      <c r="L11" s="649"/>
      <c r="M11" s="649"/>
      <c r="N11" s="649"/>
      <c r="O11" s="649"/>
      <c r="P11" s="649"/>
      <c r="Q11" s="649"/>
      <c r="R11" s="649"/>
      <c r="S11" s="736"/>
      <c r="T11" s="736"/>
      <c r="U11" s="736"/>
      <c r="V11" s="736"/>
      <c r="W11" s="227"/>
      <c r="X11" s="227"/>
      <c r="Y11" s="227"/>
      <c r="Z11" s="227"/>
      <c r="AA11" s="227"/>
      <c r="AB11" s="227"/>
    </row>
    <row r="12" spans="1:28"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1630"/>
      <c r="N12" s="1630"/>
      <c r="O12" s="1630"/>
      <c r="P12" s="1630"/>
      <c r="Q12" s="1630"/>
      <c r="R12" s="1630"/>
      <c r="S12" s="736"/>
      <c r="T12" s="736"/>
      <c r="U12" s="736">
        <f>ROW(E12)</f>
        <v>12</v>
      </c>
      <c r="V12" s="736"/>
      <c r="W12" s="227"/>
      <c r="X12" s="227"/>
      <c r="Y12" s="227"/>
      <c r="Z12" s="227"/>
      <c r="AA12" s="227"/>
      <c r="AB12" s="227"/>
    </row>
    <row r="13" spans="1:28" ht="20.100000000000001" hidden="1" customHeight="1">
      <c r="A13" s="227"/>
      <c r="B13" s="227"/>
      <c r="C13" s="227"/>
      <c r="D13" s="227"/>
      <c r="E13" s="1630" t="str">
        <f>IF(NDtieude2&lt;&gt;"",Tieude2&amp;": "&amp;NDtieude2,"")</f>
        <v/>
      </c>
      <c r="F13" s="1630"/>
      <c r="G13" s="1630"/>
      <c r="H13" s="1630"/>
      <c r="I13" s="1630"/>
      <c r="J13" s="1630"/>
      <c r="K13" s="1630"/>
      <c r="L13" s="1630"/>
      <c r="M13" s="1630"/>
      <c r="N13" s="1630"/>
      <c r="O13" s="1630"/>
      <c r="P13" s="1630"/>
      <c r="Q13" s="1630"/>
      <c r="R13" s="1630"/>
      <c r="S13" s="736"/>
      <c r="T13" s="736"/>
      <c r="U13" s="736">
        <f>ROW(E13)</f>
        <v>13</v>
      </c>
      <c r="V13" s="736"/>
      <c r="W13" s="227"/>
      <c r="X13" s="227"/>
      <c r="Y13" s="227"/>
      <c r="Z13" s="227"/>
      <c r="AA13" s="227"/>
      <c r="AB13" s="227"/>
    </row>
    <row r="14" spans="1:28" ht="20.100000000000001" customHeight="1">
      <c r="A14" s="227"/>
      <c r="B14" s="227"/>
      <c r="C14" s="227"/>
      <c r="D14" s="227"/>
      <c r="E14" s="1630" t="str">
        <f>IF(NDtieude3&lt;&gt;"",Tieude3&amp;": "&amp;NDtieude3,"")</f>
        <v>Hạng mục: Kênh và Công trình trên kênh</v>
      </c>
      <c r="F14" s="1630"/>
      <c r="G14" s="1630"/>
      <c r="H14" s="1630"/>
      <c r="I14" s="1630"/>
      <c r="J14" s="1630"/>
      <c r="K14" s="1630"/>
      <c r="L14" s="1630"/>
      <c r="M14" s="1630"/>
      <c r="N14" s="1630"/>
      <c r="O14" s="1630"/>
      <c r="P14" s="1630"/>
      <c r="Q14" s="1630"/>
      <c r="R14" s="1630"/>
      <c r="S14" s="736"/>
      <c r="T14" s="736"/>
      <c r="U14" s="736">
        <f>ROW(E14)</f>
        <v>14</v>
      </c>
      <c r="V14" s="736"/>
      <c r="W14" s="227"/>
      <c r="X14" s="227"/>
      <c r="Y14" s="227"/>
      <c r="Z14" s="227"/>
      <c r="AA14" s="227"/>
      <c r="AB14" s="227"/>
    </row>
    <row r="15" spans="1:28" ht="20.100000000000001"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1630"/>
      <c r="N15" s="1630"/>
      <c r="O15" s="1630"/>
      <c r="P15" s="1630"/>
      <c r="Q15" s="1630"/>
      <c r="R15" s="1630"/>
      <c r="S15" s="736"/>
      <c r="T15" s="736"/>
      <c r="U15" s="736">
        <f>ROW(E15)</f>
        <v>15</v>
      </c>
      <c r="V15" s="736"/>
      <c r="W15" s="227"/>
      <c r="X15" s="227"/>
      <c r="Y15" s="227"/>
      <c r="Z15" s="227"/>
      <c r="AA15" s="227"/>
      <c r="AB15" s="227"/>
    </row>
    <row r="16" spans="1:28" ht="4.5" customHeight="1">
      <c r="A16" s="227"/>
      <c r="B16" s="227"/>
      <c r="C16" s="227"/>
      <c r="D16" s="227"/>
      <c r="E16" s="201"/>
      <c r="N16" s="201"/>
      <c r="O16" s="201"/>
      <c r="P16" s="201"/>
      <c r="Q16" s="201"/>
      <c r="R16" s="201"/>
      <c r="S16" s="736"/>
      <c r="T16" s="736"/>
      <c r="U16" s="736"/>
      <c r="V16" s="736"/>
      <c r="W16" s="227"/>
      <c r="X16" s="227"/>
      <c r="Y16" s="227"/>
      <c r="Z16" s="227"/>
      <c r="AA16" s="227"/>
      <c r="AB16" s="227"/>
    </row>
    <row r="17" spans="1:28" ht="18" customHeight="1">
      <c r="A17" s="227"/>
      <c r="B17" s="227"/>
      <c r="C17" s="227"/>
      <c r="D17" s="227"/>
      <c r="E17" s="204" t="s">
        <v>3889</v>
      </c>
      <c r="F17" s="205" t="s">
        <v>3890</v>
      </c>
      <c r="G17" s="201"/>
      <c r="H17" s="201"/>
      <c r="I17" s="201"/>
      <c r="J17" s="201"/>
      <c r="K17" s="201"/>
      <c r="L17" s="201"/>
      <c r="M17" s="201"/>
      <c r="N17" s="201"/>
      <c r="O17" s="206"/>
      <c r="P17" s="206"/>
      <c r="Q17" s="207"/>
      <c r="R17" s="207"/>
      <c r="S17" s="736"/>
      <c r="T17" s="736"/>
      <c r="U17" s="736"/>
      <c r="V17" s="736"/>
      <c r="W17" s="227"/>
      <c r="X17" s="227"/>
      <c r="Y17" s="227"/>
      <c r="Z17" s="227"/>
      <c r="AA17" s="227"/>
      <c r="AB17" s="227"/>
    </row>
    <row r="18" spans="1:28" ht="20.100000000000001" customHeight="1">
      <c r="A18" s="227"/>
      <c r="B18" s="227"/>
      <c r="C18" s="227"/>
      <c r="D18" s="227"/>
      <c r="E18" s="1633" t="str">
        <f>"+ Đối tượng kiểm tra: "&amp;IFERROR(VLOOKUP($T$2,LIST_BBKT_CT!$A$6:$H$700,4,0),"")</f>
        <v>+ Đối tượng kiểm tra: Kiểm tra cốt thép kênh</v>
      </c>
      <c r="F18" s="1633"/>
      <c r="G18" s="1633"/>
      <c r="H18" s="1633"/>
      <c r="I18" s="1633"/>
      <c r="J18" s="1633"/>
      <c r="K18" s="1633"/>
      <c r="L18" s="1633"/>
      <c r="M18" s="1633"/>
      <c r="N18" s="1633"/>
      <c r="O18" s="1633"/>
      <c r="P18" s="1633"/>
      <c r="Q18" s="1633"/>
      <c r="R18" s="1633"/>
      <c r="S18" s="736"/>
      <c r="T18" s="736">
        <f>ROW()</f>
        <v>18</v>
      </c>
      <c r="U18" s="736"/>
      <c r="V18" s="736"/>
      <c r="W18" s="227"/>
      <c r="X18" s="227"/>
      <c r="Y18" s="227"/>
      <c r="Z18" s="227"/>
      <c r="AA18" s="227"/>
      <c r="AB18" s="227"/>
    </row>
    <row r="19" spans="1:28" ht="20.100000000000001" customHeight="1">
      <c r="A19" s="227"/>
      <c r="B19" s="227"/>
      <c r="C19" s="227"/>
      <c r="D19" s="227"/>
      <c r="E19" s="1633" t="str">
        <f>"+ Vị trí xây dựng trên công trình: "&amp;IFERROR(VLOOKUP($T$2,LIST_BBKT_CT!$A$6:$H$700,5,0),"")</f>
        <v>+ Vị trí xây dựng trên công trình: Đoạn Km0+300 đến Km0+400</v>
      </c>
      <c r="F19" s="1633"/>
      <c r="G19" s="1633"/>
      <c r="H19" s="1633"/>
      <c r="I19" s="1633"/>
      <c r="J19" s="1633"/>
      <c r="K19" s="1633"/>
      <c r="L19" s="1633"/>
      <c r="M19" s="1633"/>
      <c r="N19" s="1633"/>
      <c r="O19" s="1633"/>
      <c r="P19" s="1633"/>
      <c r="Q19" s="1633"/>
      <c r="R19" s="1633"/>
      <c r="S19" s="736"/>
      <c r="T19" s="736">
        <f>ROW()</f>
        <v>19</v>
      </c>
      <c r="U19" s="736"/>
      <c r="V19" s="736"/>
      <c r="W19" s="227"/>
      <c r="X19" s="227"/>
      <c r="Y19" s="227"/>
      <c r="Z19" s="227"/>
      <c r="AA19" s="227"/>
      <c r="AB19" s="227"/>
    </row>
    <row r="20" spans="1:28" ht="7.5" customHeight="1">
      <c r="A20" s="227"/>
      <c r="B20" s="227"/>
      <c r="C20" s="227"/>
      <c r="D20" s="227"/>
      <c r="E20" s="204"/>
      <c r="F20" s="205"/>
      <c r="G20" s="205"/>
      <c r="H20" s="205"/>
      <c r="I20" s="205"/>
      <c r="J20" s="205"/>
      <c r="K20" s="205"/>
      <c r="L20" s="205"/>
      <c r="M20" s="205"/>
      <c r="N20" s="201"/>
      <c r="O20" s="201"/>
      <c r="P20" s="201"/>
      <c r="Q20" s="201"/>
      <c r="R20" s="201"/>
      <c r="S20" s="736"/>
      <c r="T20" s="736"/>
      <c r="U20" s="736"/>
      <c r="V20" s="736"/>
      <c r="W20" s="227"/>
      <c r="X20" s="227"/>
      <c r="Y20" s="227"/>
      <c r="Z20" s="227"/>
      <c r="AA20" s="227"/>
      <c r="AB20" s="227"/>
    </row>
    <row r="21" spans="1:28" ht="17.25" customHeight="1">
      <c r="A21" s="227"/>
      <c r="B21" s="227"/>
      <c r="C21" s="227"/>
      <c r="D21" s="227"/>
      <c r="E21" s="163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1524"/>
      <c r="N21" s="1524"/>
      <c r="O21" s="1524"/>
      <c r="P21" s="1524"/>
      <c r="Q21" s="1524"/>
      <c r="R21" s="1524"/>
      <c r="S21" s="736"/>
      <c r="T21" s="736"/>
      <c r="U21" s="736">
        <f>ROW(E21)</f>
        <v>21</v>
      </c>
      <c r="V21" s="736"/>
      <c r="W21" s="227"/>
      <c r="X21" s="227"/>
      <c r="Y21" s="227"/>
      <c r="Z21" s="227"/>
      <c r="AA21" s="227"/>
      <c r="AB21" s="227"/>
    </row>
    <row r="22" spans="1:28" ht="18" customHeight="1">
      <c r="A22" s="227"/>
      <c r="B22" s="227"/>
      <c r="C22" s="227"/>
      <c r="D22" s="227"/>
      <c r="E22" s="201"/>
      <c r="G22" s="246" t="str">
        <f>GT_GS1&amp;CBGS1</f>
        <v>Ông: Trần Trọng Liêm</v>
      </c>
      <c r="H22" s="39"/>
      <c r="I22" s="39"/>
      <c r="J22" s="39"/>
      <c r="K22" s="39"/>
      <c r="L22" s="39"/>
      <c r="M22" s="435" t="str">
        <f>"Chức vụ: "&amp;CV_CBGS1</f>
        <v>Chức vụ: Giám sát trưởng</v>
      </c>
      <c r="Q22" s="201"/>
      <c r="R22" s="201"/>
      <c r="S22" s="736"/>
      <c r="T22" s="736"/>
      <c r="U22" s="736"/>
      <c r="V22" s="736"/>
      <c r="W22" s="227"/>
      <c r="X22" s="227"/>
      <c r="Y22" s="227"/>
      <c r="Z22" s="227"/>
      <c r="AA22" s="227"/>
      <c r="AB22" s="227"/>
    </row>
    <row r="23" spans="1:28" ht="18" customHeight="1">
      <c r="A23" s="227"/>
      <c r="B23" s="227"/>
      <c r="C23" s="227"/>
      <c r="D23" s="227"/>
      <c r="E23" s="201"/>
      <c r="G23" s="246" t="str">
        <f>GT_GS2&amp;CBGS2</f>
        <v>Bà  : Nguyễn Thị Minh</v>
      </c>
      <c r="H23" s="39"/>
      <c r="I23" s="39"/>
      <c r="J23" s="39"/>
      <c r="K23" s="39"/>
      <c r="L23" s="39"/>
      <c r="M23" s="650" t="str">
        <f>"Chức vụ: "&amp;CV_CBGS2</f>
        <v>Chức vụ: Giám sát viên</v>
      </c>
      <c r="Q23" s="201"/>
      <c r="R23" s="201"/>
      <c r="S23" s="736"/>
      <c r="T23" s="736"/>
      <c r="U23" s="736"/>
      <c r="V23" s="736"/>
      <c r="W23" s="227"/>
      <c r="X23" s="227"/>
      <c r="Y23" s="227"/>
      <c r="Z23" s="227"/>
      <c r="AA23" s="227"/>
      <c r="AB23" s="227"/>
    </row>
    <row r="24" spans="1:28" ht="18" customHeight="1">
      <c r="A24" s="227"/>
      <c r="B24" s="227"/>
      <c r="C24" s="227"/>
      <c r="D24" s="227"/>
      <c r="E24" s="201"/>
      <c r="G24" s="246" t="str">
        <f>GT_GS3&amp;CBGS3</f>
        <v>Ông: ………………………..</v>
      </c>
      <c r="H24" s="39"/>
      <c r="I24" s="39"/>
      <c r="J24" s="39"/>
      <c r="K24" s="39"/>
      <c r="L24" s="39"/>
      <c r="M24" s="650" t="str">
        <f>"Chức vụ: "&amp;CV_CBGS3</f>
        <v>Chức vụ:  …………………</v>
      </c>
      <c r="Q24" s="201"/>
      <c r="R24" s="201"/>
      <c r="S24" s="736"/>
      <c r="T24" s="736"/>
      <c r="U24" s="736"/>
      <c r="V24" s="736"/>
      <c r="W24" s="227"/>
      <c r="X24" s="227"/>
      <c r="Y24" s="227"/>
      <c r="Z24" s="227"/>
      <c r="AA24" s="227"/>
      <c r="AB24" s="227"/>
    </row>
    <row r="25" spans="1:28" ht="17.25" customHeight="1">
      <c r="A25" s="227"/>
      <c r="B25" s="227"/>
      <c r="C25" s="227"/>
      <c r="D25" s="227"/>
      <c r="E25" s="1632" t="str">
        <f>"b. Đại diện "&amp;LOWER(MID(Td_DVTC,1,1))&amp;MID(Td_DVTC,2,LEN(Td_DVTC))&amp;": "&amp;DVTC</f>
        <v>b. Đại diện đơn vị thi công: Công ty TNHH Xây dựng Thịnh Dũng</v>
      </c>
      <c r="F25" s="1524"/>
      <c r="G25" s="1524"/>
      <c r="H25" s="1524"/>
      <c r="I25" s="1524"/>
      <c r="J25" s="1524"/>
      <c r="K25" s="1524"/>
      <c r="L25" s="1524"/>
      <c r="M25" s="1524"/>
      <c r="N25" s="1524"/>
      <c r="O25" s="1524"/>
      <c r="P25" s="1524"/>
      <c r="Q25" s="1524"/>
      <c r="R25" s="1524"/>
      <c r="S25" s="736"/>
      <c r="T25" s="736"/>
      <c r="U25" s="736">
        <f>ROW(E25)</f>
        <v>25</v>
      </c>
      <c r="V25" s="736"/>
      <c r="W25" s="227"/>
      <c r="X25" s="227"/>
      <c r="Y25" s="227"/>
      <c r="Z25" s="227"/>
      <c r="AA25" s="227"/>
      <c r="AB25" s="227"/>
    </row>
    <row r="26" spans="1:28" ht="18" customHeight="1">
      <c r="A26" s="227"/>
      <c r="B26" s="227"/>
      <c r="C26" s="227"/>
      <c r="D26" s="227"/>
      <c r="E26" s="201"/>
      <c r="G26" s="62" t="str">
        <f>GT_CBKT1&amp;CBKT1</f>
        <v>Ông: Hoàng Đình Tảng</v>
      </c>
      <c r="H26" s="62"/>
      <c r="I26" s="62"/>
      <c r="J26" s="62"/>
      <c r="K26" s="62"/>
      <c r="L26" s="62"/>
      <c r="M26" s="51" t="str">
        <f>"Chức vụ: "&amp;CV_CBKT1</f>
        <v>Chức vụ: Chỉ huy công trường</v>
      </c>
      <c r="Q26" s="201"/>
      <c r="R26" s="201"/>
      <c r="S26" s="736"/>
      <c r="T26" s="736"/>
      <c r="U26" s="736"/>
      <c r="V26" s="736"/>
      <c r="W26" s="227"/>
      <c r="X26" s="227"/>
      <c r="Y26" s="227"/>
      <c r="Z26" s="227"/>
      <c r="AA26" s="227"/>
      <c r="AB26" s="227"/>
    </row>
    <row r="27" spans="1:28" ht="18" customHeight="1">
      <c r="A27" s="227"/>
      <c r="B27" s="227"/>
      <c r="C27" s="227"/>
      <c r="D27" s="227"/>
      <c r="E27" s="201"/>
      <c r="G27" s="62" t="str">
        <f>GT_CBKT2&amp;CBKT2</f>
        <v>Ông: Lê Thiên Phương</v>
      </c>
      <c r="H27" s="62"/>
      <c r="I27" s="62"/>
      <c r="J27" s="62"/>
      <c r="K27" s="62"/>
      <c r="L27" s="62"/>
      <c r="M27" s="51" t="str">
        <f>"Chức vụ: "&amp;CV_CBKT2</f>
        <v>Chức vụ: Kỹ thuật thi công</v>
      </c>
      <c r="Q27" s="201"/>
      <c r="R27" s="201"/>
      <c r="S27" s="736"/>
      <c r="T27" s="736"/>
      <c r="U27" s="736"/>
      <c r="V27" s="736"/>
      <c r="W27" s="227"/>
      <c r="X27" s="227"/>
      <c r="Y27" s="227"/>
      <c r="Z27" s="227"/>
      <c r="AA27" s="227"/>
      <c r="AB27" s="227"/>
    </row>
    <row r="28" spans="1:28" ht="18" hidden="1" customHeight="1">
      <c r="A28" s="227"/>
      <c r="B28" s="227"/>
      <c r="C28" s="227"/>
      <c r="D28" s="227"/>
      <c r="E28" s="201"/>
      <c r="G28" s="62" t="str">
        <f>GT_CBKT3&amp;CBKT3</f>
        <v>Ông: ………………………..</v>
      </c>
      <c r="H28" s="62"/>
      <c r="I28" s="62"/>
      <c r="J28" s="62"/>
      <c r="K28" s="62"/>
      <c r="L28" s="62"/>
      <c r="M28" s="51" t="str">
        <f>"Chức vụ: "&amp;CV_CBKT3</f>
        <v>Chức vụ: ………………………..</v>
      </c>
      <c r="Q28" s="201"/>
      <c r="R28" s="201"/>
      <c r="S28" s="736"/>
      <c r="T28" s="736"/>
      <c r="U28" s="736"/>
      <c r="V28" s="736"/>
      <c r="W28" s="227"/>
      <c r="X28" s="227"/>
      <c r="Y28" s="227"/>
      <c r="Z28" s="227"/>
      <c r="AA28" s="227"/>
      <c r="AB28" s="227"/>
    </row>
    <row r="29" spans="1:28" ht="18" customHeight="1">
      <c r="A29" s="227"/>
      <c r="B29" s="227"/>
      <c r="C29" s="227"/>
      <c r="D29" s="227"/>
      <c r="E29" s="204" t="s">
        <v>3893</v>
      </c>
      <c r="F29" s="205" t="s">
        <v>3894</v>
      </c>
      <c r="G29" s="201"/>
      <c r="H29" s="201"/>
      <c r="I29" s="201"/>
      <c r="J29" s="201"/>
      <c r="K29" s="201"/>
      <c r="L29" s="201"/>
      <c r="M29" s="201"/>
      <c r="N29" s="201"/>
      <c r="O29" s="209"/>
      <c r="P29" s="209"/>
      <c r="Q29" s="209"/>
      <c r="R29" s="201"/>
      <c r="S29" s="736"/>
      <c r="T29" s="736"/>
      <c r="U29" s="736"/>
      <c r="V29" s="736"/>
      <c r="W29" s="227"/>
      <c r="X29" s="227"/>
      <c r="Y29" s="227"/>
      <c r="Z29" s="227"/>
      <c r="AA29" s="227"/>
      <c r="AB29" s="227"/>
    </row>
    <row r="30" spans="1:28" s="211" customFormat="1" ht="18" customHeight="1">
      <c r="A30" s="227"/>
      <c r="B30" s="227"/>
      <c r="C30" s="227"/>
      <c r="D30" s="227"/>
      <c r="E30" s="210"/>
      <c r="F30" s="1631" t="str">
        <f>" + Bắt đấu: ……. giờ ….. phút, "&amp;IFERROR(Doingay(VLOOKUP($T$2,LIST_BBKT_CT!$A$6:$H$700,6,0))," ngày ….. tháng ….. năm …..")</f>
        <v xml:space="preserve"> + Bắt đấu: ……. giờ ….. phút,  ngày 18 tháng 5 năm 2020</v>
      </c>
      <c r="G30" s="1631"/>
      <c r="H30" s="1631"/>
      <c r="I30" s="1631"/>
      <c r="J30" s="1631"/>
      <c r="K30" s="1631"/>
      <c r="L30" s="1631"/>
      <c r="M30" s="1631"/>
      <c r="N30" s="1631"/>
      <c r="O30" s="1631"/>
      <c r="P30" s="1631"/>
      <c r="Q30" s="1631"/>
      <c r="R30" s="1631"/>
      <c r="S30" s="736"/>
      <c r="T30" s="736"/>
      <c r="U30" s="736"/>
      <c r="V30" s="736"/>
      <c r="W30" s="227"/>
      <c r="X30" s="227"/>
      <c r="Y30" s="227"/>
      <c r="Z30" s="227"/>
      <c r="AA30" s="227"/>
      <c r="AB30" s="227"/>
    </row>
    <row r="31" spans="1:28" s="211" customFormat="1" ht="18" customHeight="1">
      <c r="A31" s="227"/>
      <c r="B31" s="227"/>
      <c r="C31" s="227"/>
      <c r="D31" s="227"/>
      <c r="E31" s="210"/>
      <c r="F31" s="1628" t="str">
        <f>" + Kết thúc: ……. giờ ….. phút, "&amp;IFERROR(Doingay(VLOOKUP($T$2,LIST_BBKT_CT!$A$6:$H$700,6,0))," ngày ….. tháng ….. năm …..")</f>
        <v xml:space="preserve"> + Kết thúc: ……. giờ ….. phút,  ngày 18 tháng 5 năm 2020</v>
      </c>
      <c r="G31" s="1628"/>
      <c r="H31" s="1628"/>
      <c r="I31" s="1628"/>
      <c r="J31" s="1628"/>
      <c r="K31" s="1628"/>
      <c r="L31" s="1628"/>
      <c r="M31" s="1628"/>
      <c r="N31" s="1628"/>
      <c r="O31" s="1628"/>
      <c r="P31" s="1628"/>
      <c r="Q31" s="1628"/>
      <c r="R31" s="1628"/>
      <c r="S31" s="736"/>
      <c r="T31" s="736"/>
      <c r="U31" s="736"/>
      <c r="V31" s="736"/>
      <c r="W31" s="227"/>
      <c r="X31" s="227"/>
      <c r="Y31" s="227"/>
      <c r="Z31" s="227"/>
      <c r="AA31" s="227"/>
      <c r="AB31" s="227"/>
    </row>
    <row r="32" spans="1:28" ht="18" customHeight="1">
      <c r="A32" s="227"/>
      <c r="B32" s="227"/>
      <c r="C32" s="227"/>
      <c r="D32" s="227"/>
      <c r="E32" s="204" t="s">
        <v>3895</v>
      </c>
      <c r="F32" s="205" t="s">
        <v>4296</v>
      </c>
      <c r="G32" s="201"/>
      <c r="H32" s="201"/>
      <c r="I32" s="201"/>
      <c r="J32" s="201"/>
      <c r="K32" s="201"/>
      <c r="L32" s="201"/>
      <c r="M32" s="201"/>
      <c r="N32" s="201"/>
      <c r="O32" s="201"/>
      <c r="P32" s="201"/>
      <c r="Q32" s="201"/>
      <c r="R32" s="201"/>
      <c r="S32" s="736"/>
      <c r="T32" s="736"/>
      <c r="U32" s="736"/>
      <c r="V32" s="736"/>
      <c r="W32" s="227"/>
      <c r="X32" s="227"/>
      <c r="Y32" s="227"/>
      <c r="Z32" s="227"/>
      <c r="AA32" s="227"/>
      <c r="AB32" s="227"/>
    </row>
    <row r="33" spans="1:31" ht="36.6" customHeight="1">
      <c r="A33" s="227"/>
      <c r="B33" s="227"/>
      <c r="C33" s="227"/>
      <c r="D33" s="227"/>
      <c r="E33"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3" s="1620"/>
      <c r="G33" s="1620"/>
      <c r="H33" s="1620"/>
      <c r="I33" s="1620"/>
      <c r="J33" s="1620"/>
      <c r="K33" s="1620"/>
      <c r="L33" s="1620"/>
      <c r="M33" s="1620"/>
      <c r="N33" s="1620"/>
      <c r="O33" s="1620"/>
      <c r="P33" s="1620"/>
      <c r="Q33" s="1620"/>
      <c r="R33" s="1620"/>
      <c r="S33" s="736"/>
      <c r="T33" s="736"/>
      <c r="U33" s="736">
        <f>ROW(E33)</f>
        <v>33</v>
      </c>
      <c r="V33" s="736"/>
      <c r="W33" s="227"/>
      <c r="X33" s="227"/>
      <c r="Y33" s="227"/>
      <c r="Z33" s="227"/>
      <c r="AA33" s="227"/>
      <c r="AB33" s="227"/>
    </row>
    <row r="34" spans="1:31" ht="20.100000000000001" customHeight="1">
      <c r="A34" s="227"/>
      <c r="B34" s="227"/>
      <c r="C34" s="227"/>
      <c r="D34" s="227"/>
      <c r="E34" s="1621" t="s">
        <v>4298</v>
      </c>
      <c r="F34" s="1621"/>
      <c r="G34" s="1621"/>
      <c r="H34" s="1621"/>
      <c r="I34" s="1621"/>
      <c r="J34" s="1621"/>
      <c r="K34" s="1621"/>
      <c r="L34" s="1621"/>
      <c r="M34" s="1621"/>
      <c r="N34" s="1621"/>
      <c r="O34" s="1621"/>
      <c r="P34" s="1621"/>
      <c r="Q34" s="1621"/>
      <c r="R34" s="1621"/>
      <c r="S34" s="736"/>
      <c r="T34" s="736"/>
      <c r="U34" s="736">
        <f>ROW(E34)</f>
        <v>34</v>
      </c>
      <c r="V34" s="736"/>
      <c r="W34" s="227"/>
      <c r="X34" s="227"/>
      <c r="Y34" s="227"/>
      <c r="Z34" s="227"/>
      <c r="AA34" s="227"/>
      <c r="AB34" s="227"/>
    </row>
    <row r="35" spans="1:31" ht="53.1" customHeight="1">
      <c r="A35" s="227"/>
      <c r="B35" s="227"/>
      <c r="C35" s="227"/>
      <c r="D35" s="227"/>
      <c r="E35"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5" s="1621"/>
      <c r="G35" s="1621"/>
      <c r="H35" s="1621"/>
      <c r="I35" s="1621"/>
      <c r="J35" s="1621"/>
      <c r="K35" s="1621"/>
      <c r="L35" s="1621"/>
      <c r="M35" s="1621"/>
      <c r="N35" s="1621"/>
      <c r="O35" s="1621"/>
      <c r="P35" s="1621"/>
      <c r="Q35" s="1621"/>
      <c r="R35" s="1621"/>
      <c r="S35" s="736"/>
      <c r="T35" s="736"/>
      <c r="U35" s="736">
        <f>ROW(E35)</f>
        <v>35</v>
      </c>
      <c r="V35" s="736"/>
      <c r="W35" s="227"/>
      <c r="X35" s="227"/>
      <c r="Y35" s="227"/>
      <c r="Z35" s="227"/>
      <c r="AA35" s="227"/>
      <c r="AB35" s="227"/>
    </row>
    <row r="36" spans="1:31" ht="15" customHeight="1">
      <c r="A36" s="227"/>
      <c r="B36" s="227"/>
      <c r="C36" s="227"/>
      <c r="D36" s="227"/>
      <c r="E36" s="204" t="s">
        <v>3896</v>
      </c>
      <c r="F36" s="629" t="s">
        <v>3897</v>
      </c>
      <c r="G36" s="629"/>
      <c r="H36" s="432"/>
      <c r="I36" s="432"/>
      <c r="J36" s="432"/>
      <c r="K36" s="432"/>
      <c r="L36" s="432"/>
      <c r="M36" s="432"/>
      <c r="N36" s="212"/>
      <c r="O36" s="212"/>
      <c r="P36" s="212"/>
      <c r="Q36" s="212"/>
      <c r="R36" s="212"/>
      <c r="S36" s="736"/>
      <c r="T36" s="736"/>
      <c r="U36" s="736"/>
      <c r="V36" s="736"/>
      <c r="W36" s="227"/>
      <c r="X36" s="227"/>
      <c r="Y36" s="227"/>
      <c r="Z36" s="227"/>
      <c r="AA36" s="227"/>
      <c r="AB36" s="227"/>
      <c r="AC36" s="213"/>
      <c r="AD36" s="213"/>
      <c r="AE36" s="213"/>
    </row>
    <row r="37" spans="1:31" ht="15" hidden="1" customHeight="1">
      <c r="A37" s="227"/>
      <c r="B37" s="227"/>
      <c r="C37" s="227"/>
      <c r="D37" s="227"/>
      <c r="E37" s="204"/>
      <c r="F37" s="1637" t="s">
        <v>4297</v>
      </c>
      <c r="G37" s="1637"/>
      <c r="H37" s="1637"/>
      <c r="I37" s="1637"/>
      <c r="J37" s="1637"/>
      <c r="K37" s="1637"/>
      <c r="L37" s="1637"/>
      <c r="M37" s="1637"/>
      <c r="N37" s="1637"/>
      <c r="O37" s="1637"/>
      <c r="P37" s="1637"/>
      <c r="Q37" s="1637"/>
      <c r="R37" s="212"/>
      <c r="S37" s="736"/>
      <c r="T37" s="736"/>
      <c r="U37" s="736"/>
      <c r="V37" s="736"/>
      <c r="W37" s="227"/>
      <c r="X37" s="227"/>
      <c r="Y37" s="227"/>
      <c r="Z37" s="227"/>
      <c r="AA37" s="227"/>
      <c r="AB37" s="227"/>
      <c r="AC37" s="213"/>
      <c r="AD37" s="213"/>
      <c r="AE37" s="213"/>
    </row>
    <row r="38" spans="1:31" ht="15" hidden="1" customHeight="1">
      <c r="A38" s="227"/>
      <c r="B38" s="227"/>
      <c r="C38" s="227"/>
      <c r="D38" s="227"/>
      <c r="E38" s="204"/>
      <c r="F38" s="1638"/>
      <c r="G38" s="1638"/>
      <c r="H38" s="1638"/>
      <c r="I38" s="1638"/>
      <c r="J38" s="1638"/>
      <c r="K38" s="1638"/>
      <c r="L38" s="1638"/>
      <c r="M38" s="1638"/>
      <c r="N38" s="1638"/>
      <c r="O38" s="1638"/>
      <c r="P38" s="1638"/>
      <c r="Q38" s="1638"/>
      <c r="R38" s="212"/>
      <c r="S38" s="736"/>
      <c r="T38" s="736"/>
      <c r="U38" s="736"/>
      <c r="V38" s="736"/>
      <c r="W38" s="227"/>
      <c r="X38" s="227"/>
      <c r="Y38" s="227"/>
      <c r="Z38" s="227"/>
      <c r="AA38" s="227"/>
      <c r="AB38" s="227"/>
      <c r="AC38" s="213"/>
      <c r="AD38" s="213"/>
      <c r="AE38" s="213"/>
    </row>
    <row r="39" spans="1:31" ht="15" hidden="1" customHeight="1">
      <c r="A39" s="227"/>
      <c r="B39" s="227"/>
      <c r="C39" s="227"/>
      <c r="D39" s="227"/>
      <c r="E39" s="204"/>
      <c r="F39" s="1638"/>
      <c r="G39" s="1638"/>
      <c r="H39" s="1638"/>
      <c r="I39" s="1638"/>
      <c r="J39" s="1638"/>
      <c r="K39" s="1638"/>
      <c r="L39" s="1638"/>
      <c r="M39" s="1638"/>
      <c r="N39" s="1638"/>
      <c r="O39" s="1638"/>
      <c r="P39" s="1638"/>
      <c r="Q39" s="1638"/>
      <c r="R39" s="212"/>
      <c r="S39" s="736"/>
      <c r="T39" s="736"/>
      <c r="U39" s="736"/>
      <c r="V39" s="736"/>
      <c r="W39" s="227"/>
      <c r="X39" s="227"/>
      <c r="Y39" s="227"/>
      <c r="Z39" s="227"/>
      <c r="AA39" s="227"/>
      <c r="AB39" s="227"/>
      <c r="AC39" s="213"/>
      <c r="AD39" s="213"/>
      <c r="AE39" s="213"/>
    </row>
    <row r="40" spans="1:31" ht="15" hidden="1" customHeight="1">
      <c r="A40" s="227"/>
      <c r="B40" s="227"/>
      <c r="C40" s="227"/>
      <c r="D40" s="227"/>
      <c r="E40" s="204"/>
      <c r="F40" s="1638"/>
      <c r="G40" s="1638"/>
      <c r="H40" s="1638"/>
      <c r="I40" s="1638"/>
      <c r="J40" s="1638"/>
      <c r="K40" s="1638"/>
      <c r="L40" s="1638"/>
      <c r="M40" s="1638"/>
      <c r="N40" s="1638"/>
      <c r="O40" s="1638"/>
      <c r="P40" s="1638"/>
      <c r="Q40" s="1638"/>
      <c r="R40" s="212"/>
      <c r="S40" s="736"/>
      <c r="T40" s="736"/>
      <c r="U40" s="736"/>
      <c r="V40" s="736"/>
      <c r="W40" s="227"/>
      <c r="X40" s="227"/>
      <c r="Y40" s="227"/>
      <c r="Z40" s="227"/>
      <c r="AA40" s="227"/>
      <c r="AB40" s="227"/>
      <c r="AC40" s="213"/>
      <c r="AD40" s="213"/>
      <c r="AE40" s="213"/>
    </row>
    <row r="41" spans="1:31" ht="15" hidden="1" customHeight="1">
      <c r="A41" s="227"/>
      <c r="B41" s="227"/>
      <c r="C41" s="227"/>
      <c r="D41" s="227"/>
      <c r="E41" s="204"/>
      <c r="F41" s="1638"/>
      <c r="G41" s="1638"/>
      <c r="H41" s="1638"/>
      <c r="I41" s="1638"/>
      <c r="J41" s="1638"/>
      <c r="K41" s="1638"/>
      <c r="L41" s="1638"/>
      <c r="M41" s="1638"/>
      <c r="N41" s="1638"/>
      <c r="O41" s="1638"/>
      <c r="P41" s="1638"/>
      <c r="Q41" s="1638"/>
      <c r="R41" s="212"/>
      <c r="S41" s="736"/>
      <c r="T41" s="736"/>
      <c r="U41" s="736"/>
      <c r="V41" s="736"/>
      <c r="W41" s="227"/>
      <c r="X41" s="227"/>
      <c r="Y41" s="227"/>
      <c r="Z41" s="227"/>
      <c r="AA41" s="227"/>
      <c r="AB41" s="227"/>
      <c r="AC41" s="213"/>
      <c r="AD41" s="213"/>
      <c r="AE41" s="213"/>
    </row>
    <row r="42" spans="1:31" ht="15" hidden="1" customHeight="1">
      <c r="A42" s="227"/>
      <c r="B42" s="227"/>
      <c r="C42" s="227"/>
      <c r="D42" s="227"/>
      <c r="E42" s="204"/>
      <c r="F42" s="1638"/>
      <c r="G42" s="1638"/>
      <c r="H42" s="1638"/>
      <c r="I42" s="1638"/>
      <c r="J42" s="1638"/>
      <c r="K42" s="1638"/>
      <c r="L42" s="1638"/>
      <c r="M42" s="1638"/>
      <c r="N42" s="1638"/>
      <c r="O42" s="1638"/>
      <c r="P42" s="1638"/>
      <c r="Q42" s="1638"/>
      <c r="R42" s="212"/>
      <c r="S42" s="736"/>
      <c r="T42" s="736"/>
      <c r="U42" s="736"/>
      <c r="V42" s="736"/>
      <c r="W42" s="227"/>
      <c r="X42" s="227"/>
      <c r="Y42" s="227"/>
      <c r="Z42" s="227"/>
      <c r="AA42" s="227"/>
      <c r="AB42" s="227"/>
      <c r="AC42" s="213"/>
      <c r="AD42" s="213"/>
      <c r="AE42" s="213"/>
    </row>
    <row r="43" spans="1:31" ht="15" hidden="1" customHeight="1">
      <c r="A43" s="227"/>
      <c r="B43" s="227"/>
      <c r="C43" s="227"/>
      <c r="D43" s="227"/>
      <c r="E43" s="204"/>
      <c r="F43" s="1638"/>
      <c r="G43" s="1638"/>
      <c r="H43" s="1638"/>
      <c r="I43" s="1638"/>
      <c r="J43" s="1638"/>
      <c r="K43" s="1638"/>
      <c r="L43" s="1638"/>
      <c r="M43" s="1638"/>
      <c r="N43" s="1638"/>
      <c r="O43" s="1638"/>
      <c r="P43" s="1638"/>
      <c r="Q43" s="1638"/>
      <c r="R43" s="212"/>
      <c r="S43" s="736"/>
      <c r="T43" s="736"/>
      <c r="U43" s="736"/>
      <c r="V43" s="736"/>
      <c r="W43" s="227"/>
      <c r="X43" s="227"/>
      <c r="Y43" s="227"/>
      <c r="Z43" s="227"/>
      <c r="AA43" s="227"/>
      <c r="AB43" s="227"/>
      <c r="AC43" s="213"/>
      <c r="AD43" s="213"/>
      <c r="AE43" s="213"/>
    </row>
    <row r="44" spans="1:31" ht="15" hidden="1" customHeight="1">
      <c r="A44" s="227"/>
      <c r="B44" s="227"/>
      <c r="C44" s="227"/>
      <c r="D44" s="227"/>
      <c r="E44" s="204"/>
      <c r="F44" s="1638"/>
      <c r="G44" s="1638"/>
      <c r="H44" s="1638"/>
      <c r="I44" s="1638"/>
      <c r="J44" s="1638"/>
      <c r="K44" s="1638"/>
      <c r="L44" s="1638"/>
      <c r="M44" s="1638"/>
      <c r="N44" s="1638"/>
      <c r="O44" s="1638"/>
      <c r="P44" s="1638"/>
      <c r="Q44" s="1638"/>
      <c r="R44" s="212"/>
      <c r="S44" s="736"/>
      <c r="T44" s="736"/>
      <c r="U44" s="736"/>
      <c r="V44" s="736"/>
      <c r="W44" s="227"/>
      <c r="X44" s="227"/>
      <c r="Y44" s="227"/>
      <c r="Z44" s="227"/>
      <c r="AA44" s="227"/>
      <c r="AB44" s="227"/>
      <c r="AC44" s="213"/>
      <c r="AD44" s="213"/>
      <c r="AE44" s="213"/>
    </row>
    <row r="45" spans="1:31" ht="15" hidden="1" customHeight="1">
      <c r="A45" s="227"/>
      <c r="B45" s="227"/>
      <c r="C45" s="227"/>
      <c r="D45" s="227"/>
      <c r="E45" s="204"/>
      <c r="F45" s="1638"/>
      <c r="G45" s="1638"/>
      <c r="H45" s="1638"/>
      <c r="I45" s="1638"/>
      <c r="J45" s="1638"/>
      <c r="K45" s="1638"/>
      <c r="L45" s="1638"/>
      <c r="M45" s="1638"/>
      <c r="N45" s="1638"/>
      <c r="O45" s="1638"/>
      <c r="P45" s="1638"/>
      <c r="Q45" s="1638"/>
      <c r="R45" s="212"/>
      <c r="S45" s="736"/>
      <c r="T45" s="736"/>
      <c r="U45" s="736"/>
      <c r="V45" s="736"/>
      <c r="W45" s="227"/>
      <c r="X45" s="227"/>
      <c r="Y45" s="227"/>
      <c r="Z45" s="227"/>
      <c r="AA45" s="227"/>
      <c r="AB45" s="227"/>
      <c r="AC45" s="213"/>
      <c r="AD45" s="213"/>
      <c r="AE45" s="213"/>
    </row>
    <row r="46" spans="1:31" ht="15" hidden="1" customHeight="1">
      <c r="A46" s="227"/>
      <c r="B46" s="227"/>
      <c r="C46" s="227"/>
      <c r="D46" s="227"/>
      <c r="E46" s="204"/>
      <c r="F46" s="1650"/>
      <c r="G46" s="1650"/>
      <c r="H46" s="1650"/>
      <c r="I46" s="1650"/>
      <c r="J46" s="1650"/>
      <c r="K46" s="1650"/>
      <c r="L46" s="1650"/>
      <c r="M46" s="1650"/>
      <c r="N46" s="1650"/>
      <c r="O46" s="1650"/>
      <c r="P46" s="1650"/>
      <c r="Q46" s="1650"/>
      <c r="R46" s="212"/>
      <c r="S46" s="736"/>
      <c r="T46" s="736"/>
      <c r="U46" s="736"/>
      <c r="V46" s="736"/>
      <c r="W46" s="227"/>
      <c r="X46" s="227"/>
      <c r="Y46" s="227"/>
      <c r="Z46" s="227"/>
      <c r="AA46" s="227"/>
      <c r="AB46" s="227"/>
      <c r="AC46" s="213"/>
      <c r="AD46" s="213"/>
      <c r="AE46" s="213"/>
    </row>
    <row r="47" spans="1:31" s="211" customFormat="1" ht="16.5">
      <c r="A47" s="227"/>
      <c r="B47" s="227"/>
      <c r="C47" s="227"/>
      <c r="D47" s="227"/>
      <c r="E47" s="210"/>
      <c r="F47" s="1646" t="s">
        <v>21</v>
      </c>
      <c r="G47" s="1639" t="s">
        <v>3897</v>
      </c>
      <c r="H47" s="1674"/>
      <c r="I47" s="1674"/>
      <c r="J47" s="1674"/>
      <c r="K47" s="1674"/>
      <c r="L47" s="1674"/>
      <c r="M47" s="1674"/>
      <c r="N47" s="1640"/>
      <c r="O47" s="1665" t="s">
        <v>4303</v>
      </c>
      <c r="P47" s="1666"/>
      <c r="Q47" s="214" t="s">
        <v>20</v>
      </c>
      <c r="R47" s="210"/>
      <c r="S47" s="736"/>
      <c r="T47" s="736"/>
      <c r="U47" s="736"/>
      <c r="V47" s="736"/>
      <c r="W47" s="227"/>
      <c r="X47" s="227"/>
      <c r="Y47" s="227"/>
      <c r="Z47" s="227"/>
      <c r="AA47" s="227"/>
      <c r="AB47" s="227"/>
    </row>
    <row r="48" spans="1:31" s="211" customFormat="1" ht="16.5">
      <c r="A48" s="227"/>
      <c r="B48" s="227"/>
      <c r="C48" s="227"/>
      <c r="D48" s="227"/>
      <c r="E48" s="210"/>
      <c r="F48" s="1646"/>
      <c r="G48" s="1641"/>
      <c r="H48" s="1653"/>
      <c r="I48" s="1653"/>
      <c r="J48" s="1653"/>
      <c r="K48" s="1653"/>
      <c r="L48" s="1653"/>
      <c r="M48" s="1653"/>
      <c r="N48" s="1642"/>
      <c r="O48" s="431" t="s">
        <v>3899</v>
      </c>
      <c r="P48" s="430" t="s">
        <v>4307</v>
      </c>
      <c r="Q48" s="214"/>
      <c r="R48" s="210"/>
      <c r="S48" s="736"/>
      <c r="T48" s="736"/>
      <c r="U48" s="736"/>
      <c r="V48" s="736"/>
      <c r="W48" s="227"/>
      <c r="X48" s="227"/>
      <c r="Y48" s="227"/>
      <c r="Z48" s="227"/>
      <c r="AA48" s="227"/>
      <c r="AB48" s="227"/>
    </row>
    <row r="49" spans="1:28" s="211" customFormat="1" ht="47.25" customHeight="1">
      <c r="A49" s="227"/>
      <c r="B49" s="227"/>
      <c r="C49" s="227"/>
      <c r="D49" s="227"/>
      <c r="E49" s="210"/>
      <c r="F49" s="624">
        <v>1</v>
      </c>
      <c r="G49" s="1675" t="s">
        <v>4309</v>
      </c>
      <c r="H49" s="1675"/>
      <c r="I49" s="1675"/>
      <c r="J49" s="1675"/>
      <c r="K49" s="1675"/>
      <c r="L49" s="1675"/>
      <c r="M49" s="1675"/>
      <c r="N49" s="1675"/>
      <c r="O49" s="630" t="s">
        <v>3900</v>
      </c>
      <c r="P49" s="628" t="s">
        <v>3901</v>
      </c>
      <c r="Q49" s="628"/>
      <c r="R49" s="210"/>
      <c r="S49" s="736"/>
      <c r="T49" s="736"/>
      <c r="U49" s="736"/>
      <c r="V49" s="736"/>
      <c r="W49" s="227"/>
      <c r="X49" s="227"/>
      <c r="Y49" s="227"/>
      <c r="Z49" s="227"/>
      <c r="AA49" s="227"/>
      <c r="AB49" s="227"/>
    </row>
    <row r="50" spans="1:28" s="211" customFormat="1" ht="54.75" customHeight="1">
      <c r="A50" s="227"/>
      <c r="B50" s="227"/>
      <c r="C50" s="227"/>
      <c r="D50" s="227"/>
      <c r="E50" s="210"/>
      <c r="F50" s="624">
        <v>2</v>
      </c>
      <c r="G50" s="1675" t="s">
        <v>4310</v>
      </c>
      <c r="H50" s="1675"/>
      <c r="I50" s="1675"/>
      <c r="J50" s="1675"/>
      <c r="K50" s="1675"/>
      <c r="L50" s="1675"/>
      <c r="M50" s="1675"/>
      <c r="N50" s="1675"/>
      <c r="O50" s="630" t="s">
        <v>3900</v>
      </c>
      <c r="P50" s="628" t="s">
        <v>3901</v>
      </c>
      <c r="Q50" s="628"/>
      <c r="R50" s="201"/>
      <c r="S50" s="736"/>
      <c r="T50" s="736"/>
      <c r="U50" s="736"/>
      <c r="V50" s="736"/>
      <c r="W50" s="227"/>
      <c r="X50" s="227"/>
      <c r="Y50" s="227"/>
      <c r="Z50" s="227"/>
      <c r="AA50" s="227"/>
      <c r="AB50" s="227"/>
    </row>
    <row r="51" spans="1:28" s="211" customFormat="1" ht="34.5" customHeight="1">
      <c r="A51" s="227"/>
      <c r="B51" s="227"/>
      <c r="C51" s="227"/>
      <c r="D51" s="227"/>
      <c r="E51" s="210"/>
      <c r="F51" s="624">
        <v>3</v>
      </c>
      <c r="G51" s="1675" t="s">
        <v>4311</v>
      </c>
      <c r="H51" s="1675"/>
      <c r="I51" s="1675"/>
      <c r="J51" s="1675"/>
      <c r="K51" s="1675"/>
      <c r="L51" s="1675"/>
      <c r="M51" s="1675"/>
      <c r="N51" s="1675"/>
      <c r="O51" s="630" t="s">
        <v>3900</v>
      </c>
      <c r="P51" s="628" t="s">
        <v>3901</v>
      </c>
      <c r="Q51" s="628"/>
      <c r="R51" s="201"/>
      <c r="S51" s="736"/>
      <c r="T51" s="736"/>
      <c r="U51" s="736"/>
      <c r="V51" s="736"/>
      <c r="W51" s="227"/>
      <c r="X51" s="227"/>
      <c r="Y51" s="227"/>
      <c r="Z51" s="227"/>
      <c r="AA51" s="227"/>
      <c r="AB51" s="227"/>
    </row>
    <row r="52" spans="1:28" s="211" customFormat="1" ht="16.5">
      <c r="A52" s="227"/>
      <c r="B52" s="227"/>
      <c r="C52" s="227"/>
      <c r="D52" s="227"/>
      <c r="E52" s="210"/>
      <c r="F52" s="631">
        <v>4</v>
      </c>
      <c r="G52" s="1676" t="s">
        <v>4312</v>
      </c>
      <c r="H52" s="1677"/>
      <c r="I52" s="1677"/>
      <c r="J52" s="1677"/>
      <c r="K52" s="1677"/>
      <c r="L52" s="1677"/>
      <c r="M52" s="1677"/>
      <c r="N52" s="1678"/>
      <c r="O52" s="632" t="s">
        <v>3900</v>
      </c>
      <c r="P52" s="633" t="s">
        <v>3901</v>
      </c>
      <c r="Q52" s="633"/>
      <c r="R52" s="201"/>
      <c r="S52" s="736"/>
      <c r="T52" s="736"/>
      <c r="U52" s="736"/>
      <c r="V52" s="736"/>
      <c r="W52" s="227"/>
      <c r="X52" s="227"/>
      <c r="Y52" s="227"/>
      <c r="Z52" s="227"/>
      <c r="AA52" s="227"/>
      <c r="AB52" s="227"/>
    </row>
    <row r="53" spans="1:28" s="211" customFormat="1" ht="16.5">
      <c r="A53" s="227"/>
      <c r="B53" s="227"/>
      <c r="C53" s="227"/>
      <c r="D53" s="227"/>
      <c r="E53" s="210"/>
      <c r="F53" s="671"/>
      <c r="G53" s="672"/>
      <c r="H53" s="672"/>
      <c r="I53" s="672"/>
      <c r="J53" s="672"/>
      <c r="K53" s="672"/>
      <c r="L53" s="672"/>
      <c r="M53" s="672"/>
      <c r="N53" s="672"/>
      <c r="O53" s="673"/>
      <c r="P53" s="312"/>
      <c r="Q53" s="312"/>
      <c r="R53" s="201"/>
      <c r="S53" s="736"/>
      <c r="T53" s="736"/>
      <c r="U53" s="736"/>
      <c r="V53" s="736"/>
      <c r="W53" s="227"/>
      <c r="X53" s="227"/>
      <c r="Y53" s="227"/>
      <c r="Z53" s="227"/>
      <c r="AA53" s="227"/>
      <c r="AB53" s="227"/>
    </row>
    <row r="54" spans="1:28" s="211" customFormat="1" ht="16.5">
      <c r="A54" s="227"/>
      <c r="B54" s="227"/>
      <c r="C54" s="227"/>
      <c r="D54" s="227"/>
      <c r="E54" s="204" t="str">
        <f>IF(A2&lt;&gt;"","5/","")</f>
        <v>5/</v>
      </c>
      <c r="F54" s="629" t="str">
        <f>IF(A2&lt;&gt;"","Kết quả kiểm tra","")</f>
        <v>Kết quả kiểm tra</v>
      </c>
      <c r="G54" s="672"/>
      <c r="H54" s="672"/>
      <c r="I54" s="672"/>
      <c r="J54" s="672"/>
      <c r="K54" s="672"/>
      <c r="L54" s="672"/>
      <c r="M54" s="672"/>
      <c r="N54" s="672"/>
      <c r="O54" s="673"/>
      <c r="P54" s="312"/>
      <c r="Q54" s="312"/>
      <c r="R54" s="201"/>
      <c r="S54" s="736"/>
      <c r="T54" s="736"/>
      <c r="U54" s="736"/>
      <c r="V54" s="736"/>
      <c r="W54" s="227"/>
      <c r="X54" s="227"/>
      <c r="Y54" s="227"/>
      <c r="Z54" s="227"/>
      <c r="AA54" s="227"/>
      <c r="AB54" s="227"/>
    </row>
    <row r="55" spans="1:28" s="211" customFormat="1" ht="35.25" customHeight="1">
      <c r="A55" s="227"/>
      <c r="B55" s="227"/>
      <c r="C55" s="227"/>
      <c r="D55" s="227"/>
      <c r="E55" s="210"/>
      <c r="F55" s="426" t="s">
        <v>64</v>
      </c>
      <c r="G55" s="1669" t="s">
        <v>3905</v>
      </c>
      <c r="H55" s="1669" t="s">
        <v>4257</v>
      </c>
      <c r="I55" s="1670" t="s">
        <v>3963</v>
      </c>
      <c r="J55" s="1671"/>
      <c r="K55" s="1672" t="s">
        <v>3907</v>
      </c>
      <c r="L55" s="1670" t="s">
        <v>3908</v>
      </c>
      <c r="M55" s="1671"/>
      <c r="N55" s="1670" t="s">
        <v>4258</v>
      </c>
      <c r="O55" s="1671"/>
      <c r="P55" s="1670" t="s">
        <v>3964</v>
      </c>
      <c r="Q55" s="1671"/>
      <c r="R55" s="201"/>
      <c r="S55" s="736"/>
      <c r="T55" s="736"/>
      <c r="U55" s="736"/>
      <c r="V55" s="736"/>
      <c r="W55" s="227"/>
      <c r="X55" s="227"/>
      <c r="Y55" s="227"/>
      <c r="Z55" s="227"/>
      <c r="AA55" s="227"/>
      <c r="AB55" s="227"/>
    </row>
    <row r="56" spans="1:28" s="211" customFormat="1" ht="39.75" customHeight="1">
      <c r="A56" s="227"/>
      <c r="B56" s="227"/>
      <c r="C56" s="227"/>
      <c r="D56" s="227"/>
      <c r="E56" s="210"/>
      <c r="F56" s="427"/>
      <c r="G56" s="1415"/>
      <c r="H56" s="1415"/>
      <c r="I56" s="425" t="s">
        <v>159</v>
      </c>
      <c r="J56" s="425" t="s">
        <v>3906</v>
      </c>
      <c r="K56" s="1673"/>
      <c r="L56" s="425" t="s">
        <v>159</v>
      </c>
      <c r="M56" s="425" t="s">
        <v>3906</v>
      </c>
      <c r="N56" s="425" t="s">
        <v>159</v>
      </c>
      <c r="O56" s="425" t="s">
        <v>3906</v>
      </c>
      <c r="P56" s="425" t="s">
        <v>159</v>
      </c>
      <c r="Q56" s="425" t="s">
        <v>3906</v>
      </c>
      <c r="R56" s="201"/>
      <c r="S56" s="736"/>
      <c r="T56" s="736"/>
      <c r="U56" s="736"/>
      <c r="V56" s="736"/>
      <c r="W56" s="227"/>
      <c r="X56" s="227"/>
      <c r="Y56" s="227"/>
      <c r="Z56" s="227"/>
      <c r="AA56" s="227"/>
      <c r="AB56" s="227"/>
    </row>
    <row r="57" spans="1:28" s="211" customFormat="1" ht="16.5">
      <c r="A57" s="227"/>
      <c r="B57" s="227"/>
      <c r="C57" s="227"/>
      <c r="D57" s="227"/>
      <c r="E57" s="210"/>
      <c r="F57" s="646">
        <v>1</v>
      </c>
      <c r="G57" s="646">
        <v>1</v>
      </c>
      <c r="H57" s="646">
        <v>10</v>
      </c>
      <c r="I57" s="646">
        <v>51</v>
      </c>
      <c r="J57" s="646">
        <v>51</v>
      </c>
      <c r="K57" s="646">
        <v>10</v>
      </c>
      <c r="L57" s="646">
        <v>510</v>
      </c>
      <c r="M57" s="646">
        <v>510</v>
      </c>
      <c r="N57" s="646">
        <v>266</v>
      </c>
      <c r="O57" s="646">
        <v>266</v>
      </c>
      <c r="P57" s="646">
        <v>135.66</v>
      </c>
      <c r="Q57" s="646">
        <v>135.66</v>
      </c>
      <c r="R57" s="201"/>
      <c r="S57" s="736"/>
      <c r="T57" s="736"/>
      <c r="U57" s="736"/>
      <c r="V57" s="736"/>
      <c r="W57" s="227"/>
      <c r="X57" s="227"/>
      <c r="Y57" s="227"/>
      <c r="Z57" s="227"/>
      <c r="AA57" s="227"/>
      <c r="AB57" s="227"/>
    </row>
    <row r="58" spans="1:28" s="211" customFormat="1" ht="16.5">
      <c r="A58" s="227"/>
      <c r="B58" s="227"/>
      <c r="C58" s="227"/>
      <c r="D58" s="227"/>
      <c r="E58" s="210"/>
      <c r="F58" s="646">
        <v>2</v>
      </c>
      <c r="G58" s="646">
        <v>2</v>
      </c>
      <c r="H58" s="646">
        <v>8</v>
      </c>
      <c r="I58" s="646">
        <v>15</v>
      </c>
      <c r="J58" s="646">
        <v>15</v>
      </c>
      <c r="K58" s="646">
        <v>10</v>
      </c>
      <c r="L58" s="646">
        <v>150</v>
      </c>
      <c r="M58" s="646">
        <v>150</v>
      </c>
      <c r="N58" s="646">
        <v>1004</v>
      </c>
      <c r="O58" s="646">
        <v>1004</v>
      </c>
      <c r="P58" s="646">
        <v>150.6</v>
      </c>
      <c r="Q58" s="646">
        <v>150.6</v>
      </c>
      <c r="R58" s="201"/>
      <c r="S58" s="736"/>
      <c r="T58" s="736"/>
      <c r="U58" s="736"/>
      <c r="V58" s="736"/>
      <c r="W58" s="227"/>
      <c r="X58" s="227"/>
      <c r="Y58" s="227"/>
      <c r="Z58" s="227"/>
      <c r="AA58" s="227"/>
      <c r="AB58" s="227"/>
    </row>
    <row r="59" spans="1:28" s="211" customFormat="1" ht="16.5">
      <c r="A59" s="227"/>
      <c r="B59" s="227"/>
      <c r="C59" s="227"/>
      <c r="D59" s="227"/>
      <c r="E59" s="210"/>
      <c r="F59" s="646">
        <v>3</v>
      </c>
      <c r="G59" s="646">
        <v>3</v>
      </c>
      <c r="H59" s="646">
        <v>10</v>
      </c>
      <c r="I59" s="646">
        <v>50</v>
      </c>
      <c r="J59" s="646">
        <v>50</v>
      </c>
      <c r="K59" s="646">
        <v>10</v>
      </c>
      <c r="L59" s="646">
        <v>500</v>
      </c>
      <c r="M59" s="646">
        <v>500</v>
      </c>
      <c r="N59" s="646">
        <v>150</v>
      </c>
      <c r="O59" s="646">
        <v>150</v>
      </c>
      <c r="P59" s="646">
        <v>75</v>
      </c>
      <c r="Q59" s="646">
        <v>75</v>
      </c>
      <c r="R59" s="201"/>
      <c r="S59" s="736"/>
      <c r="T59" s="736"/>
      <c r="U59" s="736"/>
      <c r="V59" s="736"/>
      <c r="W59" s="227"/>
      <c r="X59" s="227"/>
      <c r="Y59" s="227"/>
      <c r="Z59" s="227"/>
      <c r="AA59" s="227"/>
      <c r="AB59" s="227"/>
    </row>
    <row r="60" spans="1:28" s="211" customFormat="1" ht="16.5" hidden="1">
      <c r="A60" s="227"/>
      <c r="B60" s="227"/>
      <c r="C60" s="227"/>
      <c r="D60" s="227"/>
      <c r="E60" s="210"/>
      <c r="F60" s="646"/>
      <c r="G60" s="646"/>
      <c r="H60" s="646"/>
      <c r="I60" s="646"/>
      <c r="J60" s="646"/>
      <c r="K60" s="646"/>
      <c r="L60" s="646"/>
      <c r="M60" s="646"/>
      <c r="N60" s="646"/>
      <c r="O60" s="646"/>
      <c r="P60" s="646"/>
      <c r="Q60" s="646"/>
      <c r="R60" s="201"/>
      <c r="S60" s="736"/>
      <c r="T60" s="736"/>
      <c r="U60" s="736"/>
      <c r="V60" s="736"/>
      <c r="W60" s="227"/>
      <c r="X60" s="227"/>
      <c r="Y60" s="227"/>
      <c r="Z60" s="227"/>
      <c r="AA60" s="227"/>
      <c r="AB60" s="227"/>
    </row>
    <row r="61" spans="1:28" s="211" customFormat="1" ht="16.5" hidden="1">
      <c r="A61" s="227"/>
      <c r="B61" s="227"/>
      <c r="C61" s="227"/>
      <c r="D61" s="227"/>
      <c r="E61" s="210"/>
      <c r="F61" s="646"/>
      <c r="G61" s="646"/>
      <c r="H61" s="646"/>
      <c r="I61" s="646"/>
      <c r="J61" s="646"/>
      <c r="K61" s="646"/>
      <c r="L61" s="646"/>
      <c r="M61" s="646"/>
      <c r="N61" s="646"/>
      <c r="O61" s="646"/>
      <c r="P61" s="646"/>
      <c r="Q61" s="646"/>
      <c r="R61" s="201"/>
      <c r="S61" s="736"/>
      <c r="T61" s="736"/>
      <c r="U61" s="736"/>
      <c r="V61" s="736"/>
      <c r="W61" s="227"/>
      <c r="X61" s="227"/>
      <c r="Y61" s="227"/>
      <c r="Z61" s="227"/>
      <c r="AA61" s="227"/>
      <c r="AB61" s="227"/>
    </row>
    <row r="62" spans="1:28" s="211" customFormat="1" ht="16.5" hidden="1">
      <c r="A62" s="227"/>
      <c r="B62" s="227"/>
      <c r="C62" s="227"/>
      <c r="D62" s="227"/>
      <c r="E62" s="210"/>
      <c r="F62" s="646"/>
      <c r="G62" s="646"/>
      <c r="H62" s="646"/>
      <c r="I62" s="646"/>
      <c r="J62" s="646"/>
      <c r="K62" s="646"/>
      <c r="L62" s="646"/>
      <c r="M62" s="646"/>
      <c r="N62" s="646"/>
      <c r="O62" s="646"/>
      <c r="P62" s="646"/>
      <c r="Q62" s="646"/>
      <c r="R62" s="201"/>
      <c r="S62" s="736"/>
      <c r="T62" s="736"/>
      <c r="U62" s="736"/>
      <c r="V62" s="736"/>
      <c r="W62" s="227"/>
      <c r="X62" s="227"/>
      <c r="Y62" s="227"/>
      <c r="Z62" s="227"/>
      <c r="AA62" s="227"/>
      <c r="AB62" s="227"/>
    </row>
    <row r="63" spans="1:28" s="211" customFormat="1" ht="16.5" hidden="1">
      <c r="A63" s="227"/>
      <c r="B63" s="227"/>
      <c r="C63" s="227"/>
      <c r="D63" s="227"/>
      <c r="E63" s="210"/>
      <c r="F63" s="646"/>
      <c r="G63" s="652"/>
      <c r="H63" s="646"/>
      <c r="I63" s="646"/>
      <c r="J63" s="646"/>
      <c r="K63" s="646"/>
      <c r="L63" s="646"/>
      <c r="M63" s="646"/>
      <c r="N63" s="646"/>
      <c r="O63" s="646"/>
      <c r="P63" s="646"/>
      <c r="Q63" s="646"/>
      <c r="R63" s="201"/>
      <c r="S63" s="736"/>
      <c r="T63" s="736"/>
      <c r="U63" s="736"/>
      <c r="V63" s="736"/>
      <c r="W63" s="227"/>
      <c r="X63" s="227"/>
      <c r="Y63" s="227"/>
      <c r="Z63" s="227"/>
      <c r="AA63" s="227"/>
      <c r="AB63" s="227"/>
    </row>
    <row r="64" spans="1:28" s="211" customFormat="1" ht="16.5" hidden="1">
      <c r="A64" s="227"/>
      <c r="B64" s="227"/>
      <c r="C64" s="227"/>
      <c r="D64" s="227"/>
      <c r="E64" s="210"/>
      <c r="F64" s="646"/>
      <c r="G64" s="646"/>
      <c r="H64" s="646"/>
      <c r="I64" s="646"/>
      <c r="J64" s="646"/>
      <c r="K64" s="646"/>
      <c r="L64" s="646"/>
      <c r="M64" s="646"/>
      <c r="N64" s="646"/>
      <c r="O64" s="646"/>
      <c r="P64" s="646"/>
      <c r="Q64" s="646"/>
      <c r="R64" s="201"/>
      <c r="S64" s="736"/>
      <c r="T64" s="736"/>
      <c r="U64" s="736"/>
      <c r="V64" s="736"/>
      <c r="W64" s="227"/>
      <c r="X64" s="227"/>
      <c r="Y64" s="227"/>
      <c r="Z64" s="227"/>
      <c r="AA64" s="227"/>
      <c r="AB64" s="227"/>
    </row>
    <row r="65" spans="1:28" s="211" customFormat="1" ht="16.5" hidden="1">
      <c r="A65" s="227"/>
      <c r="B65" s="227"/>
      <c r="C65" s="227"/>
      <c r="D65" s="227"/>
      <c r="E65" s="210"/>
      <c r="F65" s="646"/>
      <c r="G65" s="652"/>
      <c r="H65" s="646"/>
      <c r="I65" s="646"/>
      <c r="J65" s="646"/>
      <c r="K65" s="646"/>
      <c r="L65" s="646"/>
      <c r="M65" s="646"/>
      <c r="N65" s="646"/>
      <c r="O65" s="646"/>
      <c r="P65" s="646"/>
      <c r="Q65" s="646"/>
      <c r="R65" s="201"/>
      <c r="S65" s="736"/>
      <c r="T65" s="736"/>
      <c r="U65" s="736"/>
      <c r="V65" s="736"/>
      <c r="W65" s="227"/>
      <c r="X65" s="227"/>
      <c r="Y65" s="227"/>
      <c r="Z65" s="227"/>
      <c r="AA65" s="227"/>
      <c r="AB65" s="227"/>
    </row>
    <row r="66" spans="1:28" s="211" customFormat="1" ht="16.5" hidden="1">
      <c r="A66" s="227"/>
      <c r="B66" s="227"/>
      <c r="C66" s="227"/>
      <c r="D66" s="227"/>
      <c r="E66" s="210"/>
      <c r="F66" s="646"/>
      <c r="G66" s="646"/>
      <c r="H66" s="646"/>
      <c r="I66" s="646"/>
      <c r="J66" s="646"/>
      <c r="K66" s="646"/>
      <c r="L66" s="646"/>
      <c r="M66" s="646"/>
      <c r="N66" s="646"/>
      <c r="O66" s="646"/>
      <c r="P66" s="646"/>
      <c r="Q66" s="646"/>
      <c r="R66" s="201"/>
      <c r="S66" s="736"/>
      <c r="T66" s="736"/>
      <c r="U66" s="736"/>
      <c r="V66" s="736"/>
      <c r="W66" s="227"/>
      <c r="X66" s="227"/>
      <c r="Y66" s="227"/>
      <c r="Z66" s="227"/>
      <c r="AA66" s="227"/>
      <c r="AB66" s="227"/>
    </row>
    <row r="67" spans="1:28" s="211" customFormat="1" ht="16.5" hidden="1">
      <c r="A67" s="227"/>
      <c r="B67" s="227"/>
      <c r="C67" s="227"/>
      <c r="D67" s="227"/>
      <c r="E67" s="210"/>
      <c r="F67" s="646"/>
      <c r="G67" s="646"/>
      <c r="H67" s="646"/>
      <c r="I67" s="646"/>
      <c r="J67" s="646"/>
      <c r="K67" s="646"/>
      <c r="L67" s="646"/>
      <c r="M67" s="646"/>
      <c r="N67" s="646"/>
      <c r="O67" s="646"/>
      <c r="P67" s="646"/>
      <c r="Q67" s="646"/>
      <c r="R67" s="201"/>
      <c r="S67" s="736"/>
      <c r="T67" s="736"/>
      <c r="U67" s="736"/>
      <c r="V67" s="736"/>
      <c r="W67" s="227"/>
      <c r="X67" s="227"/>
      <c r="Y67" s="227"/>
      <c r="Z67" s="227"/>
      <c r="AA67" s="227"/>
      <c r="AB67" s="227"/>
    </row>
    <row r="68" spans="1:28" s="211" customFormat="1" ht="16.5" hidden="1">
      <c r="A68" s="227"/>
      <c r="B68" s="227"/>
      <c r="C68" s="227"/>
      <c r="D68" s="227"/>
      <c r="E68" s="210"/>
      <c r="F68" s="646"/>
      <c r="G68" s="646"/>
      <c r="H68" s="646"/>
      <c r="I68" s="646"/>
      <c r="J68" s="646"/>
      <c r="K68" s="646"/>
      <c r="L68" s="646"/>
      <c r="M68" s="646"/>
      <c r="N68" s="646"/>
      <c r="O68" s="646"/>
      <c r="P68" s="646"/>
      <c r="Q68" s="646"/>
      <c r="R68" s="201"/>
      <c r="S68" s="736"/>
      <c r="T68" s="736"/>
      <c r="U68" s="736"/>
      <c r="V68" s="736"/>
      <c r="W68" s="227"/>
      <c r="X68" s="227"/>
      <c r="Y68" s="227"/>
      <c r="Z68" s="227"/>
      <c r="AA68" s="227"/>
      <c r="AB68" s="227"/>
    </row>
    <row r="69" spans="1:28" s="211" customFormat="1" ht="16.5" hidden="1">
      <c r="A69" s="227"/>
      <c r="B69" s="227"/>
      <c r="C69" s="227"/>
      <c r="D69" s="227"/>
      <c r="E69" s="210"/>
      <c r="F69" s="646"/>
      <c r="G69" s="646"/>
      <c r="H69" s="646"/>
      <c r="I69" s="646"/>
      <c r="J69" s="646"/>
      <c r="K69" s="646"/>
      <c r="L69" s="646"/>
      <c r="M69" s="646"/>
      <c r="N69" s="646"/>
      <c r="O69" s="646"/>
      <c r="P69" s="646"/>
      <c r="Q69" s="646"/>
      <c r="R69" s="201"/>
      <c r="S69" s="736"/>
      <c r="T69" s="736"/>
      <c r="U69" s="736"/>
      <c r="V69" s="736"/>
      <c r="W69" s="227"/>
      <c r="X69" s="227"/>
      <c r="Y69" s="227"/>
      <c r="Z69" s="227"/>
      <c r="AA69" s="227"/>
      <c r="AB69" s="227"/>
    </row>
    <row r="70" spans="1:28" s="211" customFormat="1" ht="16.5" hidden="1">
      <c r="A70" s="227"/>
      <c r="B70" s="227"/>
      <c r="C70" s="227"/>
      <c r="D70" s="227"/>
      <c r="E70" s="210"/>
      <c r="F70" s="646"/>
      <c r="G70" s="652"/>
      <c r="H70" s="646"/>
      <c r="I70" s="646"/>
      <c r="J70" s="646"/>
      <c r="K70" s="646"/>
      <c r="L70" s="646"/>
      <c r="M70" s="646"/>
      <c r="N70" s="646"/>
      <c r="O70" s="646"/>
      <c r="P70" s="646"/>
      <c r="Q70" s="646"/>
      <c r="R70" s="201"/>
      <c r="S70" s="736"/>
      <c r="T70" s="736"/>
      <c r="U70" s="736"/>
      <c r="V70" s="736"/>
      <c r="W70" s="227"/>
      <c r="X70" s="227"/>
      <c r="Y70" s="227"/>
      <c r="Z70" s="227"/>
      <c r="AA70" s="227"/>
      <c r="AB70" s="227"/>
    </row>
    <row r="71" spans="1:28" s="211" customFormat="1" ht="16.5" hidden="1">
      <c r="A71" s="227"/>
      <c r="B71" s="227"/>
      <c r="C71" s="227"/>
      <c r="D71" s="227"/>
      <c r="E71" s="210"/>
      <c r="F71" s="646"/>
      <c r="G71" s="646"/>
      <c r="H71" s="646"/>
      <c r="I71" s="646"/>
      <c r="J71" s="646"/>
      <c r="K71" s="646"/>
      <c r="L71" s="646"/>
      <c r="M71" s="646"/>
      <c r="N71" s="646"/>
      <c r="O71" s="646"/>
      <c r="P71" s="646"/>
      <c r="Q71" s="646"/>
      <c r="R71" s="201"/>
      <c r="S71" s="736"/>
      <c r="T71" s="736"/>
      <c r="U71" s="736"/>
      <c r="V71" s="736"/>
      <c r="W71" s="227"/>
      <c r="X71" s="227"/>
      <c r="Y71" s="227"/>
      <c r="Z71" s="227"/>
      <c r="AA71" s="227"/>
      <c r="AB71" s="227"/>
    </row>
    <row r="72" spans="1:28" s="211" customFormat="1" ht="16.5" hidden="1">
      <c r="A72" s="227"/>
      <c r="B72" s="227"/>
      <c r="C72" s="227"/>
      <c r="D72" s="227"/>
      <c r="E72" s="210"/>
      <c r="F72" s="646"/>
      <c r="G72" s="646"/>
      <c r="H72" s="646"/>
      <c r="I72" s="646"/>
      <c r="J72" s="646"/>
      <c r="K72" s="646"/>
      <c r="L72" s="646"/>
      <c r="M72" s="646"/>
      <c r="N72" s="646"/>
      <c r="O72" s="646"/>
      <c r="P72" s="646"/>
      <c r="Q72" s="646"/>
      <c r="R72" s="201"/>
      <c r="S72" s="736"/>
      <c r="T72" s="736"/>
      <c r="U72" s="736"/>
      <c r="V72" s="736"/>
      <c r="W72" s="227"/>
      <c r="X72" s="227"/>
      <c r="Y72" s="227"/>
      <c r="Z72" s="227"/>
      <c r="AA72" s="227"/>
      <c r="AB72" s="227"/>
    </row>
    <row r="73" spans="1:28" s="211" customFormat="1" ht="16.5" hidden="1">
      <c r="A73" s="227"/>
      <c r="B73" s="227"/>
      <c r="C73" s="227"/>
      <c r="D73" s="227"/>
      <c r="E73" s="210"/>
      <c r="F73" s="646"/>
      <c r="G73" s="646"/>
      <c r="H73" s="646"/>
      <c r="I73" s="646"/>
      <c r="J73" s="646"/>
      <c r="K73" s="646"/>
      <c r="L73" s="646"/>
      <c r="M73" s="646"/>
      <c r="N73" s="646"/>
      <c r="O73" s="646"/>
      <c r="P73" s="646"/>
      <c r="Q73" s="646"/>
      <c r="R73" s="201"/>
      <c r="S73" s="736"/>
      <c r="T73" s="736"/>
      <c r="U73" s="736"/>
      <c r="V73" s="736"/>
      <c r="W73" s="227"/>
      <c r="X73" s="227"/>
      <c r="Y73" s="227"/>
      <c r="Z73" s="227"/>
      <c r="AA73" s="227"/>
      <c r="AB73" s="227"/>
    </row>
    <row r="74" spans="1:28" s="211" customFormat="1" ht="16.5" hidden="1">
      <c r="A74" s="227"/>
      <c r="B74" s="227"/>
      <c r="C74" s="227"/>
      <c r="D74" s="227"/>
      <c r="E74" s="210"/>
      <c r="F74" s="646"/>
      <c r="G74" s="646"/>
      <c r="H74" s="646"/>
      <c r="I74" s="646"/>
      <c r="J74" s="646"/>
      <c r="K74" s="646"/>
      <c r="L74" s="646"/>
      <c r="M74" s="646"/>
      <c r="N74" s="646"/>
      <c r="O74" s="646"/>
      <c r="P74" s="646"/>
      <c r="Q74" s="646"/>
      <c r="R74" s="201"/>
      <c r="S74" s="736"/>
      <c r="T74" s="736"/>
      <c r="U74" s="736"/>
      <c r="V74" s="736"/>
      <c r="W74" s="227"/>
      <c r="X74" s="227"/>
      <c r="Y74" s="227"/>
      <c r="Z74" s="227"/>
      <c r="AA74" s="227"/>
      <c r="AB74" s="227"/>
    </row>
    <row r="75" spans="1:28" s="211" customFormat="1" ht="16.5" hidden="1">
      <c r="A75" s="227"/>
      <c r="B75" s="227"/>
      <c r="C75" s="227"/>
      <c r="D75" s="227"/>
      <c r="E75" s="210"/>
      <c r="F75" s="646"/>
      <c r="G75" s="646"/>
      <c r="H75" s="646"/>
      <c r="I75" s="646"/>
      <c r="J75" s="646"/>
      <c r="K75" s="646"/>
      <c r="L75" s="646"/>
      <c r="M75" s="646"/>
      <c r="N75" s="646"/>
      <c r="O75" s="646"/>
      <c r="P75" s="646"/>
      <c r="Q75" s="646"/>
      <c r="R75" s="201"/>
      <c r="S75" s="736"/>
      <c r="T75" s="736"/>
      <c r="U75" s="736"/>
      <c r="V75" s="736"/>
      <c r="W75" s="227"/>
      <c r="X75" s="227"/>
      <c r="Y75" s="227"/>
      <c r="Z75" s="227"/>
      <c r="AA75" s="227"/>
      <c r="AB75" s="227"/>
    </row>
    <row r="76" spans="1:28" s="211" customFormat="1" ht="16.5" hidden="1">
      <c r="A76" s="227"/>
      <c r="B76" s="227"/>
      <c r="C76" s="227"/>
      <c r="D76" s="227"/>
      <c r="E76" s="210"/>
      <c r="F76" s="646"/>
      <c r="G76" s="646"/>
      <c r="H76" s="646"/>
      <c r="I76" s="646"/>
      <c r="J76" s="646"/>
      <c r="K76" s="646"/>
      <c r="L76" s="646"/>
      <c r="M76" s="646"/>
      <c r="N76" s="646"/>
      <c r="O76" s="646"/>
      <c r="P76" s="646"/>
      <c r="Q76" s="646"/>
      <c r="R76" s="201"/>
      <c r="S76" s="736"/>
      <c r="T76" s="736"/>
      <c r="U76" s="736"/>
      <c r="V76" s="736"/>
      <c r="W76" s="227"/>
      <c r="X76" s="227"/>
      <c r="Y76" s="227"/>
      <c r="Z76" s="227"/>
      <c r="AA76" s="227"/>
      <c r="AB76" s="227"/>
    </row>
    <row r="77" spans="1:28" s="211" customFormat="1" ht="16.5" hidden="1">
      <c r="A77" s="227"/>
      <c r="B77" s="227"/>
      <c r="C77" s="227"/>
      <c r="D77" s="227"/>
      <c r="E77" s="210"/>
      <c r="F77" s="646"/>
      <c r="G77" s="646"/>
      <c r="H77" s="646"/>
      <c r="I77" s="646"/>
      <c r="J77" s="646"/>
      <c r="K77" s="646"/>
      <c r="L77" s="646"/>
      <c r="M77" s="646"/>
      <c r="N77" s="646"/>
      <c r="O77" s="646"/>
      <c r="P77" s="646"/>
      <c r="Q77" s="646"/>
      <c r="R77" s="201"/>
      <c r="S77" s="736"/>
      <c r="T77" s="736"/>
      <c r="U77" s="736"/>
      <c r="V77" s="736"/>
      <c r="W77" s="227"/>
      <c r="X77" s="227"/>
      <c r="Y77" s="227"/>
      <c r="Z77" s="227"/>
      <c r="AA77" s="227"/>
      <c r="AB77" s="227"/>
    </row>
    <row r="78" spans="1:28" s="211" customFormat="1" ht="16.5" hidden="1">
      <c r="A78" s="227"/>
      <c r="B78" s="227"/>
      <c r="C78" s="227"/>
      <c r="D78" s="227"/>
      <c r="E78" s="210"/>
      <c r="F78" s="646"/>
      <c r="G78" s="646"/>
      <c r="H78" s="646"/>
      <c r="I78" s="646"/>
      <c r="J78" s="646"/>
      <c r="K78" s="646"/>
      <c r="L78" s="646"/>
      <c r="M78" s="646"/>
      <c r="N78" s="646"/>
      <c r="O78" s="646"/>
      <c r="P78" s="646"/>
      <c r="Q78" s="646"/>
      <c r="R78" s="201"/>
      <c r="S78" s="736"/>
      <c r="T78" s="736"/>
      <c r="U78" s="736"/>
      <c r="V78" s="736"/>
      <c r="W78" s="227"/>
      <c r="X78" s="227"/>
      <c r="Y78" s="227"/>
      <c r="Z78" s="227"/>
      <c r="AA78" s="227"/>
      <c r="AB78" s="227"/>
    </row>
    <row r="79" spans="1:28" s="211" customFormat="1" ht="16.5" hidden="1">
      <c r="A79" s="227"/>
      <c r="B79" s="227"/>
      <c r="C79" s="227"/>
      <c r="D79" s="227"/>
      <c r="E79" s="210"/>
      <c r="F79" s="646"/>
      <c r="G79" s="646"/>
      <c r="H79" s="646"/>
      <c r="I79" s="646"/>
      <c r="J79" s="646"/>
      <c r="K79" s="646"/>
      <c r="L79" s="646"/>
      <c r="M79" s="646"/>
      <c r="N79" s="646"/>
      <c r="O79" s="646"/>
      <c r="P79" s="646"/>
      <c r="Q79" s="646"/>
      <c r="R79" s="201"/>
      <c r="S79" s="736"/>
      <c r="T79" s="736"/>
      <c r="U79" s="736"/>
      <c r="V79" s="736"/>
      <c r="W79" s="227"/>
      <c r="X79" s="227"/>
      <c r="Y79" s="227"/>
      <c r="Z79" s="227"/>
      <c r="AA79" s="227"/>
      <c r="AB79" s="227"/>
    </row>
    <row r="80" spans="1:28" s="211" customFormat="1" ht="16.5" hidden="1">
      <c r="A80" s="227"/>
      <c r="B80" s="227"/>
      <c r="C80" s="227"/>
      <c r="D80" s="227"/>
      <c r="E80" s="210"/>
      <c r="F80" s="646"/>
      <c r="G80" s="646"/>
      <c r="H80" s="646"/>
      <c r="I80" s="646"/>
      <c r="J80" s="646"/>
      <c r="K80" s="646"/>
      <c r="L80" s="646"/>
      <c r="M80" s="646"/>
      <c r="N80" s="646"/>
      <c r="O80" s="646"/>
      <c r="P80" s="646"/>
      <c r="Q80" s="646"/>
      <c r="R80" s="201"/>
      <c r="S80" s="736"/>
      <c r="T80" s="736"/>
      <c r="U80" s="736"/>
      <c r="V80" s="736"/>
      <c r="W80" s="227"/>
      <c r="X80" s="227"/>
      <c r="Y80" s="227"/>
      <c r="Z80" s="227"/>
      <c r="AA80" s="227"/>
      <c r="AB80" s="227"/>
    </row>
    <row r="81" spans="1:28" s="211" customFormat="1" ht="16.5" hidden="1">
      <c r="A81" s="227"/>
      <c r="B81" s="227"/>
      <c r="C81" s="227"/>
      <c r="D81" s="227"/>
      <c r="E81" s="210"/>
      <c r="F81" s="646"/>
      <c r="G81" s="646"/>
      <c r="H81" s="646"/>
      <c r="I81" s="646"/>
      <c r="J81" s="646"/>
      <c r="K81" s="646"/>
      <c r="L81" s="646"/>
      <c r="M81" s="646"/>
      <c r="N81" s="646"/>
      <c r="O81" s="646"/>
      <c r="P81" s="646"/>
      <c r="Q81" s="646"/>
      <c r="R81" s="201"/>
      <c r="S81" s="736"/>
      <c r="T81" s="736"/>
      <c r="U81" s="736"/>
      <c r="V81" s="736"/>
      <c r="W81" s="227"/>
      <c r="X81" s="227"/>
      <c r="Y81" s="227"/>
      <c r="Z81" s="227"/>
      <c r="AA81" s="227"/>
      <c r="AB81" s="227"/>
    </row>
    <row r="82" spans="1:28" s="211" customFormat="1" ht="16.5" hidden="1">
      <c r="A82" s="227"/>
      <c r="B82" s="227"/>
      <c r="C82" s="227"/>
      <c r="D82" s="227"/>
      <c r="E82" s="210"/>
      <c r="F82" s="646"/>
      <c r="G82" s="646"/>
      <c r="H82" s="646"/>
      <c r="I82" s="646"/>
      <c r="J82" s="646"/>
      <c r="K82" s="646"/>
      <c r="L82" s="646"/>
      <c r="M82" s="646"/>
      <c r="N82" s="646"/>
      <c r="O82" s="646"/>
      <c r="P82" s="646"/>
      <c r="Q82" s="646"/>
      <c r="R82" s="201"/>
      <c r="S82" s="736"/>
      <c r="T82" s="736"/>
      <c r="U82" s="736"/>
      <c r="V82" s="736"/>
      <c r="W82" s="227"/>
      <c r="X82" s="227"/>
      <c r="Y82" s="227"/>
      <c r="Z82" s="227"/>
      <c r="AA82" s="227"/>
      <c r="AB82" s="227"/>
    </row>
    <row r="83" spans="1:28" s="211" customFormat="1" ht="16.5" hidden="1">
      <c r="A83" s="227"/>
      <c r="B83" s="227"/>
      <c r="C83" s="227"/>
      <c r="D83" s="227"/>
      <c r="E83" s="210"/>
      <c r="F83" s="646"/>
      <c r="G83" s="646"/>
      <c r="H83" s="646"/>
      <c r="I83" s="646"/>
      <c r="J83" s="646"/>
      <c r="K83" s="646"/>
      <c r="L83" s="646"/>
      <c r="M83" s="646"/>
      <c r="N83" s="646"/>
      <c r="O83" s="646"/>
      <c r="P83" s="646"/>
      <c r="Q83" s="646"/>
      <c r="R83" s="201"/>
      <c r="S83" s="736"/>
      <c r="T83" s="736"/>
      <c r="U83" s="736"/>
      <c r="V83" s="736"/>
      <c r="W83" s="227"/>
      <c r="X83" s="227"/>
      <c r="Y83" s="227"/>
      <c r="Z83" s="227"/>
      <c r="AA83" s="227"/>
      <c r="AB83" s="227"/>
    </row>
    <row r="84" spans="1:28" s="211" customFormat="1" ht="16.5" hidden="1">
      <c r="A84" s="227"/>
      <c r="B84" s="227"/>
      <c r="C84" s="227"/>
      <c r="D84" s="227"/>
      <c r="E84" s="210"/>
      <c r="F84" s="646"/>
      <c r="G84" s="646"/>
      <c r="H84" s="646"/>
      <c r="I84" s="646"/>
      <c r="J84" s="646"/>
      <c r="K84" s="646"/>
      <c r="L84" s="646"/>
      <c r="M84" s="646"/>
      <c r="N84" s="646"/>
      <c r="O84" s="646"/>
      <c r="P84" s="646"/>
      <c r="Q84" s="646"/>
      <c r="R84" s="201"/>
      <c r="S84" s="736"/>
      <c r="T84" s="736"/>
      <c r="U84" s="736"/>
      <c r="V84" s="736"/>
      <c r="W84" s="227"/>
      <c r="X84" s="227"/>
      <c r="Y84" s="227"/>
      <c r="Z84" s="227"/>
      <c r="AA84" s="227"/>
      <c r="AB84" s="227"/>
    </row>
    <row r="85" spans="1:28" s="211" customFormat="1" ht="16.5" hidden="1">
      <c r="A85" s="227"/>
      <c r="B85" s="227"/>
      <c r="C85" s="227"/>
      <c r="D85" s="227"/>
      <c r="E85" s="210"/>
      <c r="F85" s="646"/>
      <c r="G85" s="646"/>
      <c r="H85" s="646"/>
      <c r="I85" s="646"/>
      <c r="J85" s="646"/>
      <c r="K85" s="646"/>
      <c r="L85" s="646"/>
      <c r="M85" s="646"/>
      <c r="N85" s="646"/>
      <c r="O85" s="646"/>
      <c r="P85" s="646"/>
      <c r="Q85" s="646"/>
      <c r="R85" s="201"/>
      <c r="S85" s="736"/>
      <c r="T85" s="736"/>
      <c r="U85" s="736"/>
      <c r="V85" s="736"/>
      <c r="W85" s="227"/>
      <c r="X85" s="227"/>
      <c r="Y85" s="227"/>
      <c r="Z85" s="227"/>
      <c r="AA85" s="227"/>
      <c r="AB85" s="227"/>
    </row>
    <row r="86" spans="1:28" s="211" customFormat="1" ht="16.5" hidden="1">
      <c r="A86" s="227"/>
      <c r="B86" s="227"/>
      <c r="C86" s="227"/>
      <c r="D86" s="227"/>
      <c r="E86" s="210"/>
      <c r="F86" s="646"/>
      <c r="G86" s="646"/>
      <c r="H86" s="646"/>
      <c r="I86" s="646"/>
      <c r="J86" s="646"/>
      <c r="K86" s="646"/>
      <c r="L86" s="646"/>
      <c r="M86" s="646"/>
      <c r="N86" s="646"/>
      <c r="O86" s="646"/>
      <c r="P86" s="646"/>
      <c r="Q86" s="646"/>
      <c r="R86" s="201"/>
      <c r="S86" s="736"/>
      <c r="T86" s="736"/>
      <c r="U86" s="736"/>
      <c r="V86" s="736"/>
      <c r="W86" s="227"/>
      <c r="X86" s="227"/>
      <c r="Y86" s="227"/>
      <c r="Z86" s="227"/>
      <c r="AA86" s="227"/>
      <c r="AB86" s="227"/>
    </row>
    <row r="87" spans="1:28" s="211" customFormat="1" ht="16.5" hidden="1">
      <c r="A87" s="227"/>
      <c r="B87" s="227"/>
      <c r="C87" s="227"/>
      <c r="D87" s="227"/>
      <c r="E87" s="210"/>
      <c r="F87" s="646"/>
      <c r="G87" s="646"/>
      <c r="H87" s="646"/>
      <c r="I87" s="646"/>
      <c r="J87" s="646"/>
      <c r="K87" s="646"/>
      <c r="L87" s="646"/>
      <c r="M87" s="646"/>
      <c r="N87" s="646"/>
      <c r="O87" s="646"/>
      <c r="P87" s="646"/>
      <c r="Q87" s="646"/>
      <c r="R87" s="201"/>
      <c r="S87" s="736"/>
      <c r="T87" s="736"/>
      <c r="U87" s="736"/>
      <c r="V87" s="736"/>
      <c r="W87" s="227"/>
      <c r="X87" s="227"/>
      <c r="Y87" s="227"/>
      <c r="Z87" s="227"/>
      <c r="AA87" s="227"/>
      <c r="AB87" s="227"/>
    </row>
    <row r="88" spans="1:28" s="211" customFormat="1" ht="16.5" hidden="1">
      <c r="A88" s="227"/>
      <c r="B88" s="227"/>
      <c r="C88" s="227"/>
      <c r="D88" s="227"/>
      <c r="E88" s="210"/>
      <c r="F88" s="646"/>
      <c r="G88" s="646"/>
      <c r="H88" s="646"/>
      <c r="I88" s="646"/>
      <c r="J88" s="646"/>
      <c r="K88" s="646"/>
      <c r="L88" s="646"/>
      <c r="M88" s="646"/>
      <c r="N88" s="646"/>
      <c r="O88" s="646"/>
      <c r="P88" s="646"/>
      <c r="Q88" s="646"/>
      <c r="R88" s="201"/>
      <c r="S88" s="736"/>
      <c r="T88" s="736"/>
      <c r="U88" s="736"/>
      <c r="V88" s="736"/>
      <c r="W88" s="227"/>
      <c r="X88" s="227"/>
      <c r="Y88" s="227"/>
      <c r="Z88" s="227"/>
      <c r="AA88" s="227"/>
      <c r="AB88" s="227"/>
    </row>
    <row r="89" spans="1:28" s="211" customFormat="1" ht="16.5" hidden="1">
      <c r="A89" s="227"/>
      <c r="B89" s="227"/>
      <c r="C89" s="227"/>
      <c r="D89" s="227"/>
      <c r="E89" s="210"/>
      <c r="F89" s="646"/>
      <c r="G89" s="646"/>
      <c r="H89" s="646"/>
      <c r="I89" s="646"/>
      <c r="J89" s="646"/>
      <c r="K89" s="646"/>
      <c r="L89" s="646"/>
      <c r="M89" s="646"/>
      <c r="N89" s="646"/>
      <c r="O89" s="646"/>
      <c r="P89" s="646"/>
      <c r="Q89" s="646"/>
      <c r="R89" s="201"/>
      <c r="S89" s="736"/>
      <c r="T89" s="736"/>
      <c r="U89" s="736"/>
      <c r="V89" s="736"/>
      <c r="W89" s="227"/>
      <c r="X89" s="227"/>
      <c r="Y89" s="227"/>
      <c r="Z89" s="227"/>
      <c r="AA89" s="227"/>
      <c r="AB89" s="227"/>
    </row>
    <row r="90" spans="1:28" s="211" customFormat="1" ht="16.5" hidden="1">
      <c r="A90" s="227"/>
      <c r="B90" s="227"/>
      <c r="C90" s="227"/>
      <c r="D90" s="227"/>
      <c r="E90" s="210"/>
      <c r="F90" s="646"/>
      <c r="G90" s="646"/>
      <c r="H90" s="646"/>
      <c r="I90" s="646"/>
      <c r="J90" s="646"/>
      <c r="K90" s="646"/>
      <c r="L90" s="646"/>
      <c r="M90" s="646"/>
      <c r="N90" s="646"/>
      <c r="O90" s="646"/>
      <c r="P90" s="646"/>
      <c r="Q90" s="646"/>
      <c r="R90" s="201"/>
      <c r="S90" s="736"/>
      <c r="T90" s="736"/>
      <c r="U90" s="736"/>
      <c r="V90" s="736"/>
      <c r="W90" s="227"/>
      <c r="X90" s="227"/>
      <c r="Y90" s="227"/>
      <c r="Z90" s="227"/>
      <c r="AA90" s="227"/>
      <c r="AB90" s="227"/>
    </row>
    <row r="91" spans="1:28" s="211" customFormat="1" ht="16.5" hidden="1">
      <c r="A91" s="227"/>
      <c r="B91" s="227"/>
      <c r="C91" s="227"/>
      <c r="D91" s="227"/>
      <c r="E91" s="210"/>
      <c r="F91" s="646"/>
      <c r="G91" s="646"/>
      <c r="H91" s="646"/>
      <c r="I91" s="646"/>
      <c r="J91" s="646"/>
      <c r="K91" s="646"/>
      <c r="L91" s="646"/>
      <c r="M91" s="646"/>
      <c r="N91" s="646"/>
      <c r="O91" s="646"/>
      <c r="P91" s="646"/>
      <c r="Q91" s="646"/>
      <c r="R91" s="201"/>
      <c r="S91" s="736"/>
      <c r="T91" s="736"/>
      <c r="U91" s="736"/>
      <c r="V91" s="736"/>
      <c r="W91" s="227"/>
      <c r="X91" s="227"/>
      <c r="Y91" s="227"/>
      <c r="Z91" s="227"/>
      <c r="AA91" s="227"/>
      <c r="AB91" s="227"/>
    </row>
    <row r="92" spans="1:28" s="211" customFormat="1" ht="16.5" hidden="1">
      <c r="A92" s="227"/>
      <c r="B92" s="227"/>
      <c r="C92" s="227"/>
      <c r="D92" s="227"/>
      <c r="E92" s="210"/>
      <c r="F92" s="646"/>
      <c r="G92" s="646"/>
      <c r="H92" s="646"/>
      <c r="I92" s="646"/>
      <c r="J92" s="646"/>
      <c r="K92" s="646"/>
      <c r="L92" s="646"/>
      <c r="M92" s="646"/>
      <c r="N92" s="646"/>
      <c r="O92" s="646"/>
      <c r="P92" s="646"/>
      <c r="Q92" s="646"/>
      <c r="R92" s="201"/>
      <c r="S92" s="736"/>
      <c r="T92" s="736"/>
      <c r="U92" s="736"/>
      <c r="V92" s="736"/>
      <c r="W92" s="227"/>
      <c r="X92" s="227"/>
      <c r="Y92" s="227"/>
      <c r="Z92" s="227"/>
      <c r="AA92" s="227"/>
      <c r="AB92" s="227"/>
    </row>
    <row r="93" spans="1:28" s="211" customFormat="1" ht="16.5" hidden="1">
      <c r="A93" s="227"/>
      <c r="B93" s="227"/>
      <c r="C93" s="227"/>
      <c r="D93" s="227"/>
      <c r="E93" s="210"/>
      <c r="F93" s="646"/>
      <c r="G93" s="646"/>
      <c r="H93" s="646"/>
      <c r="I93" s="646"/>
      <c r="J93" s="646"/>
      <c r="K93" s="646"/>
      <c r="L93" s="646"/>
      <c r="M93" s="646"/>
      <c r="N93" s="646"/>
      <c r="O93" s="646"/>
      <c r="P93" s="646"/>
      <c r="Q93" s="646"/>
      <c r="R93" s="201"/>
      <c r="S93" s="736"/>
      <c r="T93" s="736"/>
      <c r="U93" s="736"/>
      <c r="V93" s="736"/>
      <c r="W93" s="227"/>
      <c r="X93" s="227"/>
      <c r="Y93" s="227"/>
      <c r="Z93" s="227"/>
      <c r="AA93" s="227"/>
      <c r="AB93" s="227"/>
    </row>
    <row r="94" spans="1:28" s="211" customFormat="1" ht="16.5" hidden="1">
      <c r="A94" s="227"/>
      <c r="B94" s="227"/>
      <c r="C94" s="227"/>
      <c r="D94" s="227"/>
      <c r="E94" s="210"/>
      <c r="F94" s="646"/>
      <c r="G94" s="646"/>
      <c r="H94" s="646"/>
      <c r="I94" s="646"/>
      <c r="J94" s="646"/>
      <c r="K94" s="646"/>
      <c r="L94" s="646"/>
      <c r="M94" s="646"/>
      <c r="N94" s="646"/>
      <c r="O94" s="646"/>
      <c r="P94" s="646"/>
      <c r="Q94" s="646"/>
      <c r="R94" s="201"/>
      <c r="S94" s="736"/>
      <c r="T94" s="736"/>
      <c r="U94" s="736"/>
      <c r="V94" s="736"/>
      <c r="W94" s="227"/>
      <c r="X94" s="227"/>
      <c r="Y94" s="227"/>
      <c r="Z94" s="227"/>
      <c r="AA94" s="227"/>
      <c r="AB94" s="227"/>
    </row>
    <row r="95" spans="1:28" s="211" customFormat="1" ht="16.5" hidden="1">
      <c r="A95" s="227"/>
      <c r="B95" s="227"/>
      <c r="C95" s="227"/>
      <c r="D95" s="227"/>
      <c r="E95" s="210"/>
      <c r="F95" s="646"/>
      <c r="G95" s="646"/>
      <c r="H95" s="646"/>
      <c r="I95" s="646"/>
      <c r="J95" s="646"/>
      <c r="K95" s="646"/>
      <c r="L95" s="646"/>
      <c r="M95" s="646"/>
      <c r="N95" s="646"/>
      <c r="O95" s="646"/>
      <c r="P95" s="646"/>
      <c r="Q95" s="646"/>
      <c r="R95" s="201"/>
      <c r="S95" s="736"/>
      <c r="T95" s="736"/>
      <c r="U95" s="736"/>
      <c r="V95" s="736"/>
      <c r="W95" s="227"/>
      <c r="X95" s="227"/>
      <c r="Y95" s="227"/>
      <c r="Z95" s="227"/>
      <c r="AA95" s="227"/>
      <c r="AB95" s="227"/>
    </row>
    <row r="96" spans="1:28" s="211" customFormat="1" ht="16.5" hidden="1">
      <c r="A96" s="227"/>
      <c r="B96" s="227"/>
      <c r="C96" s="227"/>
      <c r="D96" s="227"/>
      <c r="E96" s="210"/>
      <c r="F96" s="646"/>
      <c r="G96" s="646"/>
      <c r="H96" s="646"/>
      <c r="I96" s="646"/>
      <c r="J96" s="646"/>
      <c r="K96" s="646"/>
      <c r="L96" s="646"/>
      <c r="M96" s="646"/>
      <c r="N96" s="646"/>
      <c r="O96" s="646"/>
      <c r="P96" s="646"/>
      <c r="Q96" s="646"/>
      <c r="R96" s="201"/>
      <c r="S96" s="736"/>
      <c r="T96" s="736"/>
      <c r="U96" s="736"/>
      <c r="V96" s="736"/>
      <c r="W96" s="227"/>
      <c r="X96" s="227"/>
      <c r="Y96" s="227"/>
      <c r="Z96" s="227"/>
      <c r="AA96" s="227"/>
      <c r="AB96" s="227"/>
    </row>
    <row r="97" spans="1:28" s="211" customFormat="1" ht="16.5" hidden="1">
      <c r="A97" s="227"/>
      <c r="B97" s="227"/>
      <c r="C97" s="227"/>
      <c r="D97" s="227"/>
      <c r="E97" s="210"/>
      <c r="F97" s="646"/>
      <c r="G97" s="646"/>
      <c r="H97" s="646"/>
      <c r="I97" s="646"/>
      <c r="J97" s="646"/>
      <c r="K97" s="646"/>
      <c r="L97" s="646"/>
      <c r="M97" s="646"/>
      <c r="N97" s="646"/>
      <c r="O97" s="646"/>
      <c r="P97" s="646"/>
      <c r="Q97" s="646"/>
      <c r="R97" s="201"/>
      <c r="S97" s="736"/>
      <c r="T97" s="736"/>
      <c r="U97" s="736"/>
      <c r="V97" s="736"/>
      <c r="W97" s="227"/>
      <c r="X97" s="227"/>
      <c r="Y97" s="227"/>
      <c r="Z97" s="227"/>
      <c r="AA97" s="227"/>
      <c r="AB97" s="227"/>
    </row>
    <row r="98" spans="1:28" s="211" customFormat="1" ht="16.5" hidden="1">
      <c r="A98" s="227"/>
      <c r="B98" s="227"/>
      <c r="C98" s="227"/>
      <c r="D98" s="227"/>
      <c r="E98" s="210"/>
      <c r="F98" s="646"/>
      <c r="G98" s="646"/>
      <c r="H98" s="646"/>
      <c r="I98" s="646"/>
      <c r="J98" s="646"/>
      <c r="K98" s="646"/>
      <c r="L98" s="646"/>
      <c r="M98" s="646"/>
      <c r="N98" s="646"/>
      <c r="O98" s="646"/>
      <c r="P98" s="646"/>
      <c r="Q98" s="646"/>
      <c r="R98" s="201"/>
      <c r="S98" s="736"/>
      <c r="T98" s="736"/>
      <c r="U98" s="736"/>
      <c r="V98" s="736"/>
      <c r="W98" s="227"/>
      <c r="X98" s="227"/>
      <c r="Y98" s="227"/>
      <c r="Z98" s="227"/>
      <c r="AA98" s="227"/>
      <c r="AB98" s="227"/>
    </row>
    <row r="99" spans="1:28" s="211" customFormat="1" ht="16.5" hidden="1">
      <c r="A99" s="227"/>
      <c r="B99" s="227"/>
      <c r="C99" s="227"/>
      <c r="D99" s="227"/>
      <c r="E99" s="210"/>
      <c r="F99" s="646"/>
      <c r="G99" s="646"/>
      <c r="H99" s="646"/>
      <c r="I99" s="646"/>
      <c r="J99" s="646"/>
      <c r="K99" s="646"/>
      <c r="L99" s="646"/>
      <c r="M99" s="646"/>
      <c r="N99" s="646"/>
      <c r="O99" s="646"/>
      <c r="P99" s="646"/>
      <c r="Q99" s="646"/>
      <c r="R99" s="201"/>
      <c r="S99" s="736"/>
      <c r="T99" s="736"/>
      <c r="U99" s="736"/>
      <c r="V99" s="736"/>
      <c r="W99" s="227"/>
      <c r="X99" s="227"/>
      <c r="Y99" s="227"/>
      <c r="Z99" s="227"/>
      <c r="AA99" s="227"/>
      <c r="AB99" s="227"/>
    </row>
    <row r="100" spans="1:28" s="211" customFormat="1" ht="16.5" hidden="1">
      <c r="A100" s="227"/>
      <c r="B100" s="227"/>
      <c r="C100" s="227"/>
      <c r="D100" s="227"/>
      <c r="E100" s="210"/>
      <c r="F100" s="646"/>
      <c r="G100" s="646"/>
      <c r="H100" s="646"/>
      <c r="I100" s="646"/>
      <c r="J100" s="646"/>
      <c r="K100" s="646"/>
      <c r="L100" s="646"/>
      <c r="M100" s="646"/>
      <c r="N100" s="646"/>
      <c r="O100" s="646"/>
      <c r="P100" s="646"/>
      <c r="Q100" s="646"/>
      <c r="R100" s="201"/>
      <c r="S100" s="736"/>
      <c r="T100" s="736"/>
      <c r="U100" s="736"/>
      <c r="V100" s="736"/>
      <c r="W100" s="227"/>
      <c r="X100" s="227"/>
      <c r="Y100" s="227"/>
      <c r="Z100" s="227"/>
      <c r="AA100" s="227"/>
      <c r="AB100" s="227"/>
    </row>
    <row r="101" spans="1:28" s="211" customFormat="1" ht="16.5" hidden="1">
      <c r="A101" s="227"/>
      <c r="B101" s="227"/>
      <c r="C101" s="227"/>
      <c r="D101" s="227"/>
      <c r="E101" s="210"/>
      <c r="F101" s="646"/>
      <c r="G101" s="646"/>
      <c r="H101" s="646"/>
      <c r="I101" s="646"/>
      <c r="J101" s="646"/>
      <c r="K101" s="646"/>
      <c r="L101" s="646"/>
      <c r="M101" s="646"/>
      <c r="N101" s="646"/>
      <c r="O101" s="646"/>
      <c r="P101" s="646"/>
      <c r="Q101" s="646"/>
      <c r="R101" s="201"/>
      <c r="S101" s="736"/>
      <c r="T101" s="736"/>
      <c r="U101" s="736"/>
      <c r="V101" s="736"/>
      <c r="W101" s="227"/>
      <c r="X101" s="227"/>
      <c r="Y101" s="227"/>
      <c r="Z101" s="227"/>
      <c r="AA101" s="227"/>
      <c r="AB101" s="227"/>
    </row>
    <row r="102" spans="1:28" s="211" customFormat="1" ht="16.5" hidden="1">
      <c r="A102" s="227"/>
      <c r="B102" s="227"/>
      <c r="C102" s="227"/>
      <c r="D102" s="227"/>
      <c r="E102" s="210"/>
      <c r="F102" s="646"/>
      <c r="G102" s="646"/>
      <c r="H102" s="646"/>
      <c r="I102" s="646"/>
      <c r="J102" s="646"/>
      <c r="K102" s="646"/>
      <c r="L102" s="646"/>
      <c r="M102" s="646"/>
      <c r="N102" s="646"/>
      <c r="O102" s="646"/>
      <c r="P102" s="646"/>
      <c r="Q102" s="646"/>
      <c r="R102" s="201"/>
      <c r="S102" s="736"/>
      <c r="T102" s="736"/>
      <c r="U102" s="736"/>
      <c r="V102" s="736"/>
      <c r="W102" s="227"/>
      <c r="X102" s="227"/>
      <c r="Y102" s="227"/>
      <c r="Z102" s="227"/>
      <c r="AA102" s="227"/>
      <c r="AB102" s="227"/>
    </row>
    <row r="103" spans="1:28" s="211" customFormat="1" ht="16.5" hidden="1">
      <c r="A103" s="227"/>
      <c r="B103" s="227"/>
      <c r="C103" s="227"/>
      <c r="D103" s="227"/>
      <c r="E103" s="210"/>
      <c r="F103" s="646"/>
      <c r="G103" s="646"/>
      <c r="H103" s="646"/>
      <c r="I103" s="646"/>
      <c r="J103" s="646"/>
      <c r="K103" s="646"/>
      <c r="L103" s="646"/>
      <c r="M103" s="646"/>
      <c r="N103" s="646"/>
      <c r="O103" s="646"/>
      <c r="P103" s="646"/>
      <c r="Q103" s="646"/>
      <c r="R103" s="201"/>
      <c r="S103" s="736"/>
      <c r="T103" s="736"/>
      <c r="U103" s="736"/>
      <c r="V103" s="736"/>
      <c r="W103" s="227"/>
      <c r="X103" s="227"/>
      <c r="Y103" s="227"/>
      <c r="Z103" s="227"/>
      <c r="AA103" s="227"/>
      <c r="AB103" s="227"/>
    </row>
    <row r="104" spans="1:28" s="211" customFormat="1" ht="16.5" hidden="1">
      <c r="A104" s="227"/>
      <c r="B104" s="227"/>
      <c r="C104" s="227"/>
      <c r="D104" s="227"/>
      <c r="E104" s="210"/>
      <c r="F104" s="646"/>
      <c r="G104" s="646"/>
      <c r="H104" s="646"/>
      <c r="I104" s="646"/>
      <c r="J104" s="646"/>
      <c r="K104" s="646"/>
      <c r="L104" s="646"/>
      <c r="M104" s="646"/>
      <c r="N104" s="646"/>
      <c r="O104" s="646"/>
      <c r="P104" s="646"/>
      <c r="Q104" s="646"/>
      <c r="R104" s="201"/>
      <c r="S104" s="736"/>
      <c r="T104" s="736"/>
      <c r="U104" s="736"/>
      <c r="V104" s="736"/>
      <c r="W104" s="227"/>
      <c r="X104" s="227"/>
      <c r="Y104" s="227"/>
      <c r="Z104" s="227"/>
      <c r="AA104" s="227"/>
      <c r="AB104" s="227"/>
    </row>
    <row r="105" spans="1:28" s="211" customFormat="1" ht="16.5" hidden="1">
      <c r="A105" s="227"/>
      <c r="B105" s="227"/>
      <c r="C105" s="227"/>
      <c r="D105" s="227"/>
      <c r="E105" s="210"/>
      <c r="F105" s="646"/>
      <c r="G105" s="646"/>
      <c r="H105" s="646"/>
      <c r="I105" s="646"/>
      <c r="J105" s="646"/>
      <c r="K105" s="646"/>
      <c r="L105" s="646"/>
      <c r="M105" s="646"/>
      <c r="N105" s="646"/>
      <c r="O105" s="646"/>
      <c r="P105" s="646"/>
      <c r="Q105" s="646"/>
      <c r="R105" s="201"/>
      <c r="S105" s="736"/>
      <c r="T105" s="736"/>
      <c r="U105" s="736"/>
      <c r="V105" s="736"/>
      <c r="W105" s="227"/>
      <c r="X105" s="227"/>
      <c r="Y105" s="227"/>
      <c r="Z105" s="227"/>
      <c r="AA105" s="227"/>
      <c r="AB105" s="227"/>
    </row>
    <row r="106" spans="1:28" s="211" customFormat="1" ht="16.5" hidden="1">
      <c r="A106" s="227"/>
      <c r="B106" s="227"/>
      <c r="C106" s="227"/>
      <c r="D106" s="227"/>
      <c r="E106" s="210"/>
      <c r="F106" s="646"/>
      <c r="G106" s="646"/>
      <c r="H106" s="646"/>
      <c r="I106" s="646"/>
      <c r="J106" s="646"/>
      <c r="K106" s="646"/>
      <c r="L106" s="646"/>
      <c r="M106" s="646"/>
      <c r="N106" s="646"/>
      <c r="O106" s="646"/>
      <c r="P106" s="646"/>
      <c r="Q106" s="646"/>
      <c r="R106" s="201"/>
      <c r="S106" s="736"/>
      <c r="T106" s="736"/>
      <c r="U106" s="736"/>
      <c r="V106" s="736"/>
      <c r="W106" s="227"/>
      <c r="X106" s="227"/>
      <c r="Y106" s="227"/>
      <c r="Z106" s="227"/>
      <c r="AA106" s="227"/>
      <c r="AB106" s="227"/>
    </row>
    <row r="107" spans="1:28" s="211" customFormat="1" ht="16.5" hidden="1">
      <c r="A107" s="227"/>
      <c r="B107" s="227"/>
      <c r="C107" s="227"/>
      <c r="D107" s="227"/>
      <c r="E107" s="210"/>
      <c r="F107" s="646"/>
      <c r="G107" s="646"/>
      <c r="H107" s="646"/>
      <c r="I107" s="646"/>
      <c r="J107" s="646"/>
      <c r="K107" s="646"/>
      <c r="L107" s="646"/>
      <c r="M107" s="646"/>
      <c r="N107" s="646"/>
      <c r="O107" s="646"/>
      <c r="P107" s="646"/>
      <c r="Q107" s="646"/>
      <c r="R107" s="201"/>
      <c r="S107" s="736"/>
      <c r="T107" s="736"/>
      <c r="U107" s="736"/>
      <c r="V107" s="736"/>
      <c r="W107" s="227"/>
      <c r="X107" s="227"/>
      <c r="Y107" s="227"/>
      <c r="Z107" s="227"/>
      <c r="AA107" s="227"/>
      <c r="AB107" s="227"/>
    </row>
    <row r="108" spans="1:28" s="211" customFormat="1" ht="16.5" hidden="1">
      <c r="A108" s="227"/>
      <c r="B108" s="227"/>
      <c r="C108" s="227"/>
      <c r="D108" s="227"/>
      <c r="E108" s="210"/>
      <c r="F108" s="646"/>
      <c r="G108" s="646"/>
      <c r="H108" s="646"/>
      <c r="I108" s="646"/>
      <c r="J108" s="646"/>
      <c r="K108" s="646"/>
      <c r="L108" s="646"/>
      <c r="M108" s="646"/>
      <c r="N108" s="646"/>
      <c r="O108" s="646"/>
      <c r="P108" s="646"/>
      <c r="Q108" s="646"/>
      <c r="R108" s="201"/>
      <c r="S108" s="736"/>
      <c r="T108" s="736"/>
      <c r="U108" s="736"/>
      <c r="V108" s="736"/>
      <c r="W108" s="227"/>
      <c r="X108" s="227"/>
      <c r="Y108" s="227"/>
      <c r="Z108" s="227"/>
      <c r="AA108" s="227"/>
      <c r="AB108" s="227"/>
    </row>
    <row r="109" spans="1:28" s="211" customFormat="1" ht="16.5" hidden="1">
      <c r="A109" s="227"/>
      <c r="B109" s="227"/>
      <c r="C109" s="227"/>
      <c r="D109" s="227"/>
      <c r="E109" s="210"/>
      <c r="F109" s="646"/>
      <c r="G109" s="646"/>
      <c r="H109" s="646"/>
      <c r="I109" s="646"/>
      <c r="J109" s="646"/>
      <c r="K109" s="646"/>
      <c r="L109" s="646"/>
      <c r="M109" s="646"/>
      <c r="N109" s="646"/>
      <c r="O109" s="646"/>
      <c r="P109" s="646"/>
      <c r="Q109" s="646"/>
      <c r="R109" s="201"/>
      <c r="S109" s="736"/>
      <c r="T109" s="736"/>
      <c r="U109" s="736"/>
      <c r="V109" s="736"/>
      <c r="W109" s="227"/>
      <c r="X109" s="227"/>
      <c r="Y109" s="227"/>
      <c r="Z109" s="227"/>
      <c r="AA109" s="227"/>
      <c r="AB109" s="227"/>
    </row>
    <row r="110" spans="1:28" s="211" customFormat="1" ht="16.5" hidden="1">
      <c r="A110" s="227"/>
      <c r="B110" s="227"/>
      <c r="C110" s="227"/>
      <c r="D110" s="227"/>
      <c r="E110" s="210"/>
      <c r="F110" s="646"/>
      <c r="G110" s="646"/>
      <c r="H110" s="646"/>
      <c r="I110" s="646"/>
      <c r="J110" s="646"/>
      <c r="K110" s="646"/>
      <c r="L110" s="646"/>
      <c r="M110" s="646"/>
      <c r="N110" s="646"/>
      <c r="O110" s="646"/>
      <c r="P110" s="646"/>
      <c r="Q110" s="646"/>
      <c r="R110" s="201"/>
      <c r="S110" s="227"/>
      <c r="T110" s="227"/>
      <c r="U110" s="227"/>
      <c r="V110" s="227"/>
      <c r="W110" s="227"/>
      <c r="X110" s="227"/>
      <c r="Y110" s="227"/>
      <c r="Z110" s="227"/>
      <c r="AA110" s="227"/>
      <c r="AB110" s="227"/>
    </row>
    <row r="111" spans="1:28" s="211" customFormat="1" ht="16.5" hidden="1">
      <c r="A111" s="227"/>
      <c r="B111" s="227"/>
      <c r="C111" s="227"/>
      <c r="D111" s="227"/>
      <c r="E111" s="210"/>
      <c r="F111" s="646"/>
      <c r="G111" s="646"/>
      <c r="H111" s="646"/>
      <c r="I111" s="646"/>
      <c r="J111" s="646"/>
      <c r="K111" s="646"/>
      <c r="L111" s="646"/>
      <c r="M111" s="646"/>
      <c r="N111" s="646"/>
      <c r="O111" s="646"/>
      <c r="P111" s="646"/>
      <c r="Q111" s="646"/>
      <c r="R111" s="201"/>
      <c r="S111" s="227"/>
      <c r="T111" s="227"/>
      <c r="U111" s="227"/>
      <c r="V111" s="227"/>
      <c r="W111" s="227"/>
      <c r="X111" s="227"/>
      <c r="Y111" s="227"/>
      <c r="Z111" s="227"/>
      <c r="AA111" s="227"/>
      <c r="AB111" s="227"/>
    </row>
    <row r="112" spans="1:28" s="211" customFormat="1" ht="16.5" hidden="1">
      <c r="A112" s="227"/>
      <c r="B112" s="227"/>
      <c r="C112" s="227"/>
      <c r="D112" s="227"/>
      <c r="E112" s="210"/>
      <c r="F112" s="646"/>
      <c r="G112" s="646"/>
      <c r="H112" s="646"/>
      <c r="I112" s="646"/>
      <c r="J112" s="646"/>
      <c r="K112" s="646"/>
      <c r="L112" s="646"/>
      <c r="M112" s="646"/>
      <c r="N112" s="646"/>
      <c r="O112" s="646"/>
      <c r="P112" s="646"/>
      <c r="Q112" s="646"/>
      <c r="R112" s="201"/>
      <c r="S112" s="227"/>
      <c r="T112" s="227"/>
      <c r="U112" s="227"/>
      <c r="V112" s="227"/>
      <c r="W112" s="227"/>
      <c r="X112" s="227"/>
      <c r="Y112" s="227"/>
      <c r="Z112" s="227"/>
      <c r="AA112" s="227"/>
      <c r="AB112" s="227"/>
    </row>
    <row r="113" spans="1:28" s="211" customFormat="1" ht="16.5" hidden="1">
      <c r="A113" s="227"/>
      <c r="B113" s="227"/>
      <c r="C113" s="227"/>
      <c r="D113" s="227"/>
      <c r="E113" s="210"/>
      <c r="F113" s="646"/>
      <c r="G113" s="646"/>
      <c r="H113" s="646"/>
      <c r="I113" s="646"/>
      <c r="J113" s="646"/>
      <c r="K113" s="646"/>
      <c r="L113" s="646"/>
      <c r="M113" s="646"/>
      <c r="N113" s="646"/>
      <c r="O113" s="646"/>
      <c r="P113" s="646"/>
      <c r="Q113" s="646"/>
      <c r="R113" s="201"/>
      <c r="S113" s="227"/>
      <c r="T113" s="227"/>
      <c r="U113" s="227"/>
      <c r="V113" s="227"/>
      <c r="W113" s="227"/>
      <c r="X113" s="227"/>
      <c r="Y113" s="227"/>
      <c r="Z113" s="227"/>
      <c r="AA113" s="227"/>
      <c r="AB113" s="227"/>
    </row>
    <row r="114" spans="1:28" s="211" customFormat="1" ht="16.5" hidden="1">
      <c r="A114" s="227"/>
      <c r="B114" s="227"/>
      <c r="C114" s="227"/>
      <c r="D114" s="227"/>
      <c r="E114" s="210"/>
      <c r="F114" s="646"/>
      <c r="G114" s="646"/>
      <c r="H114" s="646"/>
      <c r="I114" s="646"/>
      <c r="J114" s="646"/>
      <c r="K114" s="646"/>
      <c r="L114" s="646"/>
      <c r="M114" s="646"/>
      <c r="N114" s="646"/>
      <c r="O114" s="646"/>
      <c r="P114" s="646"/>
      <c r="Q114" s="646"/>
      <c r="R114" s="201"/>
      <c r="S114" s="227"/>
      <c r="T114" s="227"/>
      <c r="U114" s="227"/>
      <c r="V114" s="227"/>
      <c r="W114" s="227"/>
      <c r="X114" s="227"/>
      <c r="Y114" s="227"/>
      <c r="Z114" s="227"/>
      <c r="AA114" s="227"/>
      <c r="AB114" s="227"/>
    </row>
    <row r="115" spans="1:28" s="211" customFormat="1" ht="16.5" hidden="1">
      <c r="A115" s="227"/>
      <c r="B115" s="227"/>
      <c r="C115" s="227"/>
      <c r="D115" s="227"/>
      <c r="E115" s="210"/>
      <c r="F115" s="646"/>
      <c r="G115" s="646"/>
      <c r="H115" s="646"/>
      <c r="I115" s="646"/>
      <c r="J115" s="646"/>
      <c r="K115" s="646"/>
      <c r="L115" s="646"/>
      <c r="M115" s="646"/>
      <c r="N115" s="646"/>
      <c r="O115" s="646"/>
      <c r="P115" s="646"/>
      <c r="Q115" s="646"/>
      <c r="R115" s="201"/>
      <c r="S115" s="227"/>
      <c r="T115" s="227"/>
      <c r="U115" s="227"/>
      <c r="V115" s="227"/>
      <c r="W115" s="227"/>
      <c r="X115" s="227"/>
      <c r="Y115" s="227"/>
      <c r="Z115" s="227"/>
      <c r="AA115" s="227"/>
      <c r="AB115" s="227"/>
    </row>
    <row r="116" spans="1:28" s="211" customFormat="1" ht="16.5" hidden="1">
      <c r="A116" s="227"/>
      <c r="B116" s="227"/>
      <c r="C116" s="227"/>
      <c r="D116" s="227"/>
      <c r="E116" s="210"/>
      <c r="F116" s="646"/>
      <c r="G116" s="646"/>
      <c r="H116" s="646"/>
      <c r="I116" s="646"/>
      <c r="J116" s="646"/>
      <c r="K116" s="646"/>
      <c r="L116" s="646"/>
      <c r="M116" s="646"/>
      <c r="N116" s="646"/>
      <c r="O116" s="646"/>
      <c r="P116" s="646"/>
      <c r="Q116" s="646"/>
      <c r="R116" s="201"/>
      <c r="S116" s="227"/>
      <c r="T116" s="227"/>
      <c r="U116" s="227"/>
      <c r="V116" s="227"/>
      <c r="W116" s="227"/>
      <c r="X116" s="227"/>
      <c r="Y116" s="227"/>
      <c r="Z116" s="227"/>
      <c r="AA116" s="227"/>
      <c r="AB116" s="227"/>
    </row>
    <row r="117" spans="1:28" s="211" customFormat="1" ht="16.5" hidden="1">
      <c r="A117" s="227"/>
      <c r="B117" s="227"/>
      <c r="C117" s="227"/>
      <c r="D117" s="227"/>
      <c r="E117" s="210"/>
      <c r="F117" s="646"/>
      <c r="G117" s="646"/>
      <c r="H117" s="646"/>
      <c r="I117" s="646"/>
      <c r="J117" s="646"/>
      <c r="K117" s="646"/>
      <c r="L117" s="646"/>
      <c r="M117" s="646"/>
      <c r="N117" s="646"/>
      <c r="O117" s="646"/>
      <c r="P117" s="646"/>
      <c r="Q117" s="646"/>
      <c r="R117" s="201"/>
      <c r="S117" s="227"/>
      <c r="T117" s="227"/>
      <c r="U117" s="227"/>
      <c r="V117" s="227"/>
      <c r="W117" s="227"/>
      <c r="X117" s="227"/>
      <c r="Y117" s="227"/>
      <c r="Z117" s="227"/>
      <c r="AA117" s="227"/>
      <c r="AB117" s="227"/>
    </row>
    <row r="118" spans="1:28" s="211" customFormat="1" ht="16.5" hidden="1">
      <c r="A118" s="227"/>
      <c r="B118" s="227"/>
      <c r="C118" s="227"/>
      <c r="D118" s="227"/>
      <c r="E118" s="210"/>
      <c r="F118" s="646"/>
      <c r="G118" s="646"/>
      <c r="H118" s="646"/>
      <c r="I118" s="646"/>
      <c r="J118" s="646"/>
      <c r="K118" s="646"/>
      <c r="L118" s="646"/>
      <c r="M118" s="646"/>
      <c r="N118" s="646"/>
      <c r="O118" s="646"/>
      <c r="P118" s="646"/>
      <c r="Q118" s="646"/>
      <c r="R118" s="201"/>
      <c r="S118" s="227"/>
      <c r="T118" s="227"/>
      <c r="U118" s="227"/>
      <c r="V118" s="227"/>
      <c r="W118" s="227"/>
      <c r="X118" s="227"/>
      <c r="Y118" s="227"/>
      <c r="Z118" s="227"/>
      <c r="AA118" s="227"/>
      <c r="AB118" s="227"/>
    </row>
    <row r="119" spans="1:28" s="211" customFormat="1" ht="16.5" hidden="1">
      <c r="A119" s="227"/>
      <c r="B119" s="227"/>
      <c r="C119" s="227"/>
      <c r="D119" s="227"/>
      <c r="E119" s="210"/>
      <c r="F119" s="646"/>
      <c r="G119" s="646"/>
      <c r="H119" s="646"/>
      <c r="I119" s="646"/>
      <c r="J119" s="646"/>
      <c r="K119" s="646"/>
      <c r="L119" s="646"/>
      <c r="M119" s="646"/>
      <c r="N119" s="646"/>
      <c r="O119" s="646"/>
      <c r="P119" s="646"/>
      <c r="Q119" s="646"/>
      <c r="R119" s="201"/>
      <c r="S119" s="227"/>
      <c r="T119" s="227"/>
      <c r="U119" s="227"/>
      <c r="V119" s="227"/>
      <c r="W119" s="227"/>
      <c r="X119" s="227"/>
      <c r="Y119" s="227"/>
      <c r="Z119" s="227"/>
      <c r="AA119" s="227"/>
      <c r="AB119" s="227"/>
    </row>
    <row r="120" spans="1:28" s="211" customFormat="1" ht="16.5" hidden="1">
      <c r="A120" s="227"/>
      <c r="B120" s="227"/>
      <c r="C120" s="227"/>
      <c r="D120" s="227"/>
      <c r="E120" s="210"/>
      <c r="F120" s="646"/>
      <c r="G120" s="646"/>
      <c r="H120" s="646"/>
      <c r="I120" s="646"/>
      <c r="J120" s="646"/>
      <c r="K120" s="646"/>
      <c r="L120" s="646"/>
      <c r="M120" s="646"/>
      <c r="N120" s="646"/>
      <c r="O120" s="646"/>
      <c r="P120" s="646"/>
      <c r="Q120" s="646"/>
      <c r="R120" s="201"/>
      <c r="S120" s="227"/>
      <c r="T120" s="227"/>
      <c r="U120" s="227"/>
      <c r="V120" s="227"/>
      <c r="W120" s="227"/>
      <c r="X120" s="227"/>
      <c r="Y120" s="227"/>
      <c r="Z120" s="227"/>
      <c r="AA120" s="227"/>
      <c r="AB120" s="227"/>
    </row>
    <row r="121" spans="1:28" s="211" customFormat="1" ht="16.5" hidden="1">
      <c r="A121" s="227"/>
      <c r="B121" s="227"/>
      <c r="C121" s="227"/>
      <c r="D121" s="227"/>
      <c r="E121" s="210"/>
      <c r="F121" s="624"/>
      <c r="G121" s="676"/>
      <c r="H121" s="674"/>
      <c r="I121" s="674"/>
      <c r="J121" s="674"/>
      <c r="K121" s="674"/>
      <c r="L121" s="674"/>
      <c r="M121" s="674"/>
      <c r="N121" s="675"/>
      <c r="O121" s="627"/>
      <c r="P121" s="628"/>
      <c r="Q121" s="628"/>
      <c r="R121" s="201"/>
      <c r="S121" s="227"/>
      <c r="T121" s="227"/>
      <c r="U121" s="227"/>
      <c r="V121" s="227"/>
      <c r="W121" s="227"/>
      <c r="X121" s="227"/>
      <c r="Y121" s="227"/>
      <c r="Z121" s="227"/>
      <c r="AA121" s="227"/>
      <c r="AB121" s="227"/>
    </row>
    <row r="122" spans="1:28" s="211" customFormat="1" ht="16.5" hidden="1">
      <c r="A122" s="227"/>
      <c r="B122" s="227"/>
      <c r="C122" s="227"/>
      <c r="D122" s="227"/>
      <c r="E122" s="210"/>
      <c r="F122" s="624"/>
      <c r="G122" s="676"/>
      <c r="H122" s="674"/>
      <c r="I122" s="674"/>
      <c r="J122" s="674"/>
      <c r="K122" s="674"/>
      <c r="L122" s="674"/>
      <c r="M122" s="674"/>
      <c r="N122" s="675"/>
      <c r="O122" s="627"/>
      <c r="P122" s="628"/>
      <c r="Q122" s="628"/>
      <c r="R122" s="201"/>
      <c r="S122" s="227"/>
      <c r="T122" s="227"/>
      <c r="U122" s="227"/>
      <c r="V122" s="227"/>
      <c r="W122" s="227"/>
      <c r="X122" s="227"/>
      <c r="Y122" s="227"/>
      <c r="Z122" s="227"/>
      <c r="AA122" s="227"/>
      <c r="AB122" s="227"/>
    </row>
    <row r="123" spans="1:28" s="211" customFormat="1" ht="16.5" hidden="1">
      <c r="A123" s="227"/>
      <c r="B123" s="227"/>
      <c r="C123" s="227"/>
      <c r="D123" s="227"/>
      <c r="E123" s="210"/>
      <c r="F123" s="624"/>
      <c r="G123" s="676"/>
      <c r="H123" s="674"/>
      <c r="I123" s="674"/>
      <c r="J123" s="674"/>
      <c r="K123" s="674"/>
      <c r="L123" s="674"/>
      <c r="M123" s="674"/>
      <c r="N123" s="675"/>
      <c r="O123" s="627"/>
      <c r="P123" s="628"/>
      <c r="Q123" s="628"/>
      <c r="R123" s="201"/>
      <c r="S123" s="227"/>
      <c r="T123" s="227"/>
      <c r="U123" s="227"/>
      <c r="V123" s="227"/>
      <c r="W123" s="227"/>
      <c r="X123" s="227"/>
      <c r="Y123" s="227"/>
      <c r="Z123" s="227"/>
      <c r="AA123" s="227"/>
      <c r="AB123" s="227"/>
    </row>
    <row r="124" spans="1:28" s="211" customFormat="1" ht="16.5" hidden="1">
      <c r="A124" s="227"/>
      <c r="B124" s="227"/>
      <c r="C124" s="227"/>
      <c r="D124" s="227"/>
      <c r="E124" s="210"/>
      <c r="F124" s="624"/>
      <c r="G124" s="676"/>
      <c r="H124" s="674"/>
      <c r="I124" s="674"/>
      <c r="J124" s="674"/>
      <c r="K124" s="674"/>
      <c r="L124" s="674"/>
      <c r="M124" s="674"/>
      <c r="N124" s="675"/>
      <c r="O124" s="627"/>
      <c r="P124" s="628"/>
      <c r="Q124" s="628"/>
      <c r="R124" s="201"/>
      <c r="S124" s="227"/>
      <c r="T124" s="227"/>
      <c r="U124" s="227"/>
      <c r="V124" s="227"/>
      <c r="W124" s="227"/>
      <c r="X124" s="227"/>
      <c r="Y124" s="227"/>
      <c r="Z124" s="227"/>
      <c r="AA124" s="227"/>
      <c r="AB124" s="227"/>
    </row>
    <row r="125" spans="1:28" s="211" customFormat="1" ht="16.5" hidden="1">
      <c r="A125" s="227"/>
      <c r="B125" s="227"/>
      <c r="C125" s="227"/>
      <c r="D125" s="227"/>
      <c r="E125" s="210"/>
      <c r="F125" s="624"/>
      <c r="G125" s="676"/>
      <c r="H125" s="674"/>
      <c r="I125" s="674"/>
      <c r="J125" s="674"/>
      <c r="K125" s="674"/>
      <c r="L125" s="674"/>
      <c r="M125" s="674"/>
      <c r="N125" s="675"/>
      <c r="O125" s="627"/>
      <c r="P125" s="628"/>
      <c r="Q125" s="628"/>
      <c r="R125" s="201"/>
      <c r="S125" s="227"/>
      <c r="T125" s="227"/>
      <c r="U125" s="227"/>
      <c r="V125" s="227"/>
      <c r="W125" s="227"/>
      <c r="X125" s="227"/>
      <c r="Y125" s="227"/>
      <c r="Z125" s="227"/>
      <c r="AA125" s="227"/>
      <c r="AB125" s="227"/>
    </row>
    <row r="126" spans="1:28" s="211" customFormat="1" ht="16.5" hidden="1">
      <c r="A126" s="227"/>
      <c r="B126" s="227"/>
      <c r="C126" s="227"/>
      <c r="D126" s="227"/>
      <c r="E126" s="210"/>
      <c r="F126" s="624"/>
      <c r="G126" s="676"/>
      <c r="H126" s="674"/>
      <c r="I126" s="674"/>
      <c r="J126" s="674"/>
      <c r="K126" s="674"/>
      <c r="L126" s="674"/>
      <c r="M126" s="674"/>
      <c r="N126" s="675"/>
      <c r="O126" s="627"/>
      <c r="P126" s="628"/>
      <c r="Q126" s="628"/>
      <c r="R126" s="201"/>
      <c r="S126" s="227"/>
      <c r="T126" s="227"/>
      <c r="U126" s="227"/>
      <c r="V126" s="227"/>
      <c r="W126" s="227"/>
      <c r="X126" s="227"/>
      <c r="Y126" s="227"/>
      <c r="Z126" s="227"/>
      <c r="AA126" s="227"/>
      <c r="AB126" s="227"/>
    </row>
    <row r="127" spans="1:28" s="211" customFormat="1" ht="16.5" hidden="1">
      <c r="A127" s="227"/>
      <c r="B127" s="227"/>
      <c r="C127" s="227"/>
      <c r="D127" s="227"/>
      <c r="E127" s="210"/>
      <c r="F127" s="624"/>
      <c r="G127" s="676"/>
      <c r="H127" s="674"/>
      <c r="I127" s="674"/>
      <c r="J127" s="674"/>
      <c r="K127" s="674"/>
      <c r="L127" s="674"/>
      <c r="M127" s="674"/>
      <c r="N127" s="675"/>
      <c r="O127" s="627"/>
      <c r="P127" s="628"/>
      <c r="Q127" s="628"/>
      <c r="R127" s="201"/>
      <c r="S127" s="227"/>
      <c r="T127" s="227"/>
      <c r="U127" s="227"/>
      <c r="V127" s="227"/>
      <c r="W127" s="227"/>
      <c r="X127" s="227"/>
      <c r="Y127" s="227"/>
      <c r="Z127" s="227"/>
      <c r="AA127" s="227"/>
      <c r="AB127" s="227"/>
    </row>
    <row r="128" spans="1:28" s="211" customFormat="1" ht="16.5" hidden="1">
      <c r="A128" s="227"/>
      <c r="B128" s="227"/>
      <c r="C128" s="227"/>
      <c r="D128" s="227"/>
      <c r="E128" s="210"/>
      <c r="F128" s="624"/>
      <c r="G128" s="676"/>
      <c r="H128" s="674"/>
      <c r="I128" s="674"/>
      <c r="J128" s="674"/>
      <c r="K128" s="674"/>
      <c r="L128" s="674"/>
      <c r="M128" s="674"/>
      <c r="N128" s="675"/>
      <c r="O128" s="627"/>
      <c r="P128" s="628"/>
      <c r="Q128" s="628"/>
      <c r="R128" s="201"/>
      <c r="S128" s="227"/>
      <c r="T128" s="227"/>
      <c r="U128" s="227"/>
      <c r="V128" s="227"/>
      <c r="W128" s="227"/>
      <c r="X128" s="227"/>
      <c r="Y128" s="227"/>
      <c r="Z128" s="227"/>
      <c r="AA128" s="227"/>
      <c r="AB128" s="227"/>
    </row>
    <row r="129" spans="1:31" s="211" customFormat="1" ht="16.5" hidden="1">
      <c r="A129" s="227"/>
      <c r="B129" s="227"/>
      <c r="C129" s="227"/>
      <c r="D129" s="227"/>
      <c r="E129" s="210"/>
      <c r="F129" s="624"/>
      <c r="G129" s="676"/>
      <c r="H129" s="674"/>
      <c r="I129" s="674"/>
      <c r="J129" s="674"/>
      <c r="K129" s="674"/>
      <c r="L129" s="674"/>
      <c r="M129" s="674"/>
      <c r="N129" s="675"/>
      <c r="O129" s="627"/>
      <c r="P129" s="628"/>
      <c r="Q129" s="628"/>
      <c r="R129" s="201"/>
      <c r="S129" s="227"/>
      <c r="T129" s="227"/>
      <c r="U129" s="227"/>
      <c r="V129" s="227"/>
      <c r="W129" s="227"/>
      <c r="X129" s="227"/>
      <c r="Y129" s="227"/>
      <c r="Z129" s="227"/>
      <c r="AA129" s="227"/>
      <c r="AB129" s="227"/>
    </row>
    <row r="130" spans="1:31" s="211" customFormat="1" ht="16.5">
      <c r="A130" s="227"/>
      <c r="B130" s="227"/>
      <c r="C130" s="227"/>
      <c r="D130" s="227"/>
      <c r="E130" s="210"/>
      <c r="F130" s="671"/>
      <c r="G130" s="689"/>
      <c r="H130" s="690"/>
      <c r="I130" s="690"/>
      <c r="J130" s="690"/>
      <c r="K130" s="690"/>
      <c r="L130" s="690"/>
      <c r="M130" s="690"/>
      <c r="N130" s="691"/>
      <c r="O130" s="311"/>
      <c r="P130" s="312"/>
      <c r="Q130" s="312"/>
      <c r="R130" s="201"/>
      <c r="S130" s="227"/>
      <c r="T130" s="227"/>
      <c r="U130" s="227"/>
      <c r="V130" s="227"/>
      <c r="W130" s="227"/>
      <c r="X130" s="227"/>
      <c r="Y130" s="227"/>
      <c r="Z130" s="227"/>
      <c r="AA130" s="227"/>
      <c r="AB130" s="227"/>
    </row>
    <row r="131" spans="1:31" s="211" customFormat="1" ht="20.25" customHeight="1">
      <c r="A131" s="227"/>
      <c r="B131" s="227"/>
      <c r="C131" s="227"/>
      <c r="D131" s="227"/>
      <c r="E131" s="223" t="str">
        <f>IF(A2&lt;&gt;"","7/","6/")</f>
        <v>7/</v>
      </c>
      <c r="F131" s="692" t="s">
        <v>4338</v>
      </c>
      <c r="G131" s="224"/>
      <c r="H131" s="224"/>
      <c r="I131" s="224"/>
      <c r="J131" s="224"/>
      <c r="K131" s="224"/>
      <c r="L131" s="224"/>
      <c r="M131" s="224"/>
      <c r="N131" s="224"/>
      <c r="O131" s="224"/>
      <c r="P131" s="224"/>
      <c r="Q131" s="210"/>
      <c r="R131" s="210"/>
      <c r="S131" s="227"/>
      <c r="T131" s="227"/>
      <c r="U131" s="227"/>
      <c r="V131" s="227"/>
      <c r="W131" s="227"/>
      <c r="X131" s="227"/>
      <c r="Y131" s="227"/>
      <c r="Z131" s="227"/>
      <c r="AA131" s="227"/>
      <c r="AB131" s="227"/>
    </row>
    <row r="132" spans="1:31" s="211" customFormat="1" ht="20.25" customHeight="1">
      <c r="A132" s="227"/>
      <c r="B132" s="227"/>
      <c r="C132" s="227"/>
      <c r="D132" s="227"/>
      <c r="E132" s="223" t="str">
        <f>IF(A2&lt;&gt;"","8/","7/")</f>
        <v>8/</v>
      </c>
      <c r="F132" s="208" t="s">
        <v>4382</v>
      </c>
      <c r="G132" s="225"/>
      <c r="H132" s="225"/>
      <c r="I132" s="225"/>
      <c r="J132" s="225"/>
      <c r="K132" s="225"/>
      <c r="L132" s="225"/>
      <c r="M132" s="225"/>
      <c r="N132" s="225"/>
      <c r="O132" s="225"/>
      <c r="P132" s="225"/>
      <c r="Q132" s="210"/>
      <c r="R132" s="210"/>
      <c r="S132" s="227"/>
      <c r="T132" s="227"/>
      <c r="U132" s="227"/>
      <c r="V132" s="227"/>
      <c r="W132" s="227"/>
      <c r="X132" s="227"/>
      <c r="Y132" s="227"/>
      <c r="Z132" s="227"/>
      <c r="AA132" s="227"/>
      <c r="AB132" s="227"/>
      <c r="AC132" s="1634"/>
      <c r="AD132" s="1634"/>
      <c r="AE132" s="1634"/>
    </row>
    <row r="133" spans="1:31" ht="16.5">
      <c r="A133" s="227"/>
      <c r="B133" s="227"/>
      <c r="C133" s="227"/>
      <c r="D133" s="227"/>
      <c r="E133" s="1635" t="s">
        <v>446</v>
      </c>
      <c r="F133" s="1635"/>
      <c r="G133" s="1635"/>
      <c r="H133" s="1635"/>
      <c r="I133" s="1635"/>
      <c r="J133" s="1635"/>
      <c r="K133" s="1635"/>
      <c r="L133" s="1635"/>
      <c r="M133" s="1635" t="s">
        <v>447</v>
      </c>
      <c r="N133" s="1635"/>
      <c r="O133" s="1635"/>
      <c r="P133" s="1635"/>
      <c r="Q133" s="1635"/>
      <c r="R133" s="1635"/>
      <c r="S133" s="227"/>
      <c r="T133" s="227"/>
      <c r="U133" s="227"/>
      <c r="V133" s="227"/>
      <c r="W133" s="227"/>
      <c r="X133" s="227"/>
      <c r="Y133" s="227"/>
      <c r="Z133" s="227"/>
      <c r="AA133" s="227"/>
      <c r="AB133" s="227"/>
    </row>
    <row r="134" spans="1:31" ht="16.5">
      <c r="A134" s="227"/>
      <c r="B134" s="227"/>
      <c r="C134" s="227"/>
      <c r="D134" s="227"/>
      <c r="E134" s="224"/>
      <c r="F134" s="224"/>
      <c r="G134" s="434"/>
      <c r="H134" s="434"/>
      <c r="I134" s="434"/>
      <c r="J134" s="434"/>
      <c r="K134" s="434"/>
      <c r="L134" s="434"/>
      <c r="M134" s="434"/>
      <c r="N134" s="434"/>
      <c r="O134" s="224"/>
      <c r="P134" s="224"/>
      <c r="Q134" s="224"/>
      <c r="R134" s="224"/>
      <c r="S134" s="227"/>
      <c r="T134" s="227"/>
      <c r="U134" s="227"/>
      <c r="V134" s="227"/>
      <c r="W134" s="227"/>
      <c r="X134" s="227"/>
      <c r="Y134" s="227"/>
      <c r="Z134" s="227"/>
      <c r="AA134" s="227"/>
      <c r="AB134" s="227"/>
    </row>
    <row r="135" spans="1:31" ht="16.5">
      <c r="A135" s="227"/>
      <c r="B135" s="227"/>
      <c r="C135" s="227"/>
      <c r="D135" s="227"/>
      <c r="E135" s="224"/>
      <c r="F135" s="224"/>
      <c r="G135" s="434"/>
      <c r="H135" s="434"/>
      <c r="I135" s="434"/>
      <c r="J135" s="434"/>
      <c r="K135" s="434"/>
      <c r="L135" s="434"/>
      <c r="M135" s="434"/>
      <c r="N135" s="434"/>
      <c r="O135" s="224"/>
      <c r="P135" s="224"/>
      <c r="Q135" s="224"/>
      <c r="R135" s="224"/>
      <c r="S135" s="227"/>
      <c r="T135" s="227"/>
      <c r="U135" s="227"/>
      <c r="V135" s="227"/>
      <c r="W135" s="227"/>
      <c r="X135" s="227"/>
      <c r="Y135" s="227"/>
      <c r="Z135" s="227"/>
      <c r="AA135" s="227"/>
      <c r="AB135" s="227"/>
    </row>
    <row r="136" spans="1:31" ht="16.5">
      <c r="A136" s="227"/>
      <c r="B136" s="227"/>
      <c r="C136" s="227"/>
      <c r="D136" s="227"/>
      <c r="E136" s="224"/>
      <c r="F136" s="224"/>
      <c r="G136" s="434"/>
      <c r="H136" s="434"/>
      <c r="I136" s="434"/>
      <c r="J136" s="434"/>
      <c r="K136" s="434"/>
      <c r="L136" s="434"/>
      <c r="M136" s="434"/>
      <c r="N136" s="434"/>
      <c r="O136" s="224"/>
      <c r="P136" s="224"/>
      <c r="Q136" s="224"/>
      <c r="R136" s="224"/>
      <c r="S136" s="227"/>
      <c r="T136" s="227"/>
      <c r="U136" s="227"/>
      <c r="V136" s="227"/>
      <c r="W136" s="227"/>
      <c r="X136" s="227"/>
      <c r="Y136" s="227"/>
      <c r="Z136" s="227"/>
      <c r="AA136" s="227"/>
      <c r="AB136" s="227"/>
    </row>
    <row r="137" spans="1:31" ht="16.5">
      <c r="A137" s="227"/>
      <c r="B137" s="227"/>
      <c r="C137" s="227"/>
      <c r="D137" s="227"/>
      <c r="E137" s="224"/>
      <c r="F137" s="224"/>
      <c r="G137" s="224"/>
      <c r="H137" s="224"/>
      <c r="I137" s="224"/>
      <c r="J137" s="224"/>
      <c r="K137" s="224"/>
      <c r="L137" s="224"/>
      <c r="M137" s="224"/>
      <c r="N137" s="224"/>
      <c r="O137" s="224"/>
      <c r="P137" s="224"/>
      <c r="Q137" s="224"/>
      <c r="R137" s="224"/>
      <c r="S137" s="227"/>
      <c r="T137" s="227"/>
      <c r="U137" s="227"/>
      <c r="V137" s="227"/>
      <c r="W137" s="227"/>
      <c r="X137" s="227"/>
      <c r="Y137" s="227"/>
      <c r="Z137" s="227"/>
      <c r="AA137" s="227"/>
      <c r="AB137" s="227"/>
    </row>
    <row r="138" spans="1:31" ht="16.5">
      <c r="A138" s="227"/>
      <c r="B138" s="227"/>
      <c r="C138" s="227"/>
      <c r="D138" s="227"/>
      <c r="E138" s="1635" t="str">
        <f>CBGS1</f>
        <v>Trần Trọng Liêm</v>
      </c>
      <c r="F138" s="1635"/>
      <c r="G138" s="1635"/>
      <c r="H138" s="1635"/>
      <c r="I138" s="1635"/>
      <c r="J138" s="1635"/>
      <c r="K138" s="1635"/>
      <c r="L138" s="1635"/>
      <c r="M138" s="1635" t="str">
        <f>CBKT1</f>
        <v>Hoàng Đình Tảng</v>
      </c>
      <c r="N138" s="1635"/>
      <c r="O138" s="1635"/>
      <c r="P138" s="1635"/>
      <c r="Q138" s="1635"/>
      <c r="R138" s="1635"/>
      <c r="S138" s="227"/>
      <c r="T138" s="227"/>
      <c r="U138" s="227"/>
      <c r="V138" s="227"/>
      <c r="W138" s="227"/>
      <c r="X138" s="227"/>
      <c r="Y138" s="227"/>
      <c r="Z138" s="227"/>
      <c r="AA138" s="227"/>
      <c r="AB138" s="227"/>
    </row>
    <row r="139" spans="1:31" ht="16.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row>
    <row r="140" spans="1:31" ht="16.5">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row>
    <row r="141" spans="1:31" ht="16.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row>
    <row r="142" spans="1:31" ht="16.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row>
    <row r="143" spans="1:31" ht="16.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row>
    <row r="144" spans="1:31" ht="16.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row>
    <row r="145" spans="1:28" ht="16.5">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row>
    <row r="146" spans="1:28" ht="16.5">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row>
    <row r="147" spans="1:28" ht="16.5">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row>
    <row r="148" spans="1:28" ht="16.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row>
    <row r="149" spans="1:28" ht="16.5">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row>
    <row r="150" spans="1:28" ht="16.5">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row>
    <row r="151" spans="1:28" ht="16.5">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row>
    <row r="152" spans="1:28" ht="16.5">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row>
    <row r="153" spans="1:28" ht="16.5">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row>
    <row r="154" spans="1:28"/>
    <row r="155" spans="1:28"/>
    <row r="156" spans="1:28"/>
    <row r="157" spans="1:28"/>
    <row r="158" spans="1:28"/>
    <row r="159" spans="1:28"/>
    <row r="160" spans="1:28"/>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sheetData>
  <mergeCells count="42">
    <mergeCell ref="E133:L133"/>
    <mergeCell ref="E138:L138"/>
    <mergeCell ref="M133:R133"/>
    <mergeCell ref="M138:R138"/>
    <mergeCell ref="G47:N48"/>
    <mergeCell ref="G49:N49"/>
    <mergeCell ref="G50:N50"/>
    <mergeCell ref="G51:N51"/>
    <mergeCell ref="G52:N52"/>
    <mergeCell ref="P55:Q55"/>
    <mergeCell ref="F47:F48"/>
    <mergeCell ref="O47:P47"/>
    <mergeCell ref="AC132:AE132"/>
    <mergeCell ref="G55:G56"/>
    <mergeCell ref="H55:H56"/>
    <mergeCell ref="I55:J55"/>
    <mergeCell ref="K55:K56"/>
    <mergeCell ref="L55:M55"/>
    <mergeCell ref="N55:O55"/>
    <mergeCell ref="E1:R1"/>
    <mergeCell ref="E2:R2"/>
    <mergeCell ref="E3:R3"/>
    <mergeCell ref="E5:R5"/>
    <mergeCell ref="E33:R33"/>
    <mergeCell ref="E21:R21"/>
    <mergeCell ref="E25:R25"/>
    <mergeCell ref="F38:Q46"/>
    <mergeCell ref="F30:R30"/>
    <mergeCell ref="F31:R31"/>
    <mergeCell ref="F37:Q37"/>
    <mergeCell ref="E6:R6"/>
    <mergeCell ref="E7:R7"/>
    <mergeCell ref="E10:R10"/>
    <mergeCell ref="E12:R12"/>
    <mergeCell ref="E8:R8"/>
    <mergeCell ref="E13:R13"/>
    <mergeCell ref="E14:R14"/>
    <mergeCell ref="E15:R15"/>
    <mergeCell ref="E18:R18"/>
    <mergeCell ref="E19:R19"/>
    <mergeCell ref="E34:R34"/>
    <mergeCell ref="E35:R35"/>
  </mergeCells>
  <pageMargins left="0.70866141732283472" right="0.35433070866141736" top="0.46" bottom="0.39" header="0.44" footer="0.4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7796" r:id="rId4" name="Spinner 4">
              <controlPr defaultSize="0" autoPict="0" macro="[0]!Spinner4_Change">
                <anchor moveWithCells="1" sizeWithCells="1">
                  <from>
                    <xdr:col>20</xdr:col>
                    <xdr:colOff>133350</xdr:colOff>
                    <xdr:row>0</xdr:row>
                    <xdr:rowOff>0</xdr:rowOff>
                  </from>
                  <to>
                    <xdr:col>20</xdr:col>
                    <xdr:colOff>400050</xdr:colOff>
                    <xdr:row>2</xdr:row>
                    <xdr:rowOff>133350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pageSetUpPr fitToPage="1"/>
  </sheetPr>
  <dimension ref="A1:XFA72"/>
  <sheetViews>
    <sheetView showGridLines="0" zoomScaleNormal="100" workbookViewId="0">
      <pane xSplit="22" ySplit="4" topLeftCell="W45" activePane="bottomRight" state="frozen"/>
      <selection pane="topRight" activeCell="W1" sqref="W1"/>
      <selection pane="bottomLeft" activeCell="A5" sqref="A5"/>
      <selection pane="bottomRight" activeCell="E24" sqref="E24"/>
    </sheetView>
  </sheetViews>
  <sheetFormatPr defaultRowHeight="15.75"/>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30.5546875" style="202" customWidth="1"/>
    <col min="8" max="8" width="7.44140625" style="202" customWidth="1"/>
    <col min="9" max="9" width="10.21875" style="202" customWidth="1"/>
    <col min="10" max="10" width="9.88671875" style="202" customWidth="1"/>
    <col min="11" max="11" width="10.33203125" style="202" customWidth="1"/>
    <col min="12" max="12" width="1.77734375" style="202" customWidth="1"/>
    <col min="13" max="13" width="4.21875" style="202" customWidth="1"/>
    <col min="14" max="14" width="4.5546875" style="202" customWidth="1"/>
    <col min="15" max="22" width="8.88671875" style="202"/>
    <col min="23" max="23" width="9.44140625" style="202" customWidth="1"/>
    <col min="24" max="256" width="8.88671875" style="202"/>
    <col min="257" max="257" width="3" style="202" customWidth="1"/>
    <col min="258" max="258" width="4.88671875" style="202" customWidth="1"/>
    <col min="259" max="259" width="7.6640625" style="202" customWidth="1"/>
    <col min="260" max="260" width="7.44140625" style="202" customWidth="1"/>
    <col min="261" max="261" width="5.5546875" style="202" customWidth="1"/>
    <col min="262" max="262" width="4.5546875" style="202" customWidth="1"/>
    <col min="263" max="263" width="8.5546875" style="202" customWidth="1"/>
    <col min="264" max="264" width="5.5546875" style="202" customWidth="1"/>
    <col min="265" max="265" width="6.6640625" style="202" bestFit="1" customWidth="1"/>
    <col min="266" max="266" width="6.88671875" style="202" customWidth="1"/>
    <col min="267" max="267" width="8.33203125" style="202" customWidth="1"/>
    <col min="268" max="268" width="9.44140625" style="202" customWidth="1"/>
    <col min="269" max="269" width="4.88671875" style="202" customWidth="1"/>
    <col min="270" max="278" width="8.88671875" style="202"/>
    <col min="279" max="279" width="9.44140625" style="202" customWidth="1"/>
    <col min="280" max="512" width="8.88671875" style="202"/>
    <col min="513" max="513" width="3" style="202" customWidth="1"/>
    <col min="514" max="514" width="4.88671875" style="202" customWidth="1"/>
    <col min="515" max="515" width="7.6640625" style="202" customWidth="1"/>
    <col min="516" max="516" width="7.44140625" style="202" customWidth="1"/>
    <col min="517" max="517" width="5.5546875" style="202" customWidth="1"/>
    <col min="518" max="518" width="4.5546875" style="202" customWidth="1"/>
    <col min="519" max="519" width="8.5546875" style="202" customWidth="1"/>
    <col min="520" max="520" width="5.5546875" style="202" customWidth="1"/>
    <col min="521" max="521" width="6.6640625" style="202" bestFit="1" customWidth="1"/>
    <col min="522" max="522" width="6.88671875" style="202" customWidth="1"/>
    <col min="523" max="523" width="8.33203125" style="202" customWidth="1"/>
    <col min="524" max="524" width="9.44140625" style="202" customWidth="1"/>
    <col min="525" max="525" width="4.88671875" style="202" customWidth="1"/>
    <col min="526" max="534" width="8.88671875" style="202"/>
    <col min="535" max="535" width="9.44140625" style="202" customWidth="1"/>
    <col min="536" max="768" width="8.88671875" style="202"/>
    <col min="769" max="769" width="3" style="202" customWidth="1"/>
    <col min="770" max="770" width="4.88671875" style="202" customWidth="1"/>
    <col min="771" max="771" width="7.6640625" style="202" customWidth="1"/>
    <col min="772" max="772" width="7.44140625" style="202" customWidth="1"/>
    <col min="773" max="773" width="5.5546875" style="202" customWidth="1"/>
    <col min="774" max="774" width="4.5546875" style="202" customWidth="1"/>
    <col min="775" max="775" width="8.5546875" style="202" customWidth="1"/>
    <col min="776" max="776" width="5.5546875" style="202" customWidth="1"/>
    <col min="777" max="777" width="6.6640625" style="202" bestFit="1" customWidth="1"/>
    <col min="778" max="778" width="6.88671875" style="202" customWidth="1"/>
    <col min="779" max="779" width="8.33203125" style="202" customWidth="1"/>
    <col min="780" max="780" width="9.44140625" style="202" customWidth="1"/>
    <col min="781" max="781" width="4.88671875" style="202" customWidth="1"/>
    <col min="782" max="790" width="8.88671875" style="202"/>
    <col min="791" max="791" width="9.44140625" style="202" customWidth="1"/>
    <col min="792" max="1024" width="8.88671875" style="202"/>
    <col min="1025" max="1025" width="3" style="202" customWidth="1"/>
    <col min="1026" max="1026" width="4.88671875" style="202" customWidth="1"/>
    <col min="1027" max="1027" width="7.6640625" style="202" customWidth="1"/>
    <col min="1028" max="1028" width="7.44140625" style="202" customWidth="1"/>
    <col min="1029" max="1029" width="5.5546875" style="202" customWidth="1"/>
    <col min="1030" max="1030" width="4.5546875" style="202" customWidth="1"/>
    <col min="1031" max="1031" width="8.5546875" style="202" customWidth="1"/>
    <col min="1032" max="1032" width="5.5546875" style="202" customWidth="1"/>
    <col min="1033" max="1033" width="6.6640625" style="202" bestFit="1" customWidth="1"/>
    <col min="1034" max="1034" width="6.88671875" style="202" customWidth="1"/>
    <col min="1035" max="1035" width="8.33203125" style="202" customWidth="1"/>
    <col min="1036" max="1036" width="9.44140625" style="202" customWidth="1"/>
    <col min="1037" max="1037" width="4.88671875" style="202" customWidth="1"/>
    <col min="1038" max="1046" width="8.88671875" style="202"/>
    <col min="1047" max="1047" width="9.44140625" style="202" customWidth="1"/>
    <col min="1048" max="1280" width="8.88671875" style="202"/>
    <col min="1281" max="1281" width="3" style="202" customWidth="1"/>
    <col min="1282" max="1282" width="4.88671875" style="202" customWidth="1"/>
    <col min="1283" max="1283" width="7.6640625" style="202" customWidth="1"/>
    <col min="1284" max="1284" width="7.44140625" style="202" customWidth="1"/>
    <col min="1285" max="1285" width="5.5546875" style="202" customWidth="1"/>
    <col min="1286" max="1286" width="4.5546875" style="202" customWidth="1"/>
    <col min="1287" max="1287" width="8.5546875" style="202" customWidth="1"/>
    <col min="1288" max="1288" width="5.5546875" style="202" customWidth="1"/>
    <col min="1289" max="1289" width="6.6640625" style="202" bestFit="1" customWidth="1"/>
    <col min="1290" max="1290" width="6.88671875" style="202" customWidth="1"/>
    <col min="1291" max="1291" width="8.33203125" style="202" customWidth="1"/>
    <col min="1292" max="1292" width="9.44140625" style="202" customWidth="1"/>
    <col min="1293" max="1293" width="4.88671875" style="202" customWidth="1"/>
    <col min="1294" max="1302" width="8.88671875" style="202"/>
    <col min="1303" max="1303" width="9.44140625" style="202" customWidth="1"/>
    <col min="1304" max="1536" width="8.88671875" style="202"/>
    <col min="1537" max="1537" width="3" style="202" customWidth="1"/>
    <col min="1538" max="1538" width="4.88671875" style="202" customWidth="1"/>
    <col min="1539" max="1539" width="7.6640625" style="202" customWidth="1"/>
    <col min="1540" max="1540" width="7.44140625" style="202" customWidth="1"/>
    <col min="1541" max="1541" width="5.5546875" style="202" customWidth="1"/>
    <col min="1542" max="1542" width="4.5546875" style="202" customWidth="1"/>
    <col min="1543" max="1543" width="8.5546875" style="202" customWidth="1"/>
    <col min="1544" max="1544" width="5.5546875" style="202" customWidth="1"/>
    <col min="1545" max="1545" width="6.6640625" style="202" bestFit="1" customWidth="1"/>
    <col min="1546" max="1546" width="6.88671875" style="202" customWidth="1"/>
    <col min="1547" max="1547" width="8.33203125" style="202" customWidth="1"/>
    <col min="1548" max="1548" width="9.44140625" style="202" customWidth="1"/>
    <col min="1549" max="1549" width="4.88671875" style="202" customWidth="1"/>
    <col min="1550" max="1558" width="8.88671875" style="202"/>
    <col min="1559" max="1559" width="9.44140625" style="202" customWidth="1"/>
    <col min="1560" max="1792" width="8.88671875" style="202"/>
    <col min="1793" max="1793" width="3" style="202" customWidth="1"/>
    <col min="1794" max="1794" width="4.88671875" style="202" customWidth="1"/>
    <col min="1795" max="1795" width="7.6640625" style="202" customWidth="1"/>
    <col min="1796" max="1796" width="7.44140625" style="202" customWidth="1"/>
    <col min="1797" max="1797" width="5.5546875" style="202" customWidth="1"/>
    <col min="1798" max="1798" width="4.5546875" style="202" customWidth="1"/>
    <col min="1799" max="1799" width="8.5546875" style="202" customWidth="1"/>
    <col min="1800" max="1800" width="5.5546875" style="202" customWidth="1"/>
    <col min="1801" max="1801" width="6.6640625" style="202" bestFit="1" customWidth="1"/>
    <col min="1802" max="1802" width="6.88671875" style="202" customWidth="1"/>
    <col min="1803" max="1803" width="8.33203125" style="202" customWidth="1"/>
    <col min="1804" max="1804" width="9.44140625" style="202" customWidth="1"/>
    <col min="1805" max="1805" width="4.88671875" style="202" customWidth="1"/>
    <col min="1806" max="1814" width="8.88671875" style="202"/>
    <col min="1815" max="1815" width="9.44140625" style="202" customWidth="1"/>
    <col min="1816" max="2048" width="8.88671875" style="202"/>
    <col min="2049" max="2049" width="3" style="202" customWidth="1"/>
    <col min="2050" max="2050" width="4.88671875" style="202" customWidth="1"/>
    <col min="2051" max="2051" width="7.6640625" style="202" customWidth="1"/>
    <col min="2052" max="2052" width="7.44140625" style="202" customWidth="1"/>
    <col min="2053" max="2053" width="5.5546875" style="202" customWidth="1"/>
    <col min="2054" max="2054" width="4.5546875" style="202" customWidth="1"/>
    <col min="2055" max="2055" width="8.5546875" style="202" customWidth="1"/>
    <col min="2056" max="2056" width="5.5546875" style="202" customWidth="1"/>
    <col min="2057" max="2057" width="6.6640625" style="202" bestFit="1" customWidth="1"/>
    <col min="2058" max="2058" width="6.88671875" style="202" customWidth="1"/>
    <col min="2059" max="2059" width="8.33203125" style="202" customWidth="1"/>
    <col min="2060" max="2060" width="9.44140625" style="202" customWidth="1"/>
    <col min="2061" max="2061" width="4.88671875" style="202" customWidth="1"/>
    <col min="2062" max="2070" width="8.88671875" style="202"/>
    <col min="2071" max="2071" width="9.44140625" style="202" customWidth="1"/>
    <col min="2072" max="2304" width="8.88671875" style="202"/>
    <col min="2305" max="2305" width="3" style="202" customWidth="1"/>
    <col min="2306" max="2306" width="4.88671875" style="202" customWidth="1"/>
    <col min="2307" max="2307" width="7.6640625" style="202" customWidth="1"/>
    <col min="2308" max="2308" width="7.44140625" style="202" customWidth="1"/>
    <col min="2309" max="2309" width="5.5546875" style="202" customWidth="1"/>
    <col min="2310" max="2310" width="4.5546875" style="202" customWidth="1"/>
    <col min="2311" max="2311" width="8.5546875" style="202" customWidth="1"/>
    <col min="2312" max="2312" width="5.5546875" style="202" customWidth="1"/>
    <col min="2313" max="2313" width="6.6640625" style="202" bestFit="1" customWidth="1"/>
    <col min="2314" max="2314" width="6.88671875" style="202" customWidth="1"/>
    <col min="2315" max="2315" width="8.33203125" style="202" customWidth="1"/>
    <col min="2316" max="2316" width="9.44140625" style="202" customWidth="1"/>
    <col min="2317" max="2317" width="4.88671875" style="202" customWidth="1"/>
    <col min="2318" max="2326" width="8.88671875" style="202"/>
    <col min="2327" max="2327" width="9.44140625" style="202" customWidth="1"/>
    <col min="2328" max="2560" width="8.88671875" style="202"/>
    <col min="2561" max="2561" width="3" style="202" customWidth="1"/>
    <col min="2562" max="2562" width="4.88671875" style="202" customWidth="1"/>
    <col min="2563" max="2563" width="7.6640625" style="202" customWidth="1"/>
    <col min="2564" max="2564" width="7.44140625" style="202" customWidth="1"/>
    <col min="2565" max="2565" width="5.5546875" style="202" customWidth="1"/>
    <col min="2566" max="2566" width="4.5546875" style="202" customWidth="1"/>
    <col min="2567" max="2567" width="8.5546875" style="202" customWidth="1"/>
    <col min="2568" max="2568" width="5.5546875" style="202" customWidth="1"/>
    <col min="2569" max="2569" width="6.6640625" style="202" bestFit="1" customWidth="1"/>
    <col min="2570" max="2570" width="6.88671875" style="202" customWidth="1"/>
    <col min="2571" max="2571" width="8.33203125" style="202" customWidth="1"/>
    <col min="2572" max="2572" width="9.44140625" style="202" customWidth="1"/>
    <col min="2573" max="2573" width="4.88671875" style="202" customWidth="1"/>
    <col min="2574" max="2582" width="8.88671875" style="202"/>
    <col min="2583" max="2583" width="9.44140625" style="202" customWidth="1"/>
    <col min="2584" max="2816" width="8.88671875" style="202"/>
    <col min="2817" max="2817" width="3" style="202" customWidth="1"/>
    <col min="2818" max="2818" width="4.88671875" style="202" customWidth="1"/>
    <col min="2819" max="2819" width="7.6640625" style="202" customWidth="1"/>
    <col min="2820" max="2820" width="7.44140625" style="202" customWidth="1"/>
    <col min="2821" max="2821" width="5.5546875" style="202" customWidth="1"/>
    <col min="2822" max="2822" width="4.5546875" style="202" customWidth="1"/>
    <col min="2823" max="2823" width="8.5546875" style="202" customWidth="1"/>
    <col min="2824" max="2824" width="5.5546875" style="202" customWidth="1"/>
    <col min="2825" max="2825" width="6.6640625" style="202" bestFit="1" customWidth="1"/>
    <col min="2826" max="2826" width="6.88671875" style="202" customWidth="1"/>
    <col min="2827" max="2827" width="8.33203125" style="202" customWidth="1"/>
    <col min="2828" max="2828" width="9.44140625" style="202" customWidth="1"/>
    <col min="2829" max="2829" width="4.88671875" style="202" customWidth="1"/>
    <col min="2830" max="2838" width="8.88671875" style="202"/>
    <col min="2839" max="2839" width="9.44140625" style="202" customWidth="1"/>
    <col min="2840" max="3072" width="8.88671875" style="202"/>
    <col min="3073" max="3073" width="3" style="202" customWidth="1"/>
    <col min="3074" max="3074" width="4.88671875" style="202" customWidth="1"/>
    <col min="3075" max="3075" width="7.6640625" style="202" customWidth="1"/>
    <col min="3076" max="3076" width="7.44140625" style="202" customWidth="1"/>
    <col min="3077" max="3077" width="5.5546875" style="202" customWidth="1"/>
    <col min="3078" max="3078" width="4.5546875" style="202" customWidth="1"/>
    <col min="3079" max="3079" width="8.5546875" style="202" customWidth="1"/>
    <col min="3080" max="3080" width="5.5546875" style="202" customWidth="1"/>
    <col min="3081" max="3081" width="6.6640625" style="202" bestFit="1" customWidth="1"/>
    <col min="3082" max="3082" width="6.88671875" style="202" customWidth="1"/>
    <col min="3083" max="3083" width="8.33203125" style="202" customWidth="1"/>
    <col min="3084" max="3084" width="9.44140625" style="202" customWidth="1"/>
    <col min="3085" max="3085" width="4.88671875" style="202" customWidth="1"/>
    <col min="3086" max="3094" width="8.88671875" style="202"/>
    <col min="3095" max="3095" width="9.44140625" style="202" customWidth="1"/>
    <col min="3096" max="3328" width="8.88671875" style="202"/>
    <col min="3329" max="3329" width="3" style="202" customWidth="1"/>
    <col min="3330" max="3330" width="4.88671875" style="202" customWidth="1"/>
    <col min="3331" max="3331" width="7.6640625" style="202" customWidth="1"/>
    <col min="3332" max="3332" width="7.44140625" style="202" customWidth="1"/>
    <col min="3333" max="3333" width="5.5546875" style="202" customWidth="1"/>
    <col min="3334" max="3334" width="4.5546875" style="202" customWidth="1"/>
    <col min="3335" max="3335" width="8.5546875" style="202" customWidth="1"/>
    <col min="3336" max="3336" width="5.5546875" style="202" customWidth="1"/>
    <col min="3337" max="3337" width="6.6640625" style="202" bestFit="1" customWidth="1"/>
    <col min="3338" max="3338" width="6.88671875" style="202" customWidth="1"/>
    <col min="3339" max="3339" width="8.33203125" style="202" customWidth="1"/>
    <col min="3340" max="3340" width="9.44140625" style="202" customWidth="1"/>
    <col min="3341" max="3341" width="4.88671875" style="202" customWidth="1"/>
    <col min="3342" max="3350" width="8.88671875" style="202"/>
    <col min="3351" max="3351" width="9.44140625" style="202" customWidth="1"/>
    <col min="3352" max="3584" width="8.88671875" style="202"/>
    <col min="3585" max="3585" width="3" style="202" customWidth="1"/>
    <col min="3586" max="3586" width="4.88671875" style="202" customWidth="1"/>
    <col min="3587" max="3587" width="7.6640625" style="202" customWidth="1"/>
    <col min="3588" max="3588" width="7.44140625" style="202" customWidth="1"/>
    <col min="3589" max="3589" width="5.5546875" style="202" customWidth="1"/>
    <col min="3590" max="3590" width="4.5546875" style="202" customWidth="1"/>
    <col min="3591" max="3591" width="8.5546875" style="202" customWidth="1"/>
    <col min="3592" max="3592" width="5.5546875" style="202" customWidth="1"/>
    <col min="3593" max="3593" width="6.6640625" style="202" bestFit="1" customWidth="1"/>
    <col min="3594" max="3594" width="6.88671875" style="202" customWidth="1"/>
    <col min="3595" max="3595" width="8.33203125" style="202" customWidth="1"/>
    <col min="3596" max="3596" width="9.44140625" style="202" customWidth="1"/>
    <col min="3597" max="3597" width="4.88671875" style="202" customWidth="1"/>
    <col min="3598" max="3606" width="8.88671875" style="202"/>
    <col min="3607" max="3607" width="9.44140625" style="202" customWidth="1"/>
    <col min="3608" max="3840" width="8.88671875" style="202"/>
    <col min="3841" max="3841" width="3" style="202" customWidth="1"/>
    <col min="3842" max="3842" width="4.88671875" style="202" customWidth="1"/>
    <col min="3843" max="3843" width="7.6640625" style="202" customWidth="1"/>
    <col min="3844" max="3844" width="7.44140625" style="202" customWidth="1"/>
    <col min="3845" max="3845" width="5.5546875" style="202" customWidth="1"/>
    <col min="3846" max="3846" width="4.5546875" style="202" customWidth="1"/>
    <col min="3847" max="3847" width="8.5546875" style="202" customWidth="1"/>
    <col min="3848" max="3848" width="5.5546875" style="202" customWidth="1"/>
    <col min="3849" max="3849" width="6.6640625" style="202" bestFit="1" customWidth="1"/>
    <col min="3850" max="3850" width="6.88671875" style="202" customWidth="1"/>
    <col min="3851" max="3851" width="8.33203125" style="202" customWidth="1"/>
    <col min="3852" max="3852" width="9.44140625" style="202" customWidth="1"/>
    <col min="3853" max="3853" width="4.88671875" style="202" customWidth="1"/>
    <col min="3854" max="3862" width="8.88671875" style="202"/>
    <col min="3863" max="3863" width="9.44140625" style="202" customWidth="1"/>
    <col min="3864" max="4096" width="8.88671875" style="202"/>
    <col min="4097" max="4097" width="3" style="202" customWidth="1"/>
    <col min="4098" max="4098" width="4.88671875" style="202" customWidth="1"/>
    <col min="4099" max="4099" width="7.6640625" style="202" customWidth="1"/>
    <col min="4100" max="4100" width="7.44140625" style="202" customWidth="1"/>
    <col min="4101" max="4101" width="5.5546875" style="202" customWidth="1"/>
    <col min="4102" max="4102" width="4.5546875" style="202" customWidth="1"/>
    <col min="4103" max="4103" width="8.5546875" style="202" customWidth="1"/>
    <col min="4104" max="4104" width="5.5546875" style="202" customWidth="1"/>
    <col min="4105" max="4105" width="6.6640625" style="202" bestFit="1" customWidth="1"/>
    <col min="4106" max="4106" width="6.88671875" style="202" customWidth="1"/>
    <col min="4107" max="4107" width="8.33203125" style="202" customWidth="1"/>
    <col min="4108" max="4108" width="9.44140625" style="202" customWidth="1"/>
    <col min="4109" max="4109" width="4.88671875" style="202" customWidth="1"/>
    <col min="4110" max="4118" width="8.88671875" style="202"/>
    <col min="4119" max="4119" width="9.44140625" style="202" customWidth="1"/>
    <col min="4120" max="4352" width="8.88671875" style="202"/>
    <col min="4353" max="4353" width="3" style="202" customWidth="1"/>
    <col min="4354" max="4354" width="4.88671875" style="202" customWidth="1"/>
    <col min="4355" max="4355" width="7.6640625" style="202" customWidth="1"/>
    <col min="4356" max="4356" width="7.44140625" style="202" customWidth="1"/>
    <col min="4357" max="4357" width="5.5546875" style="202" customWidth="1"/>
    <col min="4358" max="4358" width="4.5546875" style="202" customWidth="1"/>
    <col min="4359" max="4359" width="8.5546875" style="202" customWidth="1"/>
    <col min="4360" max="4360" width="5.5546875" style="202" customWidth="1"/>
    <col min="4361" max="4361" width="6.6640625" style="202" bestFit="1" customWidth="1"/>
    <col min="4362" max="4362" width="6.88671875" style="202" customWidth="1"/>
    <col min="4363" max="4363" width="8.33203125" style="202" customWidth="1"/>
    <col min="4364" max="4364" width="9.44140625" style="202" customWidth="1"/>
    <col min="4365" max="4365" width="4.88671875" style="202" customWidth="1"/>
    <col min="4366" max="4374" width="8.88671875" style="202"/>
    <col min="4375" max="4375" width="9.44140625" style="202" customWidth="1"/>
    <col min="4376" max="4608" width="8.88671875" style="202"/>
    <col min="4609" max="4609" width="3" style="202" customWidth="1"/>
    <col min="4610" max="4610" width="4.88671875" style="202" customWidth="1"/>
    <col min="4611" max="4611" width="7.6640625" style="202" customWidth="1"/>
    <col min="4612" max="4612" width="7.44140625" style="202" customWidth="1"/>
    <col min="4613" max="4613" width="5.5546875" style="202" customWidth="1"/>
    <col min="4614" max="4614" width="4.5546875" style="202" customWidth="1"/>
    <col min="4615" max="4615" width="8.5546875" style="202" customWidth="1"/>
    <col min="4616" max="4616" width="5.5546875" style="202" customWidth="1"/>
    <col min="4617" max="4617" width="6.6640625" style="202" bestFit="1" customWidth="1"/>
    <col min="4618" max="4618" width="6.88671875" style="202" customWidth="1"/>
    <col min="4619" max="4619" width="8.33203125" style="202" customWidth="1"/>
    <col min="4620" max="4620" width="9.44140625" style="202" customWidth="1"/>
    <col min="4621" max="4621" width="4.88671875" style="202" customWidth="1"/>
    <col min="4622" max="4630" width="8.88671875" style="202"/>
    <col min="4631" max="4631" width="9.44140625" style="202" customWidth="1"/>
    <col min="4632" max="4864" width="8.88671875" style="202"/>
    <col min="4865" max="4865" width="3" style="202" customWidth="1"/>
    <col min="4866" max="4866" width="4.88671875" style="202" customWidth="1"/>
    <col min="4867" max="4867" width="7.6640625" style="202" customWidth="1"/>
    <col min="4868" max="4868" width="7.44140625" style="202" customWidth="1"/>
    <col min="4869" max="4869" width="5.5546875" style="202" customWidth="1"/>
    <col min="4870" max="4870" width="4.5546875" style="202" customWidth="1"/>
    <col min="4871" max="4871" width="8.5546875" style="202" customWidth="1"/>
    <col min="4872" max="4872" width="5.5546875" style="202" customWidth="1"/>
    <col min="4873" max="4873" width="6.6640625" style="202" bestFit="1" customWidth="1"/>
    <col min="4874" max="4874" width="6.88671875" style="202" customWidth="1"/>
    <col min="4875" max="4875" width="8.33203125" style="202" customWidth="1"/>
    <col min="4876" max="4876" width="9.44140625" style="202" customWidth="1"/>
    <col min="4877" max="4877" width="4.88671875" style="202" customWidth="1"/>
    <col min="4878" max="4886" width="8.88671875" style="202"/>
    <col min="4887" max="4887" width="9.44140625" style="202" customWidth="1"/>
    <col min="4888" max="5120" width="8.88671875" style="202"/>
    <col min="5121" max="5121" width="3" style="202" customWidth="1"/>
    <col min="5122" max="5122" width="4.88671875" style="202" customWidth="1"/>
    <col min="5123" max="5123" width="7.6640625" style="202" customWidth="1"/>
    <col min="5124" max="5124" width="7.44140625" style="202" customWidth="1"/>
    <col min="5125" max="5125" width="5.5546875" style="202" customWidth="1"/>
    <col min="5126" max="5126" width="4.5546875" style="202" customWidth="1"/>
    <col min="5127" max="5127" width="8.5546875" style="202" customWidth="1"/>
    <col min="5128" max="5128" width="5.5546875" style="202" customWidth="1"/>
    <col min="5129" max="5129" width="6.6640625" style="202" bestFit="1" customWidth="1"/>
    <col min="5130" max="5130" width="6.88671875" style="202" customWidth="1"/>
    <col min="5131" max="5131" width="8.33203125" style="202" customWidth="1"/>
    <col min="5132" max="5132" width="9.44140625" style="202" customWidth="1"/>
    <col min="5133" max="5133" width="4.88671875" style="202" customWidth="1"/>
    <col min="5134" max="5142" width="8.88671875" style="202"/>
    <col min="5143" max="5143" width="9.44140625" style="202" customWidth="1"/>
    <col min="5144" max="5376" width="8.88671875" style="202"/>
    <col min="5377" max="5377" width="3" style="202" customWidth="1"/>
    <col min="5378" max="5378" width="4.88671875" style="202" customWidth="1"/>
    <col min="5379" max="5379" width="7.6640625" style="202" customWidth="1"/>
    <col min="5380" max="5380" width="7.44140625" style="202" customWidth="1"/>
    <col min="5381" max="5381" width="5.5546875" style="202" customWidth="1"/>
    <col min="5382" max="5382" width="4.5546875" style="202" customWidth="1"/>
    <col min="5383" max="5383" width="8.5546875" style="202" customWidth="1"/>
    <col min="5384" max="5384" width="5.5546875" style="202" customWidth="1"/>
    <col min="5385" max="5385" width="6.6640625" style="202" bestFit="1" customWidth="1"/>
    <col min="5386" max="5386" width="6.88671875" style="202" customWidth="1"/>
    <col min="5387" max="5387" width="8.33203125" style="202" customWidth="1"/>
    <col min="5388" max="5388" width="9.44140625" style="202" customWidth="1"/>
    <col min="5389" max="5389" width="4.88671875" style="202" customWidth="1"/>
    <col min="5390" max="5398" width="8.88671875" style="202"/>
    <col min="5399" max="5399" width="9.44140625" style="202" customWidth="1"/>
    <col min="5400" max="5632" width="8.88671875" style="202"/>
    <col min="5633" max="5633" width="3" style="202" customWidth="1"/>
    <col min="5634" max="5634" width="4.88671875" style="202" customWidth="1"/>
    <col min="5635" max="5635" width="7.6640625" style="202" customWidth="1"/>
    <col min="5636" max="5636" width="7.44140625" style="202" customWidth="1"/>
    <col min="5637" max="5637" width="5.5546875" style="202" customWidth="1"/>
    <col min="5638" max="5638" width="4.5546875" style="202" customWidth="1"/>
    <col min="5639" max="5639" width="8.5546875" style="202" customWidth="1"/>
    <col min="5640" max="5640" width="5.5546875" style="202" customWidth="1"/>
    <col min="5641" max="5641" width="6.6640625" style="202" bestFit="1" customWidth="1"/>
    <col min="5642" max="5642" width="6.88671875" style="202" customWidth="1"/>
    <col min="5643" max="5643" width="8.33203125" style="202" customWidth="1"/>
    <col min="5644" max="5644" width="9.44140625" style="202" customWidth="1"/>
    <col min="5645" max="5645" width="4.88671875" style="202" customWidth="1"/>
    <col min="5646" max="5654" width="8.88671875" style="202"/>
    <col min="5655" max="5655" width="9.44140625" style="202" customWidth="1"/>
    <col min="5656" max="5888" width="8.88671875" style="202"/>
    <col min="5889" max="5889" width="3" style="202" customWidth="1"/>
    <col min="5890" max="5890" width="4.88671875" style="202" customWidth="1"/>
    <col min="5891" max="5891" width="7.6640625" style="202" customWidth="1"/>
    <col min="5892" max="5892" width="7.44140625" style="202" customWidth="1"/>
    <col min="5893" max="5893" width="5.5546875" style="202" customWidth="1"/>
    <col min="5894" max="5894" width="4.5546875" style="202" customWidth="1"/>
    <col min="5895" max="5895" width="8.5546875" style="202" customWidth="1"/>
    <col min="5896" max="5896" width="5.5546875" style="202" customWidth="1"/>
    <col min="5897" max="5897" width="6.6640625" style="202" bestFit="1" customWidth="1"/>
    <col min="5898" max="5898" width="6.88671875" style="202" customWidth="1"/>
    <col min="5899" max="5899" width="8.33203125" style="202" customWidth="1"/>
    <col min="5900" max="5900" width="9.44140625" style="202" customWidth="1"/>
    <col min="5901" max="5901" width="4.88671875" style="202" customWidth="1"/>
    <col min="5902" max="5910" width="8.88671875" style="202"/>
    <col min="5911" max="5911" width="9.44140625" style="202" customWidth="1"/>
    <col min="5912" max="6144" width="8.88671875" style="202"/>
    <col min="6145" max="6145" width="3" style="202" customWidth="1"/>
    <col min="6146" max="6146" width="4.88671875" style="202" customWidth="1"/>
    <col min="6147" max="6147" width="7.6640625" style="202" customWidth="1"/>
    <col min="6148" max="6148" width="7.44140625" style="202" customWidth="1"/>
    <col min="6149" max="6149" width="5.5546875" style="202" customWidth="1"/>
    <col min="6150" max="6150" width="4.5546875" style="202" customWidth="1"/>
    <col min="6151" max="6151" width="8.5546875" style="202" customWidth="1"/>
    <col min="6152" max="6152" width="5.5546875" style="202" customWidth="1"/>
    <col min="6153" max="6153" width="6.6640625" style="202" bestFit="1" customWidth="1"/>
    <col min="6154" max="6154" width="6.88671875" style="202" customWidth="1"/>
    <col min="6155" max="6155" width="8.33203125" style="202" customWidth="1"/>
    <col min="6156" max="6156" width="9.44140625" style="202" customWidth="1"/>
    <col min="6157" max="6157" width="4.88671875" style="202" customWidth="1"/>
    <col min="6158" max="6166" width="8.88671875" style="202"/>
    <col min="6167" max="6167" width="9.44140625" style="202" customWidth="1"/>
    <col min="6168" max="6400" width="8.88671875" style="202"/>
    <col min="6401" max="6401" width="3" style="202" customWidth="1"/>
    <col min="6402" max="6402" width="4.88671875" style="202" customWidth="1"/>
    <col min="6403" max="6403" width="7.6640625" style="202" customWidth="1"/>
    <col min="6404" max="6404" width="7.44140625" style="202" customWidth="1"/>
    <col min="6405" max="6405" width="5.5546875" style="202" customWidth="1"/>
    <col min="6406" max="6406" width="4.5546875" style="202" customWidth="1"/>
    <col min="6407" max="6407" width="8.5546875" style="202" customWidth="1"/>
    <col min="6408" max="6408" width="5.5546875" style="202" customWidth="1"/>
    <col min="6409" max="6409" width="6.6640625" style="202" bestFit="1" customWidth="1"/>
    <col min="6410" max="6410" width="6.88671875" style="202" customWidth="1"/>
    <col min="6411" max="6411" width="8.33203125" style="202" customWidth="1"/>
    <col min="6412" max="6412" width="9.44140625" style="202" customWidth="1"/>
    <col min="6413" max="6413" width="4.88671875" style="202" customWidth="1"/>
    <col min="6414" max="6422" width="8.88671875" style="202"/>
    <col min="6423" max="6423" width="9.44140625" style="202" customWidth="1"/>
    <col min="6424" max="6656" width="8.88671875" style="202"/>
    <col min="6657" max="6657" width="3" style="202" customWidth="1"/>
    <col min="6658" max="6658" width="4.88671875" style="202" customWidth="1"/>
    <col min="6659" max="6659" width="7.6640625" style="202" customWidth="1"/>
    <col min="6660" max="6660" width="7.44140625" style="202" customWidth="1"/>
    <col min="6661" max="6661" width="5.5546875" style="202" customWidth="1"/>
    <col min="6662" max="6662" width="4.5546875" style="202" customWidth="1"/>
    <col min="6663" max="6663" width="8.5546875" style="202" customWidth="1"/>
    <col min="6664" max="6664" width="5.5546875" style="202" customWidth="1"/>
    <col min="6665" max="6665" width="6.6640625" style="202" bestFit="1" customWidth="1"/>
    <col min="6666" max="6666" width="6.88671875" style="202" customWidth="1"/>
    <col min="6667" max="6667" width="8.33203125" style="202" customWidth="1"/>
    <col min="6668" max="6668" width="9.44140625" style="202" customWidth="1"/>
    <col min="6669" max="6669" width="4.88671875" style="202" customWidth="1"/>
    <col min="6670" max="6678" width="8.88671875" style="202"/>
    <col min="6679" max="6679" width="9.44140625" style="202" customWidth="1"/>
    <col min="6680" max="6912" width="8.88671875" style="202"/>
    <col min="6913" max="6913" width="3" style="202" customWidth="1"/>
    <col min="6914" max="6914" width="4.88671875" style="202" customWidth="1"/>
    <col min="6915" max="6915" width="7.6640625" style="202" customWidth="1"/>
    <col min="6916" max="6916" width="7.44140625" style="202" customWidth="1"/>
    <col min="6917" max="6917" width="5.5546875" style="202" customWidth="1"/>
    <col min="6918" max="6918" width="4.5546875" style="202" customWidth="1"/>
    <col min="6919" max="6919" width="8.5546875" style="202" customWidth="1"/>
    <col min="6920" max="6920" width="5.5546875" style="202" customWidth="1"/>
    <col min="6921" max="6921" width="6.6640625" style="202" bestFit="1" customWidth="1"/>
    <col min="6922" max="6922" width="6.88671875" style="202" customWidth="1"/>
    <col min="6923" max="6923" width="8.33203125" style="202" customWidth="1"/>
    <col min="6924" max="6924" width="9.44140625" style="202" customWidth="1"/>
    <col min="6925" max="6925" width="4.88671875" style="202" customWidth="1"/>
    <col min="6926" max="6934" width="8.88671875" style="202"/>
    <col min="6935" max="6935" width="9.44140625" style="202" customWidth="1"/>
    <col min="6936" max="7168" width="8.88671875" style="202"/>
    <col min="7169" max="7169" width="3" style="202" customWidth="1"/>
    <col min="7170" max="7170" width="4.88671875" style="202" customWidth="1"/>
    <col min="7171" max="7171" width="7.6640625" style="202" customWidth="1"/>
    <col min="7172" max="7172" width="7.44140625" style="202" customWidth="1"/>
    <col min="7173" max="7173" width="5.5546875" style="202" customWidth="1"/>
    <col min="7174" max="7174" width="4.5546875" style="202" customWidth="1"/>
    <col min="7175" max="7175" width="8.5546875" style="202" customWidth="1"/>
    <col min="7176" max="7176" width="5.5546875" style="202" customWidth="1"/>
    <col min="7177" max="7177" width="6.6640625" style="202" bestFit="1" customWidth="1"/>
    <col min="7178" max="7178" width="6.88671875" style="202" customWidth="1"/>
    <col min="7179" max="7179" width="8.33203125" style="202" customWidth="1"/>
    <col min="7180" max="7180" width="9.44140625" style="202" customWidth="1"/>
    <col min="7181" max="7181" width="4.88671875" style="202" customWidth="1"/>
    <col min="7182" max="7190" width="8.88671875" style="202"/>
    <col min="7191" max="7191" width="9.44140625" style="202" customWidth="1"/>
    <col min="7192" max="7424" width="8.88671875" style="202"/>
    <col min="7425" max="7425" width="3" style="202" customWidth="1"/>
    <col min="7426" max="7426" width="4.88671875" style="202" customWidth="1"/>
    <col min="7427" max="7427" width="7.6640625" style="202" customWidth="1"/>
    <col min="7428" max="7428" width="7.44140625" style="202" customWidth="1"/>
    <col min="7429" max="7429" width="5.5546875" style="202" customWidth="1"/>
    <col min="7430" max="7430" width="4.5546875" style="202" customWidth="1"/>
    <col min="7431" max="7431" width="8.5546875" style="202" customWidth="1"/>
    <col min="7432" max="7432" width="5.5546875" style="202" customWidth="1"/>
    <col min="7433" max="7433" width="6.6640625" style="202" bestFit="1" customWidth="1"/>
    <col min="7434" max="7434" width="6.88671875" style="202" customWidth="1"/>
    <col min="7435" max="7435" width="8.33203125" style="202" customWidth="1"/>
    <col min="7436" max="7436" width="9.44140625" style="202" customWidth="1"/>
    <col min="7437" max="7437" width="4.88671875" style="202" customWidth="1"/>
    <col min="7438" max="7446" width="8.88671875" style="202"/>
    <col min="7447" max="7447" width="9.44140625" style="202" customWidth="1"/>
    <col min="7448" max="7680" width="8.88671875" style="202"/>
    <col min="7681" max="7681" width="3" style="202" customWidth="1"/>
    <col min="7682" max="7682" width="4.88671875" style="202" customWidth="1"/>
    <col min="7683" max="7683" width="7.6640625" style="202" customWidth="1"/>
    <col min="7684" max="7684" width="7.44140625" style="202" customWidth="1"/>
    <col min="7685" max="7685" width="5.5546875" style="202" customWidth="1"/>
    <col min="7686" max="7686" width="4.5546875" style="202" customWidth="1"/>
    <col min="7687" max="7687" width="8.5546875" style="202" customWidth="1"/>
    <col min="7688" max="7688" width="5.5546875" style="202" customWidth="1"/>
    <col min="7689" max="7689" width="6.6640625" style="202" bestFit="1" customWidth="1"/>
    <col min="7690" max="7690" width="6.88671875" style="202" customWidth="1"/>
    <col min="7691" max="7691" width="8.33203125" style="202" customWidth="1"/>
    <col min="7692" max="7692" width="9.44140625" style="202" customWidth="1"/>
    <col min="7693" max="7693" width="4.88671875" style="202" customWidth="1"/>
    <col min="7694" max="7702" width="8.88671875" style="202"/>
    <col min="7703" max="7703" width="9.44140625" style="202" customWidth="1"/>
    <col min="7704" max="7936" width="8.88671875" style="202"/>
    <col min="7937" max="7937" width="3" style="202" customWidth="1"/>
    <col min="7938" max="7938" width="4.88671875" style="202" customWidth="1"/>
    <col min="7939" max="7939" width="7.6640625" style="202" customWidth="1"/>
    <col min="7940" max="7940" width="7.44140625" style="202" customWidth="1"/>
    <col min="7941" max="7941" width="5.5546875" style="202" customWidth="1"/>
    <col min="7942" max="7942" width="4.5546875" style="202" customWidth="1"/>
    <col min="7943" max="7943" width="8.5546875" style="202" customWidth="1"/>
    <col min="7944" max="7944" width="5.5546875" style="202" customWidth="1"/>
    <col min="7945" max="7945" width="6.6640625" style="202" bestFit="1" customWidth="1"/>
    <col min="7946" max="7946" width="6.88671875" style="202" customWidth="1"/>
    <col min="7947" max="7947" width="8.33203125" style="202" customWidth="1"/>
    <col min="7948" max="7948" width="9.44140625" style="202" customWidth="1"/>
    <col min="7949" max="7949" width="4.88671875" style="202" customWidth="1"/>
    <col min="7950" max="7958" width="8.88671875" style="202"/>
    <col min="7959" max="7959" width="9.44140625" style="202" customWidth="1"/>
    <col min="7960" max="8192" width="8.88671875" style="202"/>
    <col min="8193" max="8193" width="3" style="202" customWidth="1"/>
    <col min="8194" max="8194" width="4.88671875" style="202" customWidth="1"/>
    <col min="8195" max="8195" width="7.6640625" style="202" customWidth="1"/>
    <col min="8196" max="8196" width="7.44140625" style="202" customWidth="1"/>
    <col min="8197" max="8197" width="5.5546875" style="202" customWidth="1"/>
    <col min="8198" max="8198" width="4.5546875" style="202" customWidth="1"/>
    <col min="8199" max="8199" width="8.5546875" style="202" customWidth="1"/>
    <col min="8200" max="8200" width="5.5546875" style="202" customWidth="1"/>
    <col min="8201" max="8201" width="6.6640625" style="202" bestFit="1" customWidth="1"/>
    <col min="8202" max="8202" width="6.88671875" style="202" customWidth="1"/>
    <col min="8203" max="8203" width="8.33203125" style="202" customWidth="1"/>
    <col min="8204" max="8204" width="9.44140625" style="202" customWidth="1"/>
    <col min="8205" max="8205" width="4.88671875" style="202" customWidth="1"/>
    <col min="8206" max="8214" width="8.88671875" style="202"/>
    <col min="8215" max="8215" width="9.44140625" style="202" customWidth="1"/>
    <col min="8216" max="8448" width="8.88671875" style="202"/>
    <col min="8449" max="8449" width="3" style="202" customWidth="1"/>
    <col min="8450" max="8450" width="4.88671875" style="202" customWidth="1"/>
    <col min="8451" max="8451" width="7.6640625" style="202" customWidth="1"/>
    <col min="8452" max="8452" width="7.44140625" style="202" customWidth="1"/>
    <col min="8453" max="8453" width="5.5546875" style="202" customWidth="1"/>
    <col min="8454" max="8454" width="4.5546875" style="202" customWidth="1"/>
    <col min="8455" max="8455" width="8.5546875" style="202" customWidth="1"/>
    <col min="8456" max="8456" width="5.5546875" style="202" customWidth="1"/>
    <col min="8457" max="8457" width="6.6640625" style="202" bestFit="1" customWidth="1"/>
    <col min="8458" max="8458" width="6.88671875" style="202" customWidth="1"/>
    <col min="8459" max="8459" width="8.33203125" style="202" customWidth="1"/>
    <col min="8460" max="8460" width="9.44140625" style="202" customWidth="1"/>
    <col min="8461" max="8461" width="4.88671875" style="202" customWidth="1"/>
    <col min="8462" max="8470" width="8.88671875" style="202"/>
    <col min="8471" max="8471" width="9.44140625" style="202" customWidth="1"/>
    <col min="8472" max="8704" width="8.88671875" style="202"/>
    <col min="8705" max="8705" width="3" style="202" customWidth="1"/>
    <col min="8706" max="8706" width="4.88671875" style="202" customWidth="1"/>
    <col min="8707" max="8707" width="7.6640625" style="202" customWidth="1"/>
    <col min="8708" max="8708" width="7.44140625" style="202" customWidth="1"/>
    <col min="8709" max="8709" width="5.5546875" style="202" customWidth="1"/>
    <col min="8710" max="8710" width="4.5546875" style="202" customWidth="1"/>
    <col min="8711" max="8711" width="8.5546875" style="202" customWidth="1"/>
    <col min="8712" max="8712" width="5.5546875" style="202" customWidth="1"/>
    <col min="8713" max="8713" width="6.6640625" style="202" bestFit="1" customWidth="1"/>
    <col min="8714" max="8714" width="6.88671875" style="202" customWidth="1"/>
    <col min="8715" max="8715" width="8.33203125" style="202" customWidth="1"/>
    <col min="8716" max="8716" width="9.44140625" style="202" customWidth="1"/>
    <col min="8717" max="8717" width="4.88671875" style="202" customWidth="1"/>
    <col min="8718" max="8726" width="8.88671875" style="202"/>
    <col min="8727" max="8727" width="9.44140625" style="202" customWidth="1"/>
    <col min="8728" max="8960" width="8.88671875" style="202"/>
    <col min="8961" max="8961" width="3" style="202" customWidth="1"/>
    <col min="8962" max="8962" width="4.88671875" style="202" customWidth="1"/>
    <col min="8963" max="8963" width="7.6640625" style="202" customWidth="1"/>
    <col min="8964" max="8964" width="7.44140625" style="202" customWidth="1"/>
    <col min="8965" max="8965" width="5.5546875" style="202" customWidth="1"/>
    <col min="8966" max="8966" width="4.5546875" style="202" customWidth="1"/>
    <col min="8967" max="8967" width="8.5546875" style="202" customWidth="1"/>
    <col min="8968" max="8968" width="5.5546875" style="202" customWidth="1"/>
    <col min="8969" max="8969" width="6.6640625" style="202" bestFit="1" customWidth="1"/>
    <col min="8970" max="8970" width="6.88671875" style="202" customWidth="1"/>
    <col min="8971" max="8971" width="8.33203125" style="202" customWidth="1"/>
    <col min="8972" max="8972" width="9.44140625" style="202" customWidth="1"/>
    <col min="8973" max="8973" width="4.88671875" style="202" customWidth="1"/>
    <col min="8974" max="8982" width="8.88671875" style="202"/>
    <col min="8983" max="8983" width="9.44140625" style="202" customWidth="1"/>
    <col min="8984" max="9216" width="8.88671875" style="202"/>
    <col min="9217" max="9217" width="3" style="202" customWidth="1"/>
    <col min="9218" max="9218" width="4.88671875" style="202" customWidth="1"/>
    <col min="9219" max="9219" width="7.6640625" style="202" customWidth="1"/>
    <col min="9220" max="9220" width="7.44140625" style="202" customWidth="1"/>
    <col min="9221" max="9221" width="5.5546875" style="202" customWidth="1"/>
    <col min="9222" max="9222" width="4.5546875" style="202" customWidth="1"/>
    <col min="9223" max="9223" width="8.5546875" style="202" customWidth="1"/>
    <col min="9224" max="9224" width="5.5546875" style="202" customWidth="1"/>
    <col min="9225" max="9225" width="6.6640625" style="202" bestFit="1" customWidth="1"/>
    <col min="9226" max="9226" width="6.88671875" style="202" customWidth="1"/>
    <col min="9227" max="9227" width="8.33203125" style="202" customWidth="1"/>
    <col min="9228" max="9228" width="9.44140625" style="202" customWidth="1"/>
    <col min="9229" max="9229" width="4.88671875" style="202" customWidth="1"/>
    <col min="9230" max="9238" width="8.88671875" style="202"/>
    <col min="9239" max="9239" width="9.44140625" style="202" customWidth="1"/>
    <col min="9240" max="9472" width="8.88671875" style="202"/>
    <col min="9473" max="9473" width="3" style="202" customWidth="1"/>
    <col min="9474" max="9474" width="4.88671875" style="202" customWidth="1"/>
    <col min="9475" max="9475" width="7.6640625" style="202" customWidth="1"/>
    <col min="9476" max="9476" width="7.44140625" style="202" customWidth="1"/>
    <col min="9477" max="9477" width="5.5546875" style="202" customWidth="1"/>
    <col min="9478" max="9478" width="4.5546875" style="202" customWidth="1"/>
    <col min="9479" max="9479" width="8.5546875" style="202" customWidth="1"/>
    <col min="9480" max="9480" width="5.5546875" style="202" customWidth="1"/>
    <col min="9481" max="9481" width="6.6640625" style="202" bestFit="1" customWidth="1"/>
    <col min="9482" max="9482" width="6.88671875" style="202" customWidth="1"/>
    <col min="9483" max="9483" width="8.33203125" style="202" customWidth="1"/>
    <col min="9484" max="9484" width="9.44140625" style="202" customWidth="1"/>
    <col min="9485" max="9485" width="4.88671875" style="202" customWidth="1"/>
    <col min="9486" max="9494" width="8.88671875" style="202"/>
    <col min="9495" max="9495" width="9.44140625" style="202" customWidth="1"/>
    <col min="9496" max="9728" width="8.88671875" style="202"/>
    <col min="9729" max="9729" width="3" style="202" customWidth="1"/>
    <col min="9730" max="9730" width="4.88671875" style="202" customWidth="1"/>
    <col min="9731" max="9731" width="7.6640625" style="202" customWidth="1"/>
    <col min="9732" max="9732" width="7.44140625" style="202" customWidth="1"/>
    <col min="9733" max="9733" width="5.5546875" style="202" customWidth="1"/>
    <col min="9734" max="9734" width="4.5546875" style="202" customWidth="1"/>
    <col min="9735" max="9735" width="8.5546875" style="202" customWidth="1"/>
    <col min="9736" max="9736" width="5.5546875" style="202" customWidth="1"/>
    <col min="9737" max="9737" width="6.6640625" style="202" bestFit="1" customWidth="1"/>
    <col min="9738" max="9738" width="6.88671875" style="202" customWidth="1"/>
    <col min="9739" max="9739" width="8.33203125" style="202" customWidth="1"/>
    <col min="9740" max="9740" width="9.44140625" style="202" customWidth="1"/>
    <col min="9741" max="9741" width="4.88671875" style="202" customWidth="1"/>
    <col min="9742" max="9750" width="8.88671875" style="202"/>
    <col min="9751" max="9751" width="9.44140625" style="202" customWidth="1"/>
    <col min="9752" max="9984" width="8.88671875" style="202"/>
    <col min="9985" max="9985" width="3" style="202" customWidth="1"/>
    <col min="9986" max="9986" width="4.88671875" style="202" customWidth="1"/>
    <col min="9987" max="9987" width="7.6640625" style="202" customWidth="1"/>
    <col min="9988" max="9988" width="7.44140625" style="202" customWidth="1"/>
    <col min="9989" max="9989" width="5.5546875" style="202" customWidth="1"/>
    <col min="9990" max="9990" width="4.5546875" style="202" customWidth="1"/>
    <col min="9991" max="9991" width="8.5546875" style="202" customWidth="1"/>
    <col min="9992" max="9992" width="5.5546875" style="202" customWidth="1"/>
    <col min="9993" max="9993" width="6.6640625" style="202" bestFit="1" customWidth="1"/>
    <col min="9994" max="9994" width="6.88671875" style="202" customWidth="1"/>
    <col min="9995" max="9995" width="8.33203125" style="202" customWidth="1"/>
    <col min="9996" max="9996" width="9.44140625" style="202" customWidth="1"/>
    <col min="9997" max="9997" width="4.88671875" style="202" customWidth="1"/>
    <col min="9998" max="10006" width="8.88671875" style="202"/>
    <col min="10007" max="10007" width="9.44140625" style="202" customWidth="1"/>
    <col min="10008" max="10240" width="8.88671875" style="202"/>
    <col min="10241" max="10241" width="3" style="202" customWidth="1"/>
    <col min="10242" max="10242" width="4.88671875" style="202" customWidth="1"/>
    <col min="10243" max="10243" width="7.6640625" style="202" customWidth="1"/>
    <col min="10244" max="10244" width="7.44140625" style="202" customWidth="1"/>
    <col min="10245" max="10245" width="5.5546875" style="202" customWidth="1"/>
    <col min="10246" max="10246" width="4.5546875" style="202" customWidth="1"/>
    <col min="10247" max="10247" width="8.5546875" style="202" customWidth="1"/>
    <col min="10248" max="10248" width="5.5546875" style="202" customWidth="1"/>
    <col min="10249" max="10249" width="6.6640625" style="202" bestFit="1" customWidth="1"/>
    <col min="10250" max="10250" width="6.88671875" style="202" customWidth="1"/>
    <col min="10251" max="10251" width="8.33203125" style="202" customWidth="1"/>
    <col min="10252" max="10252" width="9.44140625" style="202" customWidth="1"/>
    <col min="10253" max="10253" width="4.88671875" style="202" customWidth="1"/>
    <col min="10254" max="10262" width="8.88671875" style="202"/>
    <col min="10263" max="10263" width="9.44140625" style="202" customWidth="1"/>
    <col min="10264" max="10496" width="8.88671875" style="202"/>
    <col min="10497" max="10497" width="3" style="202" customWidth="1"/>
    <col min="10498" max="10498" width="4.88671875" style="202" customWidth="1"/>
    <col min="10499" max="10499" width="7.6640625" style="202" customWidth="1"/>
    <col min="10500" max="10500" width="7.44140625" style="202" customWidth="1"/>
    <col min="10501" max="10501" width="5.5546875" style="202" customWidth="1"/>
    <col min="10502" max="10502" width="4.5546875" style="202" customWidth="1"/>
    <col min="10503" max="10503" width="8.5546875" style="202" customWidth="1"/>
    <col min="10504" max="10504" width="5.5546875" style="202" customWidth="1"/>
    <col min="10505" max="10505" width="6.6640625" style="202" bestFit="1" customWidth="1"/>
    <col min="10506" max="10506" width="6.88671875" style="202" customWidth="1"/>
    <col min="10507" max="10507" width="8.33203125" style="202" customWidth="1"/>
    <col min="10508" max="10508" width="9.44140625" style="202" customWidth="1"/>
    <col min="10509" max="10509" width="4.88671875" style="202" customWidth="1"/>
    <col min="10510" max="10518" width="8.88671875" style="202"/>
    <col min="10519" max="10519" width="9.44140625" style="202" customWidth="1"/>
    <col min="10520" max="10752" width="8.88671875" style="202"/>
    <col min="10753" max="10753" width="3" style="202" customWidth="1"/>
    <col min="10754" max="10754" width="4.88671875" style="202" customWidth="1"/>
    <col min="10755" max="10755" width="7.6640625" style="202" customWidth="1"/>
    <col min="10756" max="10756" width="7.44140625" style="202" customWidth="1"/>
    <col min="10757" max="10757" width="5.5546875" style="202" customWidth="1"/>
    <col min="10758" max="10758" width="4.5546875" style="202" customWidth="1"/>
    <col min="10759" max="10759" width="8.5546875" style="202" customWidth="1"/>
    <col min="10760" max="10760" width="5.5546875" style="202" customWidth="1"/>
    <col min="10761" max="10761" width="6.6640625" style="202" bestFit="1" customWidth="1"/>
    <col min="10762" max="10762" width="6.88671875" style="202" customWidth="1"/>
    <col min="10763" max="10763" width="8.33203125" style="202" customWidth="1"/>
    <col min="10764" max="10764" width="9.44140625" style="202" customWidth="1"/>
    <col min="10765" max="10765" width="4.88671875" style="202" customWidth="1"/>
    <col min="10766" max="10774" width="8.88671875" style="202"/>
    <col min="10775" max="10775" width="9.44140625" style="202" customWidth="1"/>
    <col min="10776" max="11008" width="8.88671875" style="202"/>
    <col min="11009" max="11009" width="3" style="202" customWidth="1"/>
    <col min="11010" max="11010" width="4.88671875" style="202" customWidth="1"/>
    <col min="11011" max="11011" width="7.6640625" style="202" customWidth="1"/>
    <col min="11012" max="11012" width="7.44140625" style="202" customWidth="1"/>
    <col min="11013" max="11013" width="5.5546875" style="202" customWidth="1"/>
    <col min="11014" max="11014" width="4.5546875" style="202" customWidth="1"/>
    <col min="11015" max="11015" width="8.5546875" style="202" customWidth="1"/>
    <col min="11016" max="11016" width="5.5546875" style="202" customWidth="1"/>
    <col min="11017" max="11017" width="6.6640625" style="202" bestFit="1" customWidth="1"/>
    <col min="11018" max="11018" width="6.88671875" style="202" customWidth="1"/>
    <col min="11019" max="11019" width="8.33203125" style="202" customWidth="1"/>
    <col min="11020" max="11020" width="9.44140625" style="202" customWidth="1"/>
    <col min="11021" max="11021" width="4.88671875" style="202" customWidth="1"/>
    <col min="11022" max="11030" width="8.88671875" style="202"/>
    <col min="11031" max="11031" width="9.44140625" style="202" customWidth="1"/>
    <col min="11032" max="11264" width="8.88671875" style="202"/>
    <col min="11265" max="11265" width="3" style="202" customWidth="1"/>
    <col min="11266" max="11266" width="4.88671875" style="202" customWidth="1"/>
    <col min="11267" max="11267" width="7.6640625" style="202" customWidth="1"/>
    <col min="11268" max="11268" width="7.44140625" style="202" customWidth="1"/>
    <col min="11269" max="11269" width="5.5546875" style="202" customWidth="1"/>
    <col min="11270" max="11270" width="4.5546875" style="202" customWidth="1"/>
    <col min="11271" max="11271" width="8.5546875" style="202" customWidth="1"/>
    <col min="11272" max="11272" width="5.5546875" style="202" customWidth="1"/>
    <col min="11273" max="11273" width="6.6640625" style="202" bestFit="1" customWidth="1"/>
    <col min="11274" max="11274" width="6.88671875" style="202" customWidth="1"/>
    <col min="11275" max="11275" width="8.33203125" style="202" customWidth="1"/>
    <col min="11276" max="11276" width="9.44140625" style="202" customWidth="1"/>
    <col min="11277" max="11277" width="4.88671875" style="202" customWidth="1"/>
    <col min="11278" max="11286" width="8.88671875" style="202"/>
    <col min="11287" max="11287" width="9.44140625" style="202" customWidth="1"/>
    <col min="11288" max="11520" width="8.88671875" style="202"/>
    <col min="11521" max="11521" width="3" style="202" customWidth="1"/>
    <col min="11522" max="11522" width="4.88671875" style="202" customWidth="1"/>
    <col min="11523" max="11523" width="7.6640625" style="202" customWidth="1"/>
    <col min="11524" max="11524" width="7.44140625" style="202" customWidth="1"/>
    <col min="11525" max="11525" width="5.5546875" style="202" customWidth="1"/>
    <col min="11526" max="11526" width="4.5546875" style="202" customWidth="1"/>
    <col min="11527" max="11527" width="8.5546875" style="202" customWidth="1"/>
    <col min="11528" max="11528" width="5.5546875" style="202" customWidth="1"/>
    <col min="11529" max="11529" width="6.6640625" style="202" bestFit="1" customWidth="1"/>
    <col min="11530" max="11530" width="6.88671875" style="202" customWidth="1"/>
    <col min="11531" max="11531" width="8.33203125" style="202" customWidth="1"/>
    <col min="11532" max="11532" width="9.44140625" style="202" customWidth="1"/>
    <col min="11533" max="11533" width="4.88671875" style="202" customWidth="1"/>
    <col min="11534" max="11542" width="8.88671875" style="202"/>
    <col min="11543" max="11543" width="9.44140625" style="202" customWidth="1"/>
    <col min="11544" max="11776" width="8.88671875" style="202"/>
    <col min="11777" max="11777" width="3" style="202" customWidth="1"/>
    <col min="11778" max="11778" width="4.88671875" style="202" customWidth="1"/>
    <col min="11779" max="11779" width="7.6640625" style="202" customWidth="1"/>
    <col min="11780" max="11780" width="7.44140625" style="202" customWidth="1"/>
    <col min="11781" max="11781" width="5.5546875" style="202" customWidth="1"/>
    <col min="11782" max="11782" width="4.5546875" style="202" customWidth="1"/>
    <col min="11783" max="11783" width="8.5546875" style="202" customWidth="1"/>
    <col min="11784" max="11784" width="5.5546875" style="202" customWidth="1"/>
    <col min="11785" max="11785" width="6.6640625" style="202" bestFit="1" customWidth="1"/>
    <col min="11786" max="11786" width="6.88671875" style="202" customWidth="1"/>
    <col min="11787" max="11787" width="8.33203125" style="202" customWidth="1"/>
    <col min="11788" max="11788" width="9.44140625" style="202" customWidth="1"/>
    <col min="11789" max="11789" width="4.88671875" style="202" customWidth="1"/>
    <col min="11790" max="11798" width="8.88671875" style="202"/>
    <col min="11799" max="11799" width="9.44140625" style="202" customWidth="1"/>
    <col min="11800" max="12032" width="8.88671875" style="202"/>
    <col min="12033" max="12033" width="3" style="202" customWidth="1"/>
    <col min="12034" max="12034" width="4.88671875" style="202" customWidth="1"/>
    <col min="12035" max="12035" width="7.6640625" style="202" customWidth="1"/>
    <col min="12036" max="12036" width="7.44140625" style="202" customWidth="1"/>
    <col min="12037" max="12037" width="5.5546875" style="202" customWidth="1"/>
    <col min="12038" max="12038" width="4.5546875" style="202" customWidth="1"/>
    <col min="12039" max="12039" width="8.5546875" style="202" customWidth="1"/>
    <col min="12040" max="12040" width="5.5546875" style="202" customWidth="1"/>
    <col min="12041" max="12041" width="6.6640625" style="202" bestFit="1" customWidth="1"/>
    <col min="12042" max="12042" width="6.88671875" style="202" customWidth="1"/>
    <col min="12043" max="12043" width="8.33203125" style="202" customWidth="1"/>
    <col min="12044" max="12044" width="9.44140625" style="202" customWidth="1"/>
    <col min="12045" max="12045" width="4.88671875" style="202" customWidth="1"/>
    <col min="12046" max="12054" width="8.88671875" style="202"/>
    <col min="12055" max="12055" width="9.44140625" style="202" customWidth="1"/>
    <col min="12056" max="12288" width="8.88671875" style="202"/>
    <col min="12289" max="12289" width="3" style="202" customWidth="1"/>
    <col min="12290" max="12290" width="4.88671875" style="202" customWidth="1"/>
    <col min="12291" max="12291" width="7.6640625" style="202" customWidth="1"/>
    <col min="12292" max="12292" width="7.44140625" style="202" customWidth="1"/>
    <col min="12293" max="12293" width="5.5546875" style="202" customWidth="1"/>
    <col min="12294" max="12294" width="4.5546875" style="202" customWidth="1"/>
    <col min="12295" max="12295" width="8.5546875" style="202" customWidth="1"/>
    <col min="12296" max="12296" width="5.5546875" style="202" customWidth="1"/>
    <col min="12297" max="12297" width="6.6640625" style="202" bestFit="1" customWidth="1"/>
    <col min="12298" max="12298" width="6.88671875" style="202" customWidth="1"/>
    <col min="12299" max="12299" width="8.33203125" style="202" customWidth="1"/>
    <col min="12300" max="12300" width="9.44140625" style="202" customWidth="1"/>
    <col min="12301" max="12301" width="4.88671875" style="202" customWidth="1"/>
    <col min="12302" max="12310" width="8.88671875" style="202"/>
    <col min="12311" max="12311" width="9.44140625" style="202" customWidth="1"/>
    <col min="12312" max="12544" width="8.88671875" style="202"/>
    <col min="12545" max="12545" width="3" style="202" customWidth="1"/>
    <col min="12546" max="12546" width="4.88671875" style="202" customWidth="1"/>
    <col min="12547" max="12547" width="7.6640625" style="202" customWidth="1"/>
    <col min="12548" max="12548" width="7.44140625" style="202" customWidth="1"/>
    <col min="12549" max="12549" width="5.5546875" style="202" customWidth="1"/>
    <col min="12550" max="12550" width="4.5546875" style="202" customWidth="1"/>
    <col min="12551" max="12551" width="8.5546875" style="202" customWidth="1"/>
    <col min="12552" max="12552" width="5.5546875" style="202" customWidth="1"/>
    <col min="12553" max="12553" width="6.6640625" style="202" bestFit="1" customWidth="1"/>
    <col min="12554" max="12554" width="6.88671875" style="202" customWidth="1"/>
    <col min="12555" max="12555" width="8.33203125" style="202" customWidth="1"/>
    <col min="12556" max="12556" width="9.44140625" style="202" customWidth="1"/>
    <col min="12557" max="12557" width="4.88671875" style="202" customWidth="1"/>
    <col min="12558" max="12566" width="8.88671875" style="202"/>
    <col min="12567" max="12567" width="9.44140625" style="202" customWidth="1"/>
    <col min="12568" max="12800" width="8.88671875" style="202"/>
    <col min="12801" max="12801" width="3" style="202" customWidth="1"/>
    <col min="12802" max="12802" width="4.88671875" style="202" customWidth="1"/>
    <col min="12803" max="12803" width="7.6640625" style="202" customWidth="1"/>
    <col min="12804" max="12804" width="7.44140625" style="202" customWidth="1"/>
    <col min="12805" max="12805" width="5.5546875" style="202" customWidth="1"/>
    <col min="12806" max="12806" width="4.5546875" style="202" customWidth="1"/>
    <col min="12807" max="12807" width="8.5546875" style="202" customWidth="1"/>
    <col min="12808" max="12808" width="5.5546875" style="202" customWidth="1"/>
    <col min="12809" max="12809" width="6.6640625" style="202" bestFit="1" customWidth="1"/>
    <col min="12810" max="12810" width="6.88671875" style="202" customWidth="1"/>
    <col min="12811" max="12811" width="8.33203125" style="202" customWidth="1"/>
    <col min="12812" max="12812" width="9.44140625" style="202" customWidth="1"/>
    <col min="12813" max="12813" width="4.88671875" style="202" customWidth="1"/>
    <col min="12814" max="12822" width="8.88671875" style="202"/>
    <col min="12823" max="12823" width="9.44140625" style="202" customWidth="1"/>
    <col min="12824" max="13056" width="8.88671875" style="202"/>
    <col min="13057" max="13057" width="3" style="202" customWidth="1"/>
    <col min="13058" max="13058" width="4.88671875" style="202" customWidth="1"/>
    <col min="13059" max="13059" width="7.6640625" style="202" customWidth="1"/>
    <col min="13060" max="13060" width="7.44140625" style="202" customWidth="1"/>
    <col min="13061" max="13061" width="5.5546875" style="202" customWidth="1"/>
    <col min="13062" max="13062" width="4.5546875" style="202" customWidth="1"/>
    <col min="13063" max="13063" width="8.5546875" style="202" customWidth="1"/>
    <col min="13064" max="13064" width="5.5546875" style="202" customWidth="1"/>
    <col min="13065" max="13065" width="6.6640625" style="202" bestFit="1" customWidth="1"/>
    <col min="13066" max="13066" width="6.88671875" style="202" customWidth="1"/>
    <col min="13067" max="13067" width="8.33203125" style="202" customWidth="1"/>
    <col min="13068" max="13068" width="9.44140625" style="202" customWidth="1"/>
    <col min="13069" max="13069" width="4.88671875" style="202" customWidth="1"/>
    <col min="13070" max="13078" width="8.88671875" style="202"/>
    <col min="13079" max="13079" width="9.44140625" style="202" customWidth="1"/>
    <col min="13080" max="13312" width="8.88671875" style="202"/>
    <col min="13313" max="13313" width="3" style="202" customWidth="1"/>
    <col min="13314" max="13314" width="4.88671875" style="202" customWidth="1"/>
    <col min="13315" max="13315" width="7.6640625" style="202" customWidth="1"/>
    <col min="13316" max="13316" width="7.44140625" style="202" customWidth="1"/>
    <col min="13317" max="13317" width="5.5546875" style="202" customWidth="1"/>
    <col min="13318" max="13318" width="4.5546875" style="202" customWidth="1"/>
    <col min="13319" max="13319" width="8.5546875" style="202" customWidth="1"/>
    <col min="13320" max="13320" width="5.5546875" style="202" customWidth="1"/>
    <col min="13321" max="13321" width="6.6640625" style="202" bestFit="1" customWidth="1"/>
    <col min="13322" max="13322" width="6.88671875" style="202" customWidth="1"/>
    <col min="13323" max="13323" width="8.33203125" style="202" customWidth="1"/>
    <col min="13324" max="13324" width="9.44140625" style="202" customWidth="1"/>
    <col min="13325" max="13325" width="4.88671875" style="202" customWidth="1"/>
    <col min="13326" max="13334" width="8.88671875" style="202"/>
    <col min="13335" max="13335" width="9.44140625" style="202" customWidth="1"/>
    <col min="13336" max="13568" width="8.88671875" style="202"/>
    <col min="13569" max="13569" width="3" style="202" customWidth="1"/>
    <col min="13570" max="13570" width="4.88671875" style="202" customWidth="1"/>
    <col min="13571" max="13571" width="7.6640625" style="202" customWidth="1"/>
    <col min="13572" max="13572" width="7.44140625" style="202" customWidth="1"/>
    <col min="13573" max="13573" width="5.5546875" style="202" customWidth="1"/>
    <col min="13574" max="13574" width="4.5546875" style="202" customWidth="1"/>
    <col min="13575" max="13575" width="8.5546875" style="202" customWidth="1"/>
    <col min="13576" max="13576" width="5.5546875" style="202" customWidth="1"/>
    <col min="13577" max="13577" width="6.6640625" style="202" bestFit="1" customWidth="1"/>
    <col min="13578" max="13578" width="6.88671875" style="202" customWidth="1"/>
    <col min="13579" max="13579" width="8.33203125" style="202" customWidth="1"/>
    <col min="13580" max="13580" width="9.44140625" style="202" customWidth="1"/>
    <col min="13581" max="13581" width="4.88671875" style="202" customWidth="1"/>
    <col min="13582" max="13590" width="8.88671875" style="202"/>
    <col min="13591" max="13591" width="9.44140625" style="202" customWidth="1"/>
    <col min="13592" max="13824" width="8.88671875" style="202"/>
    <col min="13825" max="13825" width="3" style="202" customWidth="1"/>
    <col min="13826" max="13826" width="4.88671875" style="202" customWidth="1"/>
    <col min="13827" max="13827" width="7.6640625" style="202" customWidth="1"/>
    <col min="13828" max="13828" width="7.44140625" style="202" customWidth="1"/>
    <col min="13829" max="13829" width="5.5546875" style="202" customWidth="1"/>
    <col min="13830" max="13830" width="4.5546875" style="202" customWidth="1"/>
    <col min="13831" max="13831" width="8.5546875" style="202" customWidth="1"/>
    <col min="13832" max="13832" width="5.5546875" style="202" customWidth="1"/>
    <col min="13833" max="13833" width="6.6640625" style="202" bestFit="1" customWidth="1"/>
    <col min="13834" max="13834" width="6.88671875" style="202" customWidth="1"/>
    <col min="13835" max="13835" width="8.33203125" style="202" customWidth="1"/>
    <col min="13836" max="13836" width="9.44140625" style="202" customWidth="1"/>
    <col min="13837" max="13837" width="4.88671875" style="202" customWidth="1"/>
    <col min="13838" max="13846" width="8.88671875" style="202"/>
    <col min="13847" max="13847" width="9.44140625" style="202" customWidth="1"/>
    <col min="13848" max="14080" width="8.88671875" style="202"/>
    <col min="14081" max="14081" width="3" style="202" customWidth="1"/>
    <col min="14082" max="14082" width="4.88671875" style="202" customWidth="1"/>
    <col min="14083" max="14083" width="7.6640625" style="202" customWidth="1"/>
    <col min="14084" max="14084" width="7.44140625" style="202" customWidth="1"/>
    <col min="14085" max="14085" width="5.5546875" style="202" customWidth="1"/>
    <col min="14086" max="14086" width="4.5546875" style="202" customWidth="1"/>
    <col min="14087" max="14087" width="8.5546875" style="202" customWidth="1"/>
    <col min="14088" max="14088" width="5.5546875" style="202" customWidth="1"/>
    <col min="14089" max="14089" width="6.6640625" style="202" bestFit="1" customWidth="1"/>
    <col min="14090" max="14090" width="6.88671875" style="202" customWidth="1"/>
    <col min="14091" max="14091" width="8.33203125" style="202" customWidth="1"/>
    <col min="14092" max="14092" width="9.44140625" style="202" customWidth="1"/>
    <col min="14093" max="14093" width="4.88671875" style="202" customWidth="1"/>
    <col min="14094" max="14102" width="8.88671875" style="202"/>
    <col min="14103" max="14103" width="9.44140625" style="202" customWidth="1"/>
    <col min="14104" max="14336" width="8.88671875" style="202"/>
    <col min="14337" max="14337" width="3" style="202" customWidth="1"/>
    <col min="14338" max="14338" width="4.88671875" style="202" customWidth="1"/>
    <col min="14339" max="14339" width="7.6640625" style="202" customWidth="1"/>
    <col min="14340" max="14340" width="7.44140625" style="202" customWidth="1"/>
    <col min="14341" max="14341" width="5.5546875" style="202" customWidth="1"/>
    <col min="14342" max="14342" width="4.5546875" style="202" customWidth="1"/>
    <col min="14343" max="14343" width="8.5546875" style="202" customWidth="1"/>
    <col min="14344" max="14344" width="5.5546875" style="202" customWidth="1"/>
    <col min="14345" max="14345" width="6.6640625" style="202" bestFit="1" customWidth="1"/>
    <col min="14346" max="14346" width="6.88671875" style="202" customWidth="1"/>
    <col min="14347" max="14347" width="8.33203125" style="202" customWidth="1"/>
    <col min="14348" max="14348" width="9.44140625" style="202" customWidth="1"/>
    <col min="14349" max="14349" width="4.88671875" style="202" customWidth="1"/>
    <col min="14350" max="14358" width="8.88671875" style="202"/>
    <col min="14359" max="14359" width="9.44140625" style="202" customWidth="1"/>
    <col min="14360" max="14592" width="8.88671875" style="202"/>
    <col min="14593" max="14593" width="3" style="202" customWidth="1"/>
    <col min="14594" max="14594" width="4.88671875" style="202" customWidth="1"/>
    <col min="14595" max="14595" width="7.6640625" style="202" customWidth="1"/>
    <col min="14596" max="14596" width="7.44140625" style="202" customWidth="1"/>
    <col min="14597" max="14597" width="5.5546875" style="202" customWidth="1"/>
    <col min="14598" max="14598" width="4.5546875" style="202" customWidth="1"/>
    <col min="14599" max="14599" width="8.5546875" style="202" customWidth="1"/>
    <col min="14600" max="14600" width="5.5546875" style="202" customWidth="1"/>
    <col min="14601" max="14601" width="6.6640625" style="202" bestFit="1" customWidth="1"/>
    <col min="14602" max="14602" width="6.88671875" style="202" customWidth="1"/>
    <col min="14603" max="14603" width="8.33203125" style="202" customWidth="1"/>
    <col min="14604" max="14604" width="9.44140625" style="202" customWidth="1"/>
    <col min="14605" max="14605" width="4.88671875" style="202" customWidth="1"/>
    <col min="14606" max="14614" width="8.88671875" style="202"/>
    <col min="14615" max="14615" width="9.44140625" style="202" customWidth="1"/>
    <col min="14616" max="14848" width="8.88671875" style="202"/>
    <col min="14849" max="14849" width="3" style="202" customWidth="1"/>
    <col min="14850" max="14850" width="4.88671875" style="202" customWidth="1"/>
    <col min="14851" max="14851" width="7.6640625" style="202" customWidth="1"/>
    <col min="14852" max="14852" width="7.44140625" style="202" customWidth="1"/>
    <col min="14853" max="14853" width="5.5546875" style="202" customWidth="1"/>
    <col min="14854" max="14854" width="4.5546875" style="202" customWidth="1"/>
    <col min="14855" max="14855" width="8.5546875" style="202" customWidth="1"/>
    <col min="14856" max="14856" width="5.5546875" style="202" customWidth="1"/>
    <col min="14857" max="14857" width="6.6640625" style="202" bestFit="1" customWidth="1"/>
    <col min="14858" max="14858" width="6.88671875" style="202" customWidth="1"/>
    <col min="14859" max="14859" width="8.33203125" style="202" customWidth="1"/>
    <col min="14860" max="14860" width="9.44140625" style="202" customWidth="1"/>
    <col min="14861" max="14861" width="4.88671875" style="202" customWidth="1"/>
    <col min="14862" max="14870" width="8.88671875" style="202"/>
    <col min="14871" max="14871" width="9.44140625" style="202" customWidth="1"/>
    <col min="14872" max="15104" width="8.88671875" style="202"/>
    <col min="15105" max="15105" width="3" style="202" customWidth="1"/>
    <col min="15106" max="15106" width="4.88671875" style="202" customWidth="1"/>
    <col min="15107" max="15107" width="7.6640625" style="202" customWidth="1"/>
    <col min="15108" max="15108" width="7.44140625" style="202" customWidth="1"/>
    <col min="15109" max="15109" width="5.5546875" style="202" customWidth="1"/>
    <col min="15110" max="15110" width="4.5546875" style="202" customWidth="1"/>
    <col min="15111" max="15111" width="8.5546875" style="202" customWidth="1"/>
    <col min="15112" max="15112" width="5.5546875" style="202" customWidth="1"/>
    <col min="15113" max="15113" width="6.6640625" style="202" bestFit="1" customWidth="1"/>
    <col min="15114" max="15114" width="6.88671875" style="202" customWidth="1"/>
    <col min="15115" max="15115" width="8.33203125" style="202" customWidth="1"/>
    <col min="15116" max="15116" width="9.44140625" style="202" customWidth="1"/>
    <col min="15117" max="15117" width="4.88671875" style="202" customWidth="1"/>
    <col min="15118" max="15126" width="8.88671875" style="202"/>
    <col min="15127" max="15127" width="9.44140625" style="202" customWidth="1"/>
    <col min="15128" max="15360" width="8.88671875" style="202"/>
    <col min="15361" max="15361" width="3" style="202" customWidth="1"/>
    <col min="15362" max="15362" width="4.88671875" style="202" customWidth="1"/>
    <col min="15363" max="15363" width="7.6640625" style="202" customWidth="1"/>
    <col min="15364" max="15364" width="7.44140625" style="202" customWidth="1"/>
    <col min="15365" max="15365" width="5.5546875" style="202" customWidth="1"/>
    <col min="15366" max="15366" width="4.5546875" style="202" customWidth="1"/>
    <col min="15367" max="15367" width="8.5546875" style="202" customWidth="1"/>
    <col min="15368" max="15368" width="5.5546875" style="202" customWidth="1"/>
    <col min="15369" max="15369" width="6.6640625" style="202" bestFit="1" customWidth="1"/>
    <col min="15370" max="15370" width="6.88671875" style="202" customWidth="1"/>
    <col min="15371" max="15371" width="8.33203125" style="202" customWidth="1"/>
    <col min="15372" max="15372" width="9.44140625" style="202" customWidth="1"/>
    <col min="15373" max="15373" width="4.88671875" style="202" customWidth="1"/>
    <col min="15374" max="15382" width="8.88671875" style="202"/>
    <col min="15383" max="15383" width="9.44140625" style="202" customWidth="1"/>
    <col min="15384" max="15616" width="8.88671875" style="202"/>
    <col min="15617" max="15617" width="3" style="202" customWidth="1"/>
    <col min="15618" max="15618" width="4.88671875" style="202" customWidth="1"/>
    <col min="15619" max="15619" width="7.6640625" style="202" customWidth="1"/>
    <col min="15620" max="15620" width="7.44140625" style="202" customWidth="1"/>
    <col min="15621" max="15621" width="5.5546875" style="202" customWidth="1"/>
    <col min="15622" max="15622" width="4.5546875" style="202" customWidth="1"/>
    <col min="15623" max="15623" width="8.5546875" style="202" customWidth="1"/>
    <col min="15624" max="15624" width="5.5546875" style="202" customWidth="1"/>
    <col min="15625" max="15625" width="6.6640625" style="202" bestFit="1" customWidth="1"/>
    <col min="15626" max="15626" width="6.88671875" style="202" customWidth="1"/>
    <col min="15627" max="15627" width="8.33203125" style="202" customWidth="1"/>
    <col min="15628" max="15628" width="9.44140625" style="202" customWidth="1"/>
    <col min="15629" max="15629" width="4.88671875" style="202" customWidth="1"/>
    <col min="15630" max="15638" width="8.88671875" style="202"/>
    <col min="15639" max="15639" width="9.44140625" style="202" customWidth="1"/>
    <col min="15640" max="15872" width="8.88671875" style="202"/>
    <col min="15873" max="15873" width="3" style="202" customWidth="1"/>
    <col min="15874" max="15874" width="4.88671875" style="202" customWidth="1"/>
    <col min="15875" max="15875" width="7.6640625" style="202" customWidth="1"/>
    <col min="15876" max="15876" width="7.44140625" style="202" customWidth="1"/>
    <col min="15877" max="15877" width="5.5546875" style="202" customWidth="1"/>
    <col min="15878" max="15878" width="4.5546875" style="202" customWidth="1"/>
    <col min="15879" max="15879" width="8.5546875" style="202" customWidth="1"/>
    <col min="15880" max="15880" width="5.5546875" style="202" customWidth="1"/>
    <col min="15881" max="15881" width="6.6640625" style="202" bestFit="1" customWidth="1"/>
    <col min="15882" max="15882" width="6.88671875" style="202" customWidth="1"/>
    <col min="15883" max="15883" width="8.33203125" style="202" customWidth="1"/>
    <col min="15884" max="15884" width="9.44140625" style="202" customWidth="1"/>
    <col min="15885" max="15885" width="4.88671875" style="202" customWidth="1"/>
    <col min="15886" max="15894" width="8.88671875" style="202"/>
    <col min="15895" max="15895" width="9.44140625" style="202" customWidth="1"/>
    <col min="15896" max="16128" width="8.88671875" style="202"/>
    <col min="16129" max="16129" width="3" style="202" customWidth="1"/>
    <col min="16130" max="16130" width="4.88671875" style="202" customWidth="1"/>
    <col min="16131" max="16131" width="7.6640625" style="202" customWidth="1"/>
    <col min="16132" max="16132" width="7.44140625" style="202" customWidth="1"/>
    <col min="16133" max="16133" width="5.5546875" style="202" customWidth="1"/>
    <col min="16134" max="16134" width="4.5546875" style="202" customWidth="1"/>
    <col min="16135" max="16135" width="8.5546875" style="202" customWidth="1"/>
    <col min="16136" max="16136" width="5.5546875" style="202" customWidth="1"/>
    <col min="16137" max="16137" width="6.6640625" style="202" bestFit="1" customWidth="1"/>
    <col min="16138" max="16138" width="6.88671875" style="202" customWidth="1"/>
    <col min="16139" max="16139" width="8.33203125" style="202" customWidth="1"/>
    <col min="16140" max="16140" width="9.44140625" style="202" customWidth="1"/>
    <col min="16141" max="16141" width="4.88671875" style="202" customWidth="1"/>
    <col min="16142" max="16150" width="8.88671875" style="202"/>
    <col min="16151" max="16151" width="9.44140625" style="202" customWidth="1"/>
    <col min="16152" max="16380" width="8.88671875" style="202"/>
    <col min="16381" max="16384" width="8.77734375" style="202" customWidth="1"/>
  </cols>
  <sheetData>
    <row r="1" spans="1:22" ht="20.25">
      <c r="A1" s="227"/>
      <c r="B1" s="227"/>
      <c r="C1" s="227"/>
      <c r="D1" s="227"/>
      <c r="E1" s="1623" t="str">
        <f>E10</f>
        <v>BIÊN BẢN KIỂM TRA ĐIỀU KIỆN ĐỔ BÊ TÔNG</v>
      </c>
      <c r="F1" s="1623"/>
      <c r="G1" s="1623"/>
      <c r="H1" s="1623"/>
      <c r="I1" s="1623"/>
      <c r="J1" s="1623"/>
      <c r="K1" s="1623"/>
      <c r="L1" s="1623"/>
      <c r="M1" s="227"/>
      <c r="N1" s="227"/>
      <c r="O1" s="227"/>
      <c r="P1" s="227"/>
      <c r="Q1" s="227"/>
      <c r="R1" s="227"/>
      <c r="S1" s="227"/>
      <c r="T1" s="227"/>
      <c r="U1" s="227"/>
      <c r="V1" s="227"/>
    </row>
    <row r="2" spans="1:22" ht="16.5">
      <c r="A2" s="227"/>
      <c r="B2" s="227"/>
      <c r="C2" s="227"/>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227"/>
      <c r="N2" s="294">
        <v>1</v>
      </c>
      <c r="O2" s="227"/>
      <c r="P2" s="227"/>
      <c r="Q2" s="227"/>
      <c r="R2" s="227"/>
      <c r="S2" s="227"/>
      <c r="T2" s="227"/>
      <c r="U2" s="227"/>
      <c r="V2" s="227"/>
    </row>
    <row r="3" spans="1:22" ht="16.5">
      <c r="A3" s="309"/>
      <c r="B3" s="227"/>
      <c r="C3" s="227"/>
      <c r="D3" s="227"/>
      <c r="E3" s="1624" t="str">
        <f>"     Địa điểm XD: "&amp;DDXD</f>
        <v xml:space="preserve">     Địa điểm XD: Huyện Ninh Hải - Tỉnh Ninh Thuận</v>
      </c>
      <c r="F3" s="1624"/>
      <c r="G3" s="1624"/>
      <c r="H3" s="1624"/>
      <c r="I3" s="1624"/>
      <c r="J3" s="1624"/>
      <c r="K3" s="1624"/>
      <c r="L3" s="1624"/>
      <c r="M3" s="227"/>
      <c r="N3" s="227"/>
      <c r="O3" s="227"/>
      <c r="P3" s="227"/>
      <c r="Q3" s="227"/>
      <c r="R3" s="227"/>
      <c r="S3" s="227"/>
      <c r="T3" s="227"/>
      <c r="U3" s="227"/>
      <c r="V3" s="227"/>
    </row>
    <row r="4" spans="1:22" ht="13.5" customHeight="1">
      <c r="A4" s="309"/>
      <c r="B4" s="227"/>
      <c r="C4" s="227"/>
      <c r="D4" s="227"/>
      <c r="E4" s="227"/>
      <c r="F4" s="227"/>
      <c r="G4" s="227"/>
      <c r="H4" s="227"/>
      <c r="I4" s="227"/>
      <c r="J4" s="227"/>
      <c r="K4" s="227"/>
      <c r="L4" s="227"/>
      <c r="M4" s="227"/>
      <c r="N4" s="227"/>
      <c r="O4" s="227"/>
      <c r="P4" s="227"/>
      <c r="Q4" s="227"/>
      <c r="R4" s="227"/>
      <c r="S4" s="227"/>
      <c r="T4" s="227"/>
      <c r="U4" s="227"/>
      <c r="V4" s="227"/>
    </row>
    <row r="5" spans="1:22" ht="16.5">
      <c r="A5" s="227"/>
      <c r="B5" s="227"/>
      <c r="C5" s="227"/>
      <c r="D5" s="227"/>
      <c r="E5" s="1625" t="s">
        <v>158</v>
      </c>
      <c r="F5" s="1625"/>
      <c r="G5" s="1625"/>
      <c r="H5" s="1625"/>
      <c r="I5" s="1625"/>
      <c r="J5" s="1625"/>
      <c r="K5" s="1625"/>
      <c r="L5" s="1625"/>
      <c r="M5" s="227"/>
      <c r="N5" s="227"/>
      <c r="O5" s="227"/>
      <c r="P5" s="227"/>
      <c r="Q5" s="227"/>
      <c r="R5" s="227"/>
      <c r="S5" s="227"/>
      <c r="T5" s="227"/>
      <c r="U5" s="227"/>
      <c r="V5" s="227"/>
    </row>
    <row r="6" spans="1:22" ht="15" customHeight="1">
      <c r="A6" s="227"/>
      <c r="B6" s="227"/>
      <c r="C6" s="227"/>
      <c r="D6" s="227"/>
      <c r="E6" s="1626" t="s">
        <v>161</v>
      </c>
      <c r="F6" s="1626"/>
      <c r="G6" s="1626"/>
      <c r="H6" s="1626"/>
      <c r="I6" s="1626"/>
      <c r="J6" s="1626"/>
      <c r="K6" s="1626"/>
      <c r="L6" s="1626"/>
      <c r="M6" s="227"/>
      <c r="N6" s="227"/>
      <c r="O6" s="227"/>
      <c r="P6" s="227"/>
      <c r="Q6" s="227"/>
      <c r="R6" s="227"/>
      <c r="S6" s="227"/>
      <c r="T6" s="227"/>
      <c r="U6" s="227"/>
      <c r="V6" s="227"/>
    </row>
    <row r="7" spans="1:22" ht="6.75" customHeight="1">
      <c r="A7" s="227"/>
      <c r="B7" s="227"/>
      <c r="C7" s="227"/>
      <c r="D7" s="227"/>
      <c r="E7" s="1627"/>
      <c r="F7" s="1627"/>
      <c r="G7" s="1627"/>
      <c r="H7" s="1627"/>
      <c r="I7" s="1627"/>
      <c r="J7" s="1627"/>
      <c r="K7" s="1627"/>
      <c r="L7" s="1627"/>
      <c r="M7" s="227"/>
      <c r="N7" s="227"/>
      <c r="O7" s="227"/>
      <c r="P7" s="227"/>
      <c r="Q7" s="227"/>
      <c r="R7" s="227"/>
      <c r="S7" s="227"/>
      <c r="T7" s="227"/>
      <c r="U7" s="227"/>
      <c r="V7" s="227"/>
    </row>
    <row r="8" spans="1:22" ht="16.5">
      <c r="A8" s="227"/>
      <c r="B8" s="227"/>
      <c r="C8" s="227"/>
      <c r="D8" s="227"/>
      <c r="E8" s="1622" t="str">
        <f>Diadanh&amp;", "&amp;IFERROR(Doingay(VLOOKUP($N$2,lIST_DKDBT!$A$6:$H$700,6,0))," ngày ….. tháng ….. năm …..")</f>
        <v>Ninh Hải,  ngày 20 tháng 5 năm 2020</v>
      </c>
      <c r="F8" s="1622"/>
      <c r="G8" s="1622"/>
      <c r="H8" s="1622"/>
      <c r="I8" s="1622"/>
      <c r="J8" s="1622"/>
      <c r="K8" s="1622"/>
      <c r="L8" s="1622"/>
      <c r="M8" s="227"/>
      <c r="N8" s="227"/>
      <c r="O8" s="227"/>
      <c r="P8" s="227"/>
      <c r="Q8" s="227"/>
      <c r="R8" s="227"/>
      <c r="S8" s="227"/>
      <c r="T8" s="227"/>
      <c r="U8" s="227"/>
      <c r="V8" s="227"/>
    </row>
    <row r="9" spans="1:22" ht="8.25" customHeight="1">
      <c r="A9" s="227"/>
      <c r="B9" s="227"/>
      <c r="C9" s="227"/>
      <c r="D9" s="227"/>
      <c r="E9" s="704"/>
      <c r="F9" s="704"/>
      <c r="G9" s="704"/>
      <c r="H9" s="704"/>
      <c r="I9" s="704"/>
      <c r="J9" s="704"/>
      <c r="K9" s="704"/>
      <c r="L9" s="704"/>
      <c r="M9" s="227"/>
      <c r="N9" s="227"/>
      <c r="O9" s="227"/>
      <c r="P9" s="227"/>
      <c r="Q9" s="227"/>
      <c r="R9" s="227"/>
      <c r="S9" s="227"/>
      <c r="T9" s="227"/>
      <c r="U9" s="227"/>
      <c r="V9" s="227"/>
    </row>
    <row r="10" spans="1:22" ht="20.25">
      <c r="A10" s="227"/>
      <c r="B10" s="227"/>
      <c r="C10" s="227"/>
      <c r="D10" s="227"/>
      <c r="E10" s="1657" t="s">
        <v>4317</v>
      </c>
      <c r="F10" s="1657"/>
      <c r="G10" s="1657"/>
      <c r="H10" s="1657"/>
      <c r="I10" s="1657"/>
      <c r="J10" s="1657"/>
      <c r="K10" s="1657"/>
      <c r="L10" s="1657"/>
      <c r="M10" s="227"/>
      <c r="N10" s="227"/>
      <c r="O10" s="227"/>
      <c r="P10" s="227"/>
      <c r="Q10" s="227"/>
      <c r="R10" s="227"/>
      <c r="S10" s="227"/>
      <c r="T10" s="227"/>
      <c r="U10" s="227"/>
      <c r="V10" s="227"/>
    </row>
    <row r="11" spans="1:22" ht="4.5" customHeight="1">
      <c r="A11" s="227"/>
      <c r="B11" s="227"/>
      <c r="C11" s="227"/>
      <c r="D11" s="227"/>
      <c r="E11" s="703"/>
      <c r="F11" s="703"/>
      <c r="G11" s="703"/>
      <c r="H11" s="703"/>
      <c r="I11" s="703"/>
      <c r="J11" s="703"/>
      <c r="K11" s="703"/>
      <c r="L11" s="703"/>
      <c r="M11" s="227"/>
      <c r="N11" s="227"/>
      <c r="O11" s="227"/>
      <c r="P11" s="227"/>
      <c r="Q11" s="227"/>
      <c r="R11" s="227"/>
      <c r="S11" s="227"/>
      <c r="T11" s="227"/>
      <c r="U11" s="227"/>
      <c r="V11" s="227"/>
    </row>
    <row r="12" spans="1:22"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227"/>
      <c r="N12" s="227"/>
      <c r="O12" s="227"/>
      <c r="P12" s="227"/>
      <c r="Q12" s="227"/>
      <c r="R12" s="227"/>
      <c r="S12" s="227"/>
      <c r="T12" s="227"/>
      <c r="U12" s="227">
        <f>ROW(E12)</f>
        <v>12</v>
      </c>
      <c r="V12" s="227"/>
    </row>
    <row r="13" spans="1:22" ht="20.100000000000001" hidden="1" customHeight="1">
      <c r="A13" s="227"/>
      <c r="B13" s="227"/>
      <c r="C13" s="227"/>
      <c r="D13" s="227"/>
      <c r="E13" s="1630" t="str">
        <f>IF(NDtieude2&lt;&gt;"",Tieude2&amp;": "&amp;NDtieude2,"")</f>
        <v/>
      </c>
      <c r="F13" s="1630"/>
      <c r="G13" s="1630"/>
      <c r="H13" s="1630"/>
      <c r="I13" s="1630"/>
      <c r="J13" s="1630"/>
      <c r="K13" s="1630"/>
      <c r="L13" s="1630"/>
      <c r="M13" s="227"/>
      <c r="N13" s="227"/>
      <c r="O13" s="227"/>
      <c r="P13" s="227"/>
      <c r="Q13" s="227"/>
      <c r="R13" s="227"/>
      <c r="S13" s="227"/>
      <c r="T13" s="227"/>
      <c r="U13" s="227">
        <f>ROW(E13)</f>
        <v>13</v>
      </c>
      <c r="V13" s="227"/>
    </row>
    <row r="14" spans="1:22" ht="20.100000000000001" customHeight="1">
      <c r="A14" s="227"/>
      <c r="B14" s="227"/>
      <c r="C14" s="227"/>
      <c r="D14" s="227"/>
      <c r="E14" s="1630" t="str">
        <f>IF(NDtieude3&lt;&gt;"",Tieude3&amp;": "&amp;NDtieude3,"")</f>
        <v>Hạng mục: Kênh và Công trình trên kênh</v>
      </c>
      <c r="F14" s="1630"/>
      <c r="G14" s="1630"/>
      <c r="H14" s="1630"/>
      <c r="I14" s="1630"/>
      <c r="J14" s="1630"/>
      <c r="K14" s="1630"/>
      <c r="L14" s="1630"/>
      <c r="M14" s="227"/>
      <c r="N14" s="227"/>
      <c r="O14" s="227"/>
      <c r="P14" s="227"/>
      <c r="Q14" s="227"/>
      <c r="R14" s="227"/>
      <c r="S14" s="227"/>
      <c r="T14" s="227"/>
      <c r="U14" s="227">
        <f>ROW(E14)</f>
        <v>14</v>
      </c>
      <c r="V14" s="227"/>
    </row>
    <row r="15" spans="1:22" ht="20.100000000000001"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227"/>
      <c r="N15" s="227"/>
      <c r="O15" s="227"/>
      <c r="P15" s="227"/>
      <c r="Q15" s="227"/>
      <c r="R15" s="227"/>
      <c r="S15" s="227"/>
      <c r="T15" s="227"/>
      <c r="U15" s="227">
        <f>ROW(E15)</f>
        <v>15</v>
      </c>
      <c r="V15" s="227"/>
    </row>
    <row r="16" spans="1:22" ht="4.5" customHeight="1">
      <c r="A16" s="227"/>
      <c r="B16" s="227"/>
      <c r="C16" s="227"/>
      <c r="D16" s="227"/>
      <c r="E16" s="201"/>
      <c r="H16" s="201"/>
      <c r="I16" s="201"/>
      <c r="J16" s="201"/>
      <c r="K16" s="201"/>
      <c r="L16" s="201"/>
      <c r="M16" s="227"/>
      <c r="N16" s="227"/>
      <c r="O16" s="227"/>
      <c r="P16" s="227"/>
      <c r="Q16" s="227"/>
      <c r="R16" s="227"/>
      <c r="S16" s="227"/>
      <c r="T16" s="227"/>
      <c r="U16" s="227"/>
      <c r="V16" s="227"/>
    </row>
    <row r="17" spans="1:22 16381:16381" ht="18" customHeight="1">
      <c r="A17" s="227"/>
      <c r="B17" s="227"/>
      <c r="C17" s="227"/>
      <c r="D17" s="227"/>
      <c r="E17" s="204" t="s">
        <v>3889</v>
      </c>
      <c r="F17" s="205" t="s">
        <v>3890</v>
      </c>
      <c r="G17" s="201"/>
      <c r="H17" s="201"/>
      <c r="I17" s="206"/>
      <c r="J17" s="206"/>
      <c r="K17" s="207"/>
      <c r="L17" s="207"/>
      <c r="M17" s="227"/>
      <c r="N17" s="227"/>
      <c r="O17" s="227"/>
      <c r="P17" s="227"/>
      <c r="Q17" s="227"/>
      <c r="R17" s="227"/>
      <c r="S17" s="227"/>
      <c r="T17" s="227"/>
      <c r="U17" s="227"/>
      <c r="V17" s="227"/>
    </row>
    <row r="18" spans="1:22 16381:16381" ht="20.100000000000001" customHeight="1">
      <c r="A18" s="227"/>
      <c r="B18" s="227"/>
      <c r="C18" s="227"/>
      <c r="D18" s="227"/>
      <c r="E18" s="1633" t="str">
        <f>"+ Đối tượng kiểm tra: "&amp;IFERROR(VLOOKUP($N$2,lIST_DKDBT!$A$6:$H$700,4,0),"")</f>
        <v>+ Đối tượng kiểm tra: Kiểm tra điều kiện đổ bê tông kênh</v>
      </c>
      <c r="F18" s="1633"/>
      <c r="G18" s="1633"/>
      <c r="H18" s="1633"/>
      <c r="I18" s="1633"/>
      <c r="J18" s="1633"/>
      <c r="K18" s="1633"/>
      <c r="L18" s="1633"/>
      <c r="M18" s="227"/>
      <c r="N18" s="227"/>
      <c r="O18" s="227"/>
      <c r="P18" s="227"/>
      <c r="Q18" s="227"/>
      <c r="R18" s="227"/>
      <c r="S18" s="227"/>
      <c r="T18" s="227">
        <f>ROW()</f>
        <v>18</v>
      </c>
      <c r="U18" s="227"/>
      <c r="V18" s="227"/>
      <c r="XFA18"/>
    </row>
    <row r="19" spans="1:22 16381:16381" ht="20.100000000000001" customHeight="1">
      <c r="A19" s="227"/>
      <c r="B19" s="227"/>
      <c r="C19" s="227"/>
      <c r="D19" s="227"/>
      <c r="E19" s="1633" t="str">
        <f>"+ Vị trí xây dựng trên công trình: "&amp;IFERROR(VLOOKUP($N$2,lIST_DKDBT!$A$6:$H$700,5,0),"")</f>
        <v>+ Vị trí xây dựng trên công trình: Đoạn Km0+300 đến Km0+400</v>
      </c>
      <c r="F19" s="1633"/>
      <c r="G19" s="1633"/>
      <c r="H19" s="1633"/>
      <c r="I19" s="1633"/>
      <c r="J19" s="1633"/>
      <c r="K19" s="1633"/>
      <c r="L19" s="1633"/>
      <c r="M19" s="227"/>
      <c r="N19" s="227"/>
      <c r="O19" s="227"/>
      <c r="P19" s="227"/>
      <c r="Q19" s="227"/>
      <c r="R19" s="227"/>
      <c r="S19" s="227"/>
      <c r="T19" s="227">
        <f>ROW()</f>
        <v>19</v>
      </c>
      <c r="U19" s="227"/>
      <c r="V19" s="227"/>
      <c r="XFA19"/>
    </row>
    <row r="20" spans="1:22 16381:16381" ht="7.5" customHeight="1">
      <c r="A20" s="227"/>
      <c r="B20" s="227"/>
      <c r="C20" s="227"/>
      <c r="D20" s="227"/>
      <c r="E20" s="204"/>
      <c r="F20" s="205"/>
      <c r="G20" s="205"/>
      <c r="H20" s="201"/>
      <c r="I20" s="201"/>
      <c r="J20" s="201"/>
      <c r="K20" s="201"/>
      <c r="L20" s="201"/>
      <c r="M20" s="227"/>
      <c r="N20" s="227"/>
      <c r="O20" s="227"/>
      <c r="P20" s="227"/>
      <c r="Q20" s="227"/>
      <c r="R20" s="227"/>
      <c r="S20" s="227"/>
      <c r="T20" s="227"/>
      <c r="U20" s="227"/>
      <c r="V20" s="227"/>
    </row>
    <row r="21" spans="1:22 16381:16381" ht="17.25" customHeight="1">
      <c r="A21" s="227"/>
      <c r="B21" s="227"/>
      <c r="C21" s="227"/>
      <c r="D21" s="227"/>
      <c r="E21" s="163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227"/>
      <c r="N21" s="227"/>
      <c r="O21" s="227"/>
      <c r="P21" s="227"/>
      <c r="Q21" s="227"/>
      <c r="R21" s="227"/>
      <c r="S21" s="227"/>
      <c r="T21" s="227"/>
      <c r="U21" s="227">
        <f>ROW(E21)</f>
        <v>21</v>
      </c>
      <c r="V21" s="227"/>
    </row>
    <row r="22" spans="1:22 16381:16381" ht="18" customHeight="1">
      <c r="A22" s="227"/>
      <c r="B22" s="227"/>
      <c r="C22" s="227"/>
      <c r="D22" s="227"/>
      <c r="E22" s="201"/>
      <c r="F22" s="246" t="str">
        <f>GT_GS1&amp;CBGS1</f>
        <v>Ông: Trần Trọng Liêm</v>
      </c>
      <c r="G22" s="39"/>
      <c r="I22" s="435" t="str">
        <f>"Chức vụ: "&amp;CV_CBGS1</f>
        <v>Chức vụ: Giám sát trưởng</v>
      </c>
      <c r="K22" s="201"/>
      <c r="L22" s="201"/>
      <c r="M22" s="227"/>
      <c r="N22" s="227"/>
      <c r="O22" s="227"/>
      <c r="P22" s="227"/>
      <c r="Q22" s="227"/>
      <c r="R22" s="227"/>
      <c r="S22" s="227"/>
      <c r="T22" s="227"/>
      <c r="U22" s="227"/>
      <c r="V22" s="227"/>
    </row>
    <row r="23" spans="1:22 16381:16381" ht="17.25" customHeight="1">
      <c r="A23" s="227"/>
      <c r="B23" s="227"/>
      <c r="C23" s="227"/>
      <c r="D23" s="227"/>
      <c r="E23" s="1632" t="str">
        <f>"b. Đại diện "&amp;LOWER(MID(Td_DVTC,1,1))&amp;MID(Td_DVTC,2,LEN(Td_DVTC))&amp;": "&amp;DVTC</f>
        <v>b. Đại diện đơn vị thi công: Công ty TNHH Xây dựng Thịnh Dũng</v>
      </c>
      <c r="F23" s="1524"/>
      <c r="G23" s="1524"/>
      <c r="H23" s="1524"/>
      <c r="I23" s="1524"/>
      <c r="J23" s="1524"/>
      <c r="K23" s="1524"/>
      <c r="L23" s="1524"/>
      <c r="M23" s="227"/>
      <c r="N23" s="227"/>
      <c r="O23" s="227"/>
      <c r="P23" s="227"/>
      <c r="Q23" s="227"/>
      <c r="R23" s="227"/>
      <c r="S23" s="227"/>
      <c r="T23" s="227"/>
      <c r="U23" s="227">
        <f>ROW(E23)</f>
        <v>23</v>
      </c>
      <c r="V23" s="227"/>
    </row>
    <row r="24" spans="1:22 16381:16381" ht="18" customHeight="1">
      <c r="A24" s="227"/>
      <c r="B24" s="227"/>
      <c r="C24" s="227"/>
      <c r="D24" s="227"/>
      <c r="E24" s="201"/>
      <c r="F24" s="62" t="str">
        <f>GT_CBKT1&amp;CBKT1</f>
        <v>Ông: Hoàng Đình Tảng</v>
      </c>
      <c r="G24" s="62"/>
      <c r="H24" s="63"/>
      <c r="I24" s="51" t="str">
        <f>"Chức vụ: "&amp;CV_CBKT1</f>
        <v>Chức vụ: Chỉ huy công trường</v>
      </c>
      <c r="K24" s="201"/>
      <c r="L24" s="201"/>
      <c r="M24" s="227"/>
      <c r="N24" s="227"/>
      <c r="O24" s="227"/>
      <c r="P24" s="227"/>
      <c r="Q24" s="227"/>
      <c r="R24" s="227"/>
      <c r="S24" s="227"/>
      <c r="T24" s="227"/>
      <c r="U24" s="227"/>
      <c r="V24" s="227"/>
    </row>
    <row r="25" spans="1:22 16381:16381" ht="6.75" customHeight="1">
      <c r="A25" s="227"/>
      <c r="B25" s="227"/>
      <c r="C25" s="227"/>
      <c r="D25" s="227"/>
      <c r="E25" s="201"/>
      <c r="F25" s="61"/>
      <c r="G25" s="62"/>
      <c r="H25" s="63"/>
      <c r="I25" s="51"/>
      <c r="K25" s="201"/>
      <c r="L25" s="201"/>
      <c r="M25" s="227"/>
      <c r="N25" s="227"/>
      <c r="O25" s="227"/>
      <c r="P25" s="227"/>
      <c r="Q25" s="227"/>
      <c r="R25" s="227"/>
      <c r="S25" s="227"/>
      <c r="T25" s="227"/>
      <c r="U25" s="227"/>
      <c r="V25" s="227"/>
    </row>
    <row r="26" spans="1:22 16381:16381" ht="18" customHeight="1">
      <c r="A26" s="227"/>
      <c r="B26" s="227"/>
      <c r="C26" s="227"/>
      <c r="D26" s="227"/>
      <c r="E26" s="204" t="s">
        <v>3893</v>
      </c>
      <c r="F26" s="205" t="s">
        <v>3894</v>
      </c>
      <c r="G26" s="201"/>
      <c r="H26" s="201"/>
      <c r="I26" s="209"/>
      <c r="J26" s="209"/>
      <c r="K26" s="209"/>
      <c r="L26" s="201"/>
      <c r="M26" s="227"/>
      <c r="N26" s="227"/>
      <c r="O26" s="227"/>
      <c r="P26" s="227"/>
      <c r="Q26" s="227"/>
      <c r="R26" s="227"/>
      <c r="S26" s="227"/>
      <c r="T26" s="227"/>
      <c r="U26" s="227"/>
      <c r="V26" s="227"/>
    </row>
    <row r="27" spans="1:22 16381:16381" s="211" customFormat="1" ht="18" customHeight="1">
      <c r="A27" s="227"/>
      <c r="B27" s="227"/>
      <c r="C27" s="227"/>
      <c r="D27" s="227"/>
      <c r="E27" s="210"/>
      <c r="F27" s="1631" t="str">
        <f>" + Bắt đấu: ……. giờ ….. phút, "&amp;IFERROR(Doingay(VLOOKUP($N$2,lIST_DKDBT!$A$6:$H$700,6,0))," ngày ….. tháng ….. năm …..")</f>
        <v xml:space="preserve"> + Bắt đấu: ……. giờ ….. phút,  ngày 20 tháng 5 năm 2020</v>
      </c>
      <c r="G27" s="1631"/>
      <c r="H27" s="1631"/>
      <c r="I27" s="1631"/>
      <c r="J27" s="1631"/>
      <c r="K27" s="1631"/>
      <c r="L27" s="1631"/>
      <c r="M27" s="227"/>
      <c r="N27" s="227"/>
      <c r="O27" s="227"/>
      <c r="P27" s="227"/>
      <c r="Q27" s="227"/>
      <c r="R27" s="227"/>
      <c r="S27" s="227"/>
      <c r="T27" s="227"/>
      <c r="U27" s="227"/>
      <c r="V27" s="227"/>
    </row>
    <row r="28" spans="1:22 16381:16381" s="211" customFormat="1" ht="18" customHeight="1">
      <c r="A28" s="227"/>
      <c r="B28" s="227"/>
      <c r="C28" s="227"/>
      <c r="D28" s="227"/>
      <c r="E28" s="210"/>
      <c r="F28" s="1628" t="str">
        <f>" + Kết thúc: ……. giờ ….. phút, "&amp;IFERROR(Doingay(VLOOKUP($N$2,lIST_DKDBT!$A$6:$H$700,6,0))," ngày ….. tháng ….. năm …..")</f>
        <v xml:space="preserve"> + Kết thúc: ……. giờ ….. phút,  ngày 20 tháng 5 năm 2020</v>
      </c>
      <c r="G28" s="1628"/>
      <c r="H28" s="1628"/>
      <c r="I28" s="1628"/>
      <c r="J28" s="1628"/>
      <c r="K28" s="1628"/>
      <c r="L28" s="1628"/>
      <c r="M28" s="227"/>
      <c r="N28" s="227"/>
      <c r="O28" s="227"/>
      <c r="P28" s="227"/>
      <c r="Q28" s="227"/>
      <c r="R28" s="227"/>
      <c r="S28" s="227"/>
      <c r="T28" s="227"/>
      <c r="U28" s="227"/>
      <c r="V28" s="227"/>
    </row>
    <row r="29" spans="1:22 16381:16381" s="211" customFormat="1" ht="11.25" customHeight="1">
      <c r="A29" s="227"/>
      <c r="B29" s="227"/>
      <c r="C29" s="227"/>
      <c r="D29" s="227"/>
      <c r="E29" s="210"/>
      <c r="F29" s="718"/>
      <c r="G29" s="718"/>
      <c r="H29" s="718"/>
      <c r="I29" s="718"/>
      <c r="J29" s="718"/>
      <c r="K29" s="718"/>
      <c r="L29" s="718"/>
      <c r="M29" s="227"/>
      <c r="N29" s="227"/>
      <c r="O29" s="227"/>
      <c r="P29" s="227"/>
      <c r="Q29" s="227"/>
      <c r="R29" s="227"/>
      <c r="S29" s="227"/>
      <c r="T29" s="227"/>
      <c r="U29" s="227"/>
      <c r="V29" s="227"/>
    </row>
    <row r="30" spans="1:22 16381:16381" ht="16.5">
      <c r="A30" s="227"/>
      <c r="B30" s="227"/>
      <c r="C30" s="227"/>
      <c r="D30" s="227"/>
      <c r="E30" s="204" t="s">
        <v>3895</v>
      </c>
      <c r="F30" s="205" t="s">
        <v>4296</v>
      </c>
      <c r="G30" s="201"/>
      <c r="H30" s="201"/>
      <c r="I30" s="201"/>
      <c r="J30" s="201"/>
      <c r="K30" s="201"/>
      <c r="L30" s="201"/>
      <c r="M30" s="227"/>
      <c r="N30" s="227"/>
      <c r="O30" s="227"/>
      <c r="P30" s="227"/>
      <c r="Q30" s="227"/>
      <c r="R30" s="227"/>
      <c r="S30" s="227"/>
      <c r="T30" s="227"/>
      <c r="U30" s="227"/>
      <c r="V30" s="227"/>
    </row>
    <row r="31" spans="1:22 16381:16381" ht="36.6" customHeight="1">
      <c r="A31" s="227"/>
      <c r="B31" s="227"/>
      <c r="C31" s="227"/>
      <c r="D31" s="227"/>
      <c r="E31"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1" s="1620"/>
      <c r="G31" s="1620"/>
      <c r="H31" s="1620"/>
      <c r="I31" s="1620"/>
      <c r="J31" s="1620"/>
      <c r="K31" s="1620"/>
      <c r="L31" s="1620"/>
      <c r="M31" s="227"/>
      <c r="N31" s="227"/>
      <c r="O31" s="227"/>
      <c r="P31" s="227"/>
      <c r="Q31" s="227"/>
      <c r="R31" s="227"/>
      <c r="S31" s="227"/>
      <c r="T31" s="227"/>
      <c r="U31" s="227">
        <f>ROW(E31)</f>
        <v>31</v>
      </c>
      <c r="V31" s="227"/>
    </row>
    <row r="32" spans="1:22 16381:16381" ht="20.100000000000001" customHeight="1">
      <c r="A32" s="227"/>
      <c r="B32" s="227"/>
      <c r="C32" s="227"/>
      <c r="D32" s="227"/>
      <c r="E32" s="1621" t="s">
        <v>4298</v>
      </c>
      <c r="F32" s="1621"/>
      <c r="G32" s="1621"/>
      <c r="H32" s="1621"/>
      <c r="I32" s="1621"/>
      <c r="J32" s="1621"/>
      <c r="K32" s="1621"/>
      <c r="L32" s="1621"/>
      <c r="M32" s="227"/>
      <c r="N32" s="227"/>
      <c r="O32" s="227"/>
      <c r="P32" s="227"/>
      <c r="Q32" s="227"/>
      <c r="R32" s="227"/>
      <c r="S32" s="227"/>
      <c r="T32" s="227"/>
      <c r="U32" s="227">
        <f>ROW(E32)</f>
        <v>32</v>
      </c>
      <c r="V32" s="227"/>
    </row>
    <row r="33" spans="1:25" ht="53.1" customHeight="1">
      <c r="A33" s="227"/>
      <c r="B33" s="227"/>
      <c r="C33" s="227"/>
      <c r="D33" s="227"/>
      <c r="E33"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3" s="1621"/>
      <c r="G33" s="1621"/>
      <c r="H33" s="1621"/>
      <c r="I33" s="1621"/>
      <c r="J33" s="1621"/>
      <c r="K33" s="1621"/>
      <c r="L33" s="1621"/>
      <c r="M33" s="227"/>
      <c r="N33" s="227"/>
      <c r="O33" s="227"/>
      <c r="P33" s="227"/>
      <c r="Q33" s="227"/>
      <c r="R33" s="227"/>
      <c r="S33" s="227"/>
      <c r="T33" s="227"/>
      <c r="U33" s="227">
        <f>ROW(E33)</f>
        <v>33</v>
      </c>
      <c r="V33" s="227"/>
    </row>
    <row r="34" spans="1:25" ht="15" customHeight="1">
      <c r="A34" s="227"/>
      <c r="B34" s="227"/>
      <c r="C34" s="227"/>
      <c r="D34" s="227"/>
      <c r="E34" s="204" t="s">
        <v>3896</v>
      </c>
      <c r="F34" s="1636" t="s">
        <v>3897</v>
      </c>
      <c r="G34" s="1636"/>
      <c r="H34" s="212"/>
      <c r="I34" s="212"/>
      <c r="J34" s="212"/>
      <c r="K34" s="212"/>
      <c r="L34" s="212"/>
      <c r="M34" s="227"/>
      <c r="N34" s="227"/>
      <c r="O34" s="227"/>
      <c r="P34" s="227"/>
      <c r="Q34" s="227"/>
      <c r="R34" s="227"/>
      <c r="S34" s="227"/>
      <c r="T34" s="227"/>
      <c r="U34" s="227"/>
      <c r="V34" s="227"/>
      <c r="W34" s="213"/>
      <c r="X34" s="213"/>
      <c r="Y34" s="213"/>
    </row>
    <row r="35" spans="1:25" ht="15" hidden="1" customHeight="1">
      <c r="A35" s="227"/>
      <c r="B35" s="227"/>
      <c r="C35" s="227"/>
      <c r="D35" s="227"/>
      <c r="E35" s="204"/>
      <c r="F35" s="1637" t="s">
        <v>4297</v>
      </c>
      <c r="G35" s="1637"/>
      <c r="H35" s="1637"/>
      <c r="I35" s="1637"/>
      <c r="J35" s="1637"/>
      <c r="K35" s="1637"/>
      <c r="L35" s="212"/>
      <c r="M35" s="227"/>
      <c r="N35" s="227"/>
      <c r="O35" s="227"/>
      <c r="P35" s="227"/>
      <c r="Q35" s="227"/>
      <c r="R35" s="227"/>
      <c r="S35" s="227"/>
      <c r="T35" s="227"/>
      <c r="U35" s="227"/>
      <c r="V35" s="227"/>
      <c r="W35" s="213"/>
      <c r="X35" s="213"/>
      <c r="Y35" s="213"/>
    </row>
    <row r="36" spans="1:25" ht="15" hidden="1" customHeight="1">
      <c r="A36" s="227"/>
      <c r="B36" s="227"/>
      <c r="C36" s="227"/>
      <c r="D36" s="227"/>
      <c r="E36" s="204"/>
      <c r="F36" s="1638"/>
      <c r="G36" s="1638"/>
      <c r="H36" s="1638"/>
      <c r="I36" s="1638"/>
      <c r="J36" s="1638"/>
      <c r="K36" s="1638"/>
      <c r="L36" s="212"/>
      <c r="M36" s="227"/>
      <c r="N36" s="227"/>
      <c r="O36" s="227"/>
      <c r="P36" s="227"/>
      <c r="Q36" s="227"/>
      <c r="R36" s="227"/>
      <c r="S36" s="227"/>
      <c r="T36" s="227"/>
      <c r="U36" s="227"/>
      <c r="V36" s="227"/>
      <c r="W36" s="213"/>
      <c r="X36" s="213"/>
      <c r="Y36" s="213"/>
    </row>
    <row r="37" spans="1:25" ht="15" hidden="1" customHeight="1">
      <c r="A37" s="227"/>
      <c r="B37" s="227"/>
      <c r="C37" s="227"/>
      <c r="D37" s="227"/>
      <c r="E37" s="204"/>
      <c r="F37" s="1638"/>
      <c r="G37" s="1638"/>
      <c r="H37" s="1638"/>
      <c r="I37" s="1638"/>
      <c r="J37" s="1638"/>
      <c r="K37" s="1638"/>
      <c r="L37" s="212"/>
      <c r="M37" s="227"/>
      <c r="N37" s="227"/>
      <c r="O37" s="227"/>
      <c r="P37" s="227"/>
      <c r="Q37" s="227"/>
      <c r="R37" s="227"/>
      <c r="S37" s="227"/>
      <c r="T37" s="227"/>
      <c r="U37" s="227"/>
      <c r="V37" s="227"/>
      <c r="W37" s="213"/>
      <c r="X37" s="213"/>
      <c r="Y37" s="213"/>
    </row>
    <row r="38" spans="1:25" ht="15" hidden="1" customHeight="1">
      <c r="A38" s="227"/>
      <c r="B38" s="227"/>
      <c r="C38" s="227"/>
      <c r="D38" s="227"/>
      <c r="E38" s="204"/>
      <c r="F38" s="1638"/>
      <c r="G38" s="1638"/>
      <c r="H38" s="1638"/>
      <c r="I38" s="1638"/>
      <c r="J38" s="1638"/>
      <c r="K38" s="1638"/>
      <c r="L38" s="212"/>
      <c r="M38" s="227"/>
      <c r="N38" s="227"/>
      <c r="O38" s="227"/>
      <c r="P38" s="227"/>
      <c r="Q38" s="227"/>
      <c r="R38" s="227"/>
      <c r="S38" s="227"/>
      <c r="T38" s="227"/>
      <c r="U38" s="227"/>
      <c r="V38" s="227"/>
      <c r="W38" s="213"/>
      <c r="X38" s="213"/>
      <c r="Y38" s="213"/>
    </row>
    <row r="39" spans="1:25" ht="15" hidden="1" customHeight="1">
      <c r="A39" s="227"/>
      <c r="B39" s="227"/>
      <c r="C39" s="227"/>
      <c r="D39" s="227"/>
      <c r="E39" s="204"/>
      <c r="F39" s="1638"/>
      <c r="G39" s="1638"/>
      <c r="H39" s="1638"/>
      <c r="I39" s="1638"/>
      <c r="J39" s="1638"/>
      <c r="K39" s="1638"/>
      <c r="L39" s="212"/>
      <c r="M39" s="227"/>
      <c r="N39" s="227"/>
      <c r="O39" s="227"/>
      <c r="P39" s="227"/>
      <c r="Q39" s="227"/>
      <c r="R39" s="227"/>
      <c r="S39" s="227"/>
      <c r="T39" s="227"/>
      <c r="U39" s="227"/>
      <c r="V39" s="227"/>
      <c r="W39" s="213"/>
      <c r="X39" s="213"/>
      <c r="Y39" s="213"/>
    </row>
    <row r="40" spans="1:25" ht="15" hidden="1" customHeight="1">
      <c r="A40" s="227"/>
      <c r="B40" s="227"/>
      <c r="C40" s="227"/>
      <c r="D40" s="227"/>
      <c r="E40" s="204"/>
      <c r="F40" s="1638"/>
      <c r="G40" s="1638"/>
      <c r="H40" s="1638"/>
      <c r="I40" s="1638"/>
      <c r="J40" s="1638"/>
      <c r="K40" s="1638"/>
      <c r="L40" s="212"/>
      <c r="M40" s="227"/>
      <c r="N40" s="227"/>
      <c r="O40" s="227"/>
      <c r="P40" s="227"/>
      <c r="Q40" s="227"/>
      <c r="R40" s="227"/>
      <c r="S40" s="227"/>
      <c r="T40" s="227"/>
      <c r="U40" s="227"/>
      <c r="V40" s="227"/>
      <c r="W40" s="213"/>
      <c r="X40" s="213"/>
      <c r="Y40" s="213"/>
    </row>
    <row r="41" spans="1:25" ht="15" hidden="1" customHeight="1">
      <c r="A41" s="227"/>
      <c r="B41" s="227"/>
      <c r="C41" s="227"/>
      <c r="D41" s="227"/>
      <c r="E41" s="204"/>
      <c r="F41" s="1638"/>
      <c r="G41" s="1638"/>
      <c r="H41" s="1638"/>
      <c r="I41" s="1638"/>
      <c r="J41" s="1638"/>
      <c r="K41" s="1638"/>
      <c r="L41" s="212"/>
      <c r="M41" s="227"/>
      <c r="N41" s="227"/>
      <c r="O41" s="227"/>
      <c r="P41" s="227"/>
      <c r="Q41" s="227"/>
      <c r="R41" s="227"/>
      <c r="S41" s="227"/>
      <c r="T41" s="227"/>
      <c r="U41" s="227"/>
      <c r="V41" s="227"/>
      <c r="W41" s="213"/>
      <c r="X41" s="213"/>
      <c r="Y41" s="213"/>
    </row>
    <row r="42" spans="1:25" ht="15" hidden="1" customHeight="1">
      <c r="A42" s="227"/>
      <c r="B42" s="227"/>
      <c r="C42" s="227"/>
      <c r="D42" s="227"/>
      <c r="E42" s="204"/>
      <c r="F42" s="1638"/>
      <c r="G42" s="1638"/>
      <c r="H42" s="1638"/>
      <c r="I42" s="1638"/>
      <c r="J42" s="1638"/>
      <c r="K42" s="1638"/>
      <c r="L42" s="212"/>
      <c r="M42" s="227"/>
      <c r="N42" s="227"/>
      <c r="O42" s="227"/>
      <c r="P42" s="227"/>
      <c r="Q42" s="227"/>
      <c r="R42" s="227"/>
      <c r="S42" s="227"/>
      <c r="T42" s="227"/>
      <c r="U42" s="227"/>
      <c r="V42" s="227"/>
      <c r="W42" s="213"/>
      <c r="X42" s="213"/>
      <c r="Y42" s="213"/>
    </row>
    <row r="43" spans="1:25" ht="15" hidden="1" customHeight="1">
      <c r="A43" s="227"/>
      <c r="B43" s="227"/>
      <c r="C43" s="227"/>
      <c r="D43" s="227"/>
      <c r="E43" s="204"/>
      <c r="F43" s="1638"/>
      <c r="G43" s="1638"/>
      <c r="H43" s="1638"/>
      <c r="I43" s="1638"/>
      <c r="J43" s="1638"/>
      <c r="K43" s="1638"/>
      <c r="L43" s="212"/>
      <c r="M43" s="227"/>
      <c r="N43" s="227"/>
      <c r="O43" s="227"/>
      <c r="P43" s="227"/>
      <c r="Q43" s="227"/>
      <c r="R43" s="227"/>
      <c r="S43" s="227"/>
      <c r="T43" s="227"/>
      <c r="U43" s="227"/>
      <c r="V43" s="227"/>
      <c r="W43" s="213"/>
      <c r="X43" s="213"/>
      <c r="Y43" s="213"/>
    </row>
    <row r="44" spans="1:25" ht="15" hidden="1" customHeight="1">
      <c r="A44" s="227"/>
      <c r="B44" s="227"/>
      <c r="C44" s="227"/>
      <c r="D44" s="227"/>
      <c r="E44" s="204"/>
      <c r="F44" s="1650"/>
      <c r="G44" s="1650"/>
      <c r="H44" s="1650"/>
      <c r="I44" s="1650"/>
      <c r="J44" s="1650"/>
      <c r="K44" s="1650"/>
      <c r="L44" s="212"/>
      <c r="M44" s="227"/>
      <c r="N44" s="227"/>
      <c r="O44" s="227"/>
      <c r="P44" s="227"/>
      <c r="Q44" s="227"/>
      <c r="R44" s="227"/>
      <c r="S44" s="227"/>
      <c r="T44" s="227"/>
      <c r="U44" s="227"/>
      <c r="V44" s="227"/>
      <c r="W44" s="213"/>
      <c r="X44" s="213"/>
      <c r="Y44" s="213"/>
    </row>
    <row r="45" spans="1:25" s="211" customFormat="1" ht="16.5">
      <c r="A45" s="227"/>
      <c r="B45" s="227"/>
      <c r="C45" s="227"/>
      <c r="D45" s="227"/>
      <c r="E45" s="210"/>
      <c r="F45" s="1646" t="s">
        <v>21</v>
      </c>
      <c r="G45" s="1639" t="s">
        <v>3897</v>
      </c>
      <c r="H45" s="1640"/>
      <c r="I45" s="1647" t="s">
        <v>4303</v>
      </c>
      <c r="J45" s="1648"/>
      <c r="K45" s="1644" t="s">
        <v>20</v>
      </c>
      <c r="L45" s="210"/>
      <c r="M45" s="227"/>
      <c r="N45" s="227"/>
      <c r="O45" s="227"/>
      <c r="P45" s="227"/>
      <c r="Q45" s="227"/>
      <c r="R45" s="227"/>
      <c r="S45" s="227"/>
      <c r="T45" s="227"/>
      <c r="U45" s="227"/>
      <c r="V45" s="227"/>
    </row>
    <row r="46" spans="1:25" s="211" customFormat="1" ht="16.5">
      <c r="A46" s="227"/>
      <c r="B46" s="227"/>
      <c r="C46" s="227"/>
      <c r="D46" s="227"/>
      <c r="E46" s="210"/>
      <c r="F46" s="1646"/>
      <c r="G46" s="1641"/>
      <c r="H46" s="1642"/>
      <c r="I46" s="431" t="s">
        <v>3899</v>
      </c>
      <c r="J46" s="430" t="s">
        <v>4307</v>
      </c>
      <c r="K46" s="1645"/>
      <c r="L46" s="210"/>
      <c r="M46" s="227"/>
      <c r="N46" s="227"/>
      <c r="O46" s="227"/>
      <c r="P46" s="227"/>
      <c r="Q46" s="227"/>
      <c r="R46" s="227"/>
      <c r="S46" s="227"/>
      <c r="T46" s="227"/>
      <c r="U46" s="227"/>
      <c r="V46" s="227"/>
    </row>
    <row r="47" spans="1:25" s="211" customFormat="1" ht="36" customHeight="1">
      <c r="A47" s="227"/>
      <c r="B47" s="227"/>
      <c r="C47" s="227"/>
      <c r="D47" s="227"/>
      <c r="E47" s="210"/>
      <c r="F47" s="624">
        <v>1</v>
      </c>
      <c r="G47" s="1643" t="s">
        <v>4344</v>
      </c>
      <c r="H47" s="1643"/>
      <c r="I47" s="630" t="s">
        <v>3900</v>
      </c>
      <c r="J47" s="628" t="s">
        <v>3901</v>
      </c>
      <c r="K47" s="628"/>
      <c r="L47" s="210"/>
      <c r="M47" s="227"/>
      <c r="N47" s="227"/>
      <c r="O47" s="227"/>
      <c r="P47" s="227"/>
      <c r="Q47" s="227"/>
      <c r="R47" s="227"/>
      <c r="S47" s="227"/>
      <c r="T47" s="227"/>
      <c r="U47" s="227"/>
      <c r="V47" s="227"/>
    </row>
    <row r="48" spans="1:25" s="211" customFormat="1" ht="46.5" customHeight="1">
      <c r="A48" s="227"/>
      <c r="B48" s="227"/>
      <c r="C48" s="227"/>
      <c r="D48" s="227"/>
      <c r="E48" s="210"/>
      <c r="F48" s="624">
        <v>2</v>
      </c>
      <c r="G48" s="1643" t="s">
        <v>4345</v>
      </c>
      <c r="H48" s="1643"/>
      <c r="I48" s="630" t="s">
        <v>3900</v>
      </c>
      <c r="J48" s="628" t="s">
        <v>3901</v>
      </c>
      <c r="K48" s="628"/>
      <c r="L48" s="201"/>
      <c r="M48" s="227"/>
      <c r="N48" s="227"/>
      <c r="O48" s="227"/>
      <c r="P48" s="227"/>
      <c r="Q48" s="227"/>
      <c r="R48" s="227"/>
      <c r="S48" s="227"/>
      <c r="T48" s="227"/>
      <c r="U48" s="227"/>
      <c r="V48" s="227"/>
    </row>
    <row r="49" spans="1:25" s="211" customFormat="1" ht="9.75" customHeight="1">
      <c r="A49" s="227"/>
      <c r="B49" s="227"/>
      <c r="C49" s="227"/>
      <c r="D49" s="227"/>
      <c r="E49" s="204"/>
      <c r="F49" s="629"/>
      <c r="G49" s="310"/>
      <c r="H49" s="313"/>
      <c r="I49" s="311"/>
      <c r="J49" s="312"/>
      <c r="K49" s="312"/>
      <c r="L49" s="201"/>
      <c r="M49" s="227"/>
      <c r="N49" s="227"/>
      <c r="O49" s="227"/>
      <c r="P49" s="227"/>
      <c r="Q49" s="227"/>
      <c r="R49" s="227"/>
      <c r="S49" s="227"/>
      <c r="T49" s="227"/>
      <c r="U49" s="227"/>
      <c r="V49" s="227"/>
    </row>
    <row r="50" spans="1:25" s="211" customFormat="1" ht="16.5">
      <c r="A50" s="227"/>
      <c r="B50" s="227"/>
      <c r="C50" s="227"/>
      <c r="D50" s="227"/>
      <c r="E50" s="223" t="str">
        <f>IF(E49&lt;&gt;"","7/","6/")</f>
        <v>6/</v>
      </c>
      <c r="F50" s="208" t="s">
        <v>3902</v>
      </c>
      <c r="G50" s="224"/>
      <c r="H50" s="224"/>
      <c r="I50" s="224"/>
      <c r="J50" s="224"/>
      <c r="K50" s="210"/>
      <c r="L50" s="210"/>
      <c r="M50" s="227"/>
      <c r="N50" s="227"/>
      <c r="O50" s="227"/>
      <c r="P50" s="227"/>
      <c r="Q50" s="227"/>
      <c r="R50" s="227"/>
      <c r="S50" s="227"/>
      <c r="T50" s="227"/>
      <c r="U50" s="227"/>
      <c r="V50" s="227"/>
    </row>
    <row r="51" spans="1:25" s="211" customFormat="1" ht="20.25" customHeight="1">
      <c r="A51" s="227"/>
      <c r="B51" s="227"/>
      <c r="C51" s="227"/>
      <c r="D51" s="227"/>
      <c r="E51" s="223" t="str">
        <f>IF(E49&lt;&gt;"","8/","7/")</f>
        <v>7/</v>
      </c>
      <c r="F51" s="208" t="s">
        <v>4391</v>
      </c>
      <c r="G51" s="225"/>
      <c r="H51" s="225"/>
      <c r="I51" s="225"/>
      <c r="J51" s="225"/>
      <c r="K51" s="210"/>
      <c r="L51" s="210"/>
      <c r="M51" s="227"/>
      <c r="N51" s="227"/>
      <c r="O51" s="227"/>
      <c r="P51" s="227"/>
      <c r="Q51" s="227"/>
      <c r="R51" s="227"/>
      <c r="S51" s="227"/>
      <c r="T51" s="227"/>
      <c r="U51" s="227"/>
      <c r="V51" s="227"/>
      <c r="W51" s="1634"/>
      <c r="X51" s="1634"/>
      <c r="Y51" s="1634"/>
    </row>
    <row r="52" spans="1:25" ht="16.5">
      <c r="A52" s="227"/>
      <c r="B52" s="227"/>
      <c r="C52" s="227"/>
      <c r="D52" s="227"/>
      <c r="E52" s="1635" t="s">
        <v>446</v>
      </c>
      <c r="F52" s="1635"/>
      <c r="G52" s="1635"/>
      <c r="H52" s="256"/>
      <c r="I52" s="1635" t="s">
        <v>447</v>
      </c>
      <c r="J52" s="1635"/>
      <c r="K52" s="1635"/>
      <c r="L52" s="1635"/>
      <c r="M52" s="227"/>
      <c r="N52" s="227"/>
      <c r="O52" s="227"/>
      <c r="P52" s="227"/>
      <c r="Q52" s="227"/>
      <c r="R52" s="227"/>
      <c r="S52" s="227"/>
      <c r="T52" s="227"/>
      <c r="U52" s="227"/>
      <c r="V52" s="227"/>
    </row>
    <row r="53" spans="1:25" ht="16.5">
      <c r="A53" s="227"/>
      <c r="B53" s="227"/>
      <c r="C53" s="227"/>
      <c r="D53" s="227"/>
      <c r="E53" s="224"/>
      <c r="F53" s="224"/>
      <c r="G53" s="434"/>
      <c r="H53" s="434"/>
      <c r="I53" s="224"/>
      <c r="J53" s="224"/>
      <c r="K53" s="224"/>
      <c r="L53" s="224"/>
      <c r="M53" s="227"/>
      <c r="N53" s="227"/>
      <c r="O53" s="227"/>
      <c r="P53" s="227"/>
      <c r="Q53" s="227"/>
      <c r="R53" s="227"/>
      <c r="S53" s="227"/>
      <c r="T53" s="227"/>
      <c r="U53" s="227"/>
      <c r="V53" s="227"/>
    </row>
    <row r="54" spans="1:25" ht="16.5">
      <c r="A54" s="227"/>
      <c r="B54" s="227"/>
      <c r="C54" s="227"/>
      <c r="D54" s="227"/>
      <c r="E54" s="224"/>
      <c r="F54" s="224"/>
      <c r="G54" s="434"/>
      <c r="H54" s="434"/>
      <c r="I54" s="224"/>
      <c r="J54" s="224"/>
      <c r="K54" s="224"/>
      <c r="L54" s="224"/>
      <c r="M54" s="227"/>
      <c r="N54" s="227"/>
      <c r="O54" s="227"/>
      <c r="P54" s="227"/>
      <c r="Q54" s="227"/>
      <c r="R54" s="227"/>
      <c r="S54" s="227"/>
      <c r="T54" s="227"/>
      <c r="U54" s="227"/>
      <c r="V54" s="227"/>
    </row>
    <row r="55" spans="1:25" ht="16.5">
      <c r="A55" s="227"/>
      <c r="B55" s="227"/>
      <c r="C55" s="227"/>
      <c r="D55" s="227"/>
      <c r="E55" s="224"/>
      <c r="F55" s="224"/>
      <c r="G55" s="434"/>
      <c r="H55" s="434"/>
      <c r="I55" s="224"/>
      <c r="J55" s="224"/>
      <c r="K55" s="224"/>
      <c r="L55" s="224"/>
      <c r="M55" s="227"/>
      <c r="N55" s="227"/>
      <c r="O55" s="227"/>
      <c r="P55" s="227"/>
      <c r="Q55" s="227"/>
      <c r="R55" s="227"/>
      <c r="S55" s="227"/>
      <c r="T55" s="227"/>
      <c r="U55" s="227"/>
      <c r="V55" s="227"/>
    </row>
    <row r="56" spans="1:25" ht="16.5">
      <c r="A56" s="227"/>
      <c r="B56" s="227"/>
      <c r="C56" s="227"/>
      <c r="D56" s="227"/>
      <c r="E56" s="224"/>
      <c r="F56" s="224"/>
      <c r="G56" s="224"/>
      <c r="H56" s="224"/>
      <c r="I56" s="224"/>
      <c r="J56" s="224"/>
      <c r="K56" s="224"/>
      <c r="L56" s="224"/>
      <c r="M56" s="227"/>
      <c r="N56" s="227"/>
      <c r="O56" s="227"/>
      <c r="P56" s="227"/>
      <c r="Q56" s="227"/>
      <c r="R56" s="227"/>
      <c r="S56" s="227"/>
      <c r="T56" s="227"/>
      <c r="U56" s="227"/>
      <c r="V56" s="227"/>
    </row>
    <row r="57" spans="1:25" ht="16.5">
      <c r="A57" s="227"/>
      <c r="B57" s="227"/>
      <c r="C57" s="227"/>
      <c r="D57" s="227"/>
      <c r="E57" s="1635" t="str">
        <f>CBGS1</f>
        <v>Trần Trọng Liêm</v>
      </c>
      <c r="F57" s="1635"/>
      <c r="G57" s="1635"/>
      <c r="H57" s="256"/>
      <c r="I57" s="1635" t="str">
        <f>CBKT1</f>
        <v>Hoàng Đình Tảng</v>
      </c>
      <c r="J57" s="1635"/>
      <c r="K57" s="1635"/>
      <c r="L57" s="1635"/>
      <c r="M57" s="227"/>
      <c r="N57" s="227"/>
      <c r="O57" s="227"/>
      <c r="P57" s="227"/>
      <c r="Q57" s="227"/>
      <c r="R57" s="227"/>
      <c r="S57" s="227"/>
      <c r="T57" s="227"/>
      <c r="U57" s="227"/>
      <c r="V57" s="227"/>
    </row>
    <row r="58" spans="1:25" ht="16.5">
      <c r="A58" s="227"/>
      <c r="B58" s="227"/>
      <c r="C58" s="227"/>
      <c r="D58" s="227"/>
      <c r="E58" s="227"/>
      <c r="F58" s="227"/>
      <c r="G58" s="227"/>
      <c r="H58" s="227"/>
      <c r="I58" s="227"/>
      <c r="J58" s="227"/>
      <c r="K58" s="227"/>
      <c r="L58" s="227"/>
      <c r="M58" s="227"/>
      <c r="N58" s="227"/>
      <c r="O58" s="227"/>
      <c r="P58" s="227"/>
      <c r="Q58" s="227"/>
      <c r="R58" s="227"/>
      <c r="S58" s="227"/>
      <c r="T58" s="227"/>
      <c r="U58" s="227"/>
      <c r="V58" s="227"/>
    </row>
    <row r="59" spans="1:25" ht="16.5">
      <c r="A59" s="227"/>
      <c r="B59" s="227"/>
      <c r="C59" s="227"/>
      <c r="D59" s="227"/>
      <c r="E59" s="227"/>
      <c r="F59" s="227"/>
      <c r="G59" s="227"/>
      <c r="H59" s="227"/>
      <c r="I59" s="227"/>
      <c r="J59" s="227"/>
      <c r="K59" s="227"/>
      <c r="L59" s="227"/>
      <c r="M59" s="227"/>
      <c r="N59" s="227"/>
      <c r="O59" s="227"/>
      <c r="P59" s="227"/>
      <c r="Q59" s="227"/>
      <c r="R59" s="227"/>
      <c r="S59" s="227"/>
      <c r="T59" s="227"/>
      <c r="U59" s="227"/>
      <c r="V59" s="227"/>
    </row>
    <row r="60" spans="1:25" ht="16.5">
      <c r="A60" s="227"/>
      <c r="B60" s="227"/>
      <c r="C60" s="227"/>
      <c r="D60" s="227"/>
      <c r="E60" s="227"/>
      <c r="F60" s="227"/>
      <c r="G60" s="227"/>
      <c r="H60" s="227"/>
      <c r="I60" s="227"/>
      <c r="J60" s="227"/>
      <c r="K60" s="227"/>
      <c r="L60" s="227"/>
      <c r="M60" s="227"/>
      <c r="N60" s="227"/>
      <c r="O60" s="227"/>
      <c r="P60" s="227"/>
      <c r="Q60" s="227"/>
      <c r="R60" s="227"/>
      <c r="S60" s="227"/>
      <c r="T60" s="227"/>
      <c r="U60" s="227"/>
      <c r="V60" s="227"/>
    </row>
    <row r="61" spans="1:25" ht="16.5">
      <c r="A61" s="227"/>
      <c r="B61" s="227"/>
      <c r="C61" s="227"/>
      <c r="D61" s="227"/>
      <c r="E61" s="227"/>
      <c r="F61" s="227"/>
      <c r="G61" s="227"/>
      <c r="H61" s="227"/>
      <c r="I61" s="227"/>
      <c r="J61" s="227"/>
      <c r="K61" s="227"/>
      <c r="L61" s="227"/>
      <c r="M61" s="227"/>
      <c r="N61" s="227"/>
      <c r="O61" s="227"/>
      <c r="P61" s="227"/>
      <c r="Q61" s="227"/>
      <c r="R61" s="227"/>
      <c r="S61" s="227"/>
      <c r="T61" s="227"/>
      <c r="U61" s="227"/>
      <c r="V61" s="227"/>
    </row>
    <row r="62" spans="1:25" ht="16.5">
      <c r="A62" s="227"/>
      <c r="B62" s="227"/>
      <c r="C62" s="227"/>
      <c r="D62" s="227"/>
      <c r="E62" s="227"/>
      <c r="F62" s="227"/>
      <c r="G62" s="227"/>
      <c r="H62" s="227"/>
      <c r="I62" s="227"/>
      <c r="J62" s="227"/>
      <c r="K62" s="227"/>
      <c r="L62" s="227"/>
      <c r="M62" s="227"/>
      <c r="N62" s="227"/>
      <c r="O62" s="227"/>
      <c r="P62" s="227"/>
      <c r="Q62" s="227"/>
      <c r="R62" s="227"/>
      <c r="S62" s="227"/>
      <c r="T62" s="227"/>
      <c r="U62" s="227"/>
      <c r="V62" s="227"/>
    </row>
    <row r="63" spans="1:25" ht="16.5">
      <c r="A63" s="227"/>
      <c r="B63" s="227"/>
      <c r="C63" s="227"/>
      <c r="D63" s="227"/>
      <c r="E63" s="227"/>
      <c r="F63" s="227"/>
      <c r="G63" s="227"/>
      <c r="H63" s="227"/>
      <c r="I63" s="227"/>
      <c r="J63" s="227"/>
      <c r="K63" s="227"/>
      <c r="L63" s="227"/>
      <c r="M63" s="227"/>
      <c r="N63" s="227"/>
      <c r="O63" s="227"/>
      <c r="P63" s="227"/>
      <c r="Q63" s="227"/>
      <c r="R63" s="227"/>
      <c r="S63" s="227"/>
      <c r="T63" s="227"/>
      <c r="U63" s="227"/>
      <c r="V63" s="227"/>
    </row>
    <row r="64" spans="1:25" ht="16.5">
      <c r="A64" s="227"/>
      <c r="B64" s="227"/>
      <c r="C64" s="227"/>
      <c r="D64" s="227"/>
      <c r="E64" s="227"/>
      <c r="F64" s="227"/>
      <c r="G64" s="227"/>
      <c r="H64" s="227"/>
      <c r="I64" s="227"/>
      <c r="J64" s="227"/>
      <c r="K64" s="227"/>
      <c r="L64" s="227"/>
      <c r="M64" s="227"/>
      <c r="N64" s="227"/>
      <c r="O64" s="227"/>
      <c r="P64" s="227"/>
      <c r="Q64" s="227"/>
      <c r="R64" s="227"/>
      <c r="S64" s="227"/>
      <c r="T64" s="227"/>
      <c r="U64" s="227"/>
      <c r="V64" s="227"/>
    </row>
    <row r="65" spans="1:22" ht="16.5">
      <c r="A65" s="227"/>
      <c r="B65" s="227"/>
      <c r="C65" s="227"/>
      <c r="D65" s="227"/>
      <c r="E65" s="227"/>
      <c r="F65" s="227"/>
      <c r="G65" s="227"/>
      <c r="H65" s="227"/>
      <c r="I65" s="227"/>
      <c r="J65" s="227"/>
      <c r="K65" s="227"/>
      <c r="L65" s="227"/>
      <c r="M65" s="227"/>
      <c r="N65" s="227"/>
      <c r="O65" s="227"/>
      <c r="P65" s="227"/>
      <c r="Q65" s="227"/>
      <c r="R65" s="227"/>
      <c r="S65" s="227"/>
      <c r="T65" s="227"/>
      <c r="U65" s="227"/>
      <c r="V65" s="227"/>
    </row>
    <row r="66" spans="1:22" ht="16.5">
      <c r="A66" s="227"/>
      <c r="B66" s="227"/>
      <c r="C66" s="227"/>
      <c r="D66" s="227"/>
      <c r="E66" s="227"/>
      <c r="F66" s="227"/>
      <c r="G66" s="227"/>
      <c r="H66" s="227"/>
      <c r="I66" s="227"/>
      <c r="J66" s="227"/>
      <c r="K66" s="227"/>
      <c r="L66" s="227"/>
      <c r="M66" s="227"/>
      <c r="N66" s="227"/>
      <c r="O66" s="227"/>
      <c r="P66" s="227"/>
      <c r="Q66" s="227"/>
      <c r="R66" s="227"/>
      <c r="S66" s="227"/>
      <c r="T66" s="227"/>
      <c r="U66" s="227"/>
      <c r="V66" s="227"/>
    </row>
    <row r="67" spans="1:22" ht="16.5">
      <c r="A67" s="227"/>
      <c r="B67" s="227"/>
      <c r="C67" s="227"/>
      <c r="D67" s="227"/>
      <c r="E67" s="227"/>
      <c r="F67" s="227"/>
      <c r="G67" s="227"/>
      <c r="H67" s="227"/>
      <c r="I67" s="227"/>
      <c r="J67" s="227"/>
      <c r="K67" s="227"/>
      <c r="L67" s="227"/>
      <c r="M67" s="227"/>
      <c r="N67" s="227"/>
      <c r="O67" s="227"/>
      <c r="P67" s="227"/>
      <c r="Q67" s="227"/>
      <c r="R67" s="227"/>
      <c r="S67" s="227"/>
      <c r="T67" s="227"/>
      <c r="U67" s="227"/>
      <c r="V67" s="227"/>
    </row>
    <row r="68" spans="1:22" ht="16.5">
      <c r="A68" s="227"/>
      <c r="B68" s="227"/>
      <c r="C68" s="227"/>
      <c r="D68" s="227"/>
      <c r="E68" s="227"/>
      <c r="F68" s="227"/>
      <c r="G68" s="227"/>
      <c r="H68" s="227"/>
      <c r="I68" s="227"/>
      <c r="J68" s="227"/>
      <c r="K68" s="227"/>
      <c r="L68" s="227"/>
      <c r="M68" s="227"/>
      <c r="N68" s="227"/>
      <c r="O68" s="227"/>
      <c r="P68" s="227"/>
      <c r="Q68" s="227"/>
      <c r="R68" s="227"/>
      <c r="S68" s="227"/>
      <c r="T68" s="227"/>
      <c r="U68" s="227"/>
      <c r="V68" s="227"/>
    </row>
    <row r="69" spans="1:22" ht="16.5">
      <c r="A69" s="227"/>
      <c r="B69" s="227"/>
      <c r="C69" s="227"/>
      <c r="D69" s="227"/>
      <c r="E69" s="227"/>
      <c r="F69" s="227"/>
      <c r="G69" s="227"/>
      <c r="H69" s="227"/>
      <c r="I69" s="227"/>
      <c r="J69" s="227"/>
      <c r="K69" s="227"/>
      <c r="L69" s="227"/>
      <c r="M69" s="227"/>
      <c r="N69" s="227"/>
      <c r="O69" s="227"/>
      <c r="P69" s="227"/>
      <c r="Q69" s="227"/>
      <c r="R69" s="227"/>
      <c r="S69" s="227"/>
      <c r="T69" s="227"/>
      <c r="U69" s="227"/>
      <c r="V69" s="227"/>
    </row>
    <row r="70" spans="1:22" ht="16.5">
      <c r="A70" s="227"/>
      <c r="B70" s="227"/>
      <c r="C70" s="227"/>
      <c r="D70" s="227"/>
      <c r="E70" s="227"/>
      <c r="F70" s="227"/>
      <c r="G70" s="227"/>
      <c r="H70" s="227"/>
      <c r="I70" s="227"/>
      <c r="J70" s="227"/>
      <c r="K70" s="227"/>
      <c r="L70" s="227"/>
      <c r="M70" s="227"/>
      <c r="N70" s="227"/>
      <c r="O70" s="227"/>
      <c r="P70" s="227"/>
      <c r="Q70" s="227"/>
      <c r="R70" s="227"/>
      <c r="S70" s="227"/>
      <c r="T70" s="227"/>
      <c r="U70" s="227"/>
      <c r="V70" s="227"/>
    </row>
    <row r="71" spans="1:22" ht="16.5">
      <c r="A71" s="227"/>
      <c r="B71" s="227"/>
      <c r="C71" s="227"/>
      <c r="D71" s="227"/>
      <c r="E71" s="227"/>
      <c r="F71" s="227"/>
      <c r="G71" s="227"/>
      <c r="H71" s="227"/>
      <c r="I71" s="227"/>
      <c r="J71" s="227"/>
      <c r="K71" s="227"/>
      <c r="L71" s="227"/>
      <c r="M71" s="227"/>
      <c r="N71" s="227"/>
      <c r="O71" s="227"/>
      <c r="P71" s="227"/>
      <c r="Q71" s="227"/>
      <c r="R71" s="227"/>
      <c r="S71" s="227"/>
      <c r="T71" s="227"/>
      <c r="U71" s="227"/>
      <c r="V71" s="227"/>
    </row>
    <row r="72" spans="1:22" ht="16.5">
      <c r="A72" s="227"/>
      <c r="B72" s="227"/>
      <c r="C72" s="227"/>
      <c r="D72" s="227"/>
      <c r="E72" s="227"/>
      <c r="F72" s="227"/>
      <c r="G72" s="227"/>
      <c r="H72" s="227"/>
      <c r="I72" s="227"/>
      <c r="J72" s="227"/>
      <c r="K72" s="227"/>
      <c r="L72" s="227"/>
      <c r="M72" s="227"/>
      <c r="N72" s="227"/>
      <c r="O72" s="227"/>
      <c r="P72" s="227"/>
      <c r="Q72" s="227"/>
      <c r="R72" s="227"/>
      <c r="S72" s="227"/>
      <c r="T72" s="227"/>
      <c r="U72" s="227"/>
      <c r="V72" s="227"/>
    </row>
  </sheetData>
  <mergeCells count="35">
    <mergeCell ref="W51:Y51"/>
    <mergeCell ref="E52:G52"/>
    <mergeCell ref="I52:L52"/>
    <mergeCell ref="E57:G57"/>
    <mergeCell ref="I57:L57"/>
    <mergeCell ref="G48:H48"/>
    <mergeCell ref="F34:G34"/>
    <mergeCell ref="F35:K35"/>
    <mergeCell ref="F36:K44"/>
    <mergeCell ref="F45:F46"/>
    <mergeCell ref="G45:H46"/>
    <mergeCell ref="I45:J45"/>
    <mergeCell ref="K45:K46"/>
    <mergeCell ref="G47:H47"/>
    <mergeCell ref="F27:L27"/>
    <mergeCell ref="E21:L21"/>
    <mergeCell ref="E23:L23"/>
    <mergeCell ref="E18:L18"/>
    <mergeCell ref="E19:L19"/>
    <mergeCell ref="E31:L31"/>
    <mergeCell ref="E32:L32"/>
    <mergeCell ref="E33:L33"/>
    <mergeCell ref="E8:L8"/>
    <mergeCell ref="E1:L1"/>
    <mergeCell ref="E2:L2"/>
    <mergeCell ref="E3:L3"/>
    <mergeCell ref="E5:L5"/>
    <mergeCell ref="E6:L6"/>
    <mergeCell ref="E7:L7"/>
    <mergeCell ref="F28:L28"/>
    <mergeCell ref="E10:L10"/>
    <mergeCell ref="E12:L12"/>
    <mergeCell ref="E13:L13"/>
    <mergeCell ref="E14:L14"/>
    <mergeCell ref="E15:L15"/>
  </mergeCells>
  <pageMargins left="0.82677165354330717" right="0.39370078740157483" top="0.39370078740157483" bottom="0.3149606299212598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01" r:id="rId4" name="Spinner 1">
              <controlPr defaultSize="0" autoPict="0" macro="[0]!BBKT_VK_Spinner1_Change">
                <anchor moveWithCells="1" sizeWithCells="1">
                  <from>
                    <xdr:col>14</xdr:col>
                    <xdr:colOff>133350</xdr:colOff>
                    <xdr:row>0</xdr:row>
                    <xdr:rowOff>0</xdr:rowOff>
                  </from>
                  <to>
                    <xdr:col>14</xdr:col>
                    <xdr:colOff>400050</xdr:colOff>
                    <xdr:row>2</xdr:row>
                    <xdr:rowOff>133350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Z56"/>
  <sheetViews>
    <sheetView showGridLines="0" showZeros="0" zoomScaleNormal="100" workbookViewId="0">
      <pane xSplit="22" ySplit="4" topLeftCell="W17" activePane="bottomRight" state="frozen"/>
      <selection pane="topRight" activeCell="W1" sqref="W1"/>
      <selection pane="bottomLeft" activeCell="A5" sqref="A5"/>
      <selection pane="bottomRight" activeCell="E14" sqref="E14:O14"/>
    </sheetView>
  </sheetViews>
  <sheetFormatPr defaultRowHeight="16.5"/>
  <cols>
    <col min="3" max="3" width="7.109375" customWidth="1"/>
    <col min="4" max="4" width="7.33203125" customWidth="1"/>
    <col min="5" max="5" width="3.77734375" customWidth="1"/>
    <col min="6" max="6" width="9.33203125" customWidth="1"/>
    <col min="7" max="7" width="15.21875" customWidth="1"/>
    <col min="8" max="8" width="8.44140625" customWidth="1"/>
    <col min="9" max="9" width="7.21875" customWidth="1"/>
    <col min="10" max="11" width="5.6640625" customWidth="1"/>
    <col min="12" max="12" width="4.109375" customWidth="1"/>
    <col min="13" max="13" width="5.44140625" customWidth="1"/>
    <col min="14" max="14" width="7.44140625" customWidth="1"/>
    <col min="15" max="15" width="5.77734375" customWidth="1"/>
    <col min="16" max="16" width="5.109375" customWidth="1"/>
    <col min="17" max="17" width="6" bestFit="1" customWidth="1"/>
    <col min="18" max="18" width="5" customWidth="1"/>
    <col min="19" max="20" width="4.44140625" customWidth="1"/>
    <col min="21" max="22" width="6.33203125" customWidth="1"/>
    <col min="23" max="23" width="9.88671875" customWidth="1"/>
    <col min="24" max="24" width="21" customWidth="1"/>
    <col min="25" max="25" width="11.109375" bestFit="1" customWidth="1"/>
    <col min="28" max="28" width="8.77734375" customWidth="1"/>
    <col min="16384" max="16384" width="8.77734375" customWidth="1"/>
  </cols>
  <sheetData>
    <row r="1" spans="1:26" ht="20.25">
      <c r="A1" s="736" t="str">
        <f>IFERROR(VLOOKUP(Q2,LIST_PHIEU_BT!$A$6:$H$700,8,0),"")</f>
        <v>M200/đá 1x2cm/6-:-8</v>
      </c>
      <c r="B1" s="227"/>
      <c r="C1" s="227"/>
      <c r="D1" s="227"/>
      <c r="E1" s="1704" t="str">
        <f>E10</f>
        <v>PHIẾU CÔNG TÁC THI CÔNG BÊ TÔNG</v>
      </c>
      <c r="F1" s="1704"/>
      <c r="G1" s="1704"/>
      <c r="H1" s="1704"/>
      <c r="I1" s="1704"/>
      <c r="J1" s="1704"/>
      <c r="K1" s="1704"/>
      <c r="L1" s="1704"/>
      <c r="M1" s="1704"/>
      <c r="N1" s="1704"/>
      <c r="O1" s="1704"/>
      <c r="P1" s="227"/>
      <c r="Q1" s="227"/>
      <c r="R1" s="227"/>
      <c r="S1" s="227"/>
      <c r="T1" s="227"/>
      <c r="U1" s="227"/>
      <c r="V1" s="227"/>
      <c r="W1" t="str">
        <f>VLOOKUP(Q2,LIST_PHIEU_BT!$A$6:$H$700,4,0)</f>
        <v>Theo dõi quá trình đổ bê tông kênh</v>
      </c>
    </row>
    <row r="2" spans="1:26">
      <c r="A2" s="227"/>
      <c r="B2" s="227"/>
      <c r="C2" s="227"/>
      <c r="D2" s="227"/>
      <c r="E2" s="1705" t="str">
        <f>"     "&amp;Tieude1&amp;": "&amp;NDtieude1</f>
        <v xml:space="preserve">     Công trình: Gia cố nâng cấp kênh Bà Xoài từ K0+300÷K0+600 - Hệ thống thủy lợi Nha Trinh, huyện Ninh Hải, tỉnh Ninh Thuận</v>
      </c>
      <c r="F2" s="1705"/>
      <c r="G2" s="1705"/>
      <c r="H2" s="1705"/>
      <c r="I2" s="1705"/>
      <c r="J2" s="1705"/>
      <c r="K2" s="1705"/>
      <c r="L2" s="1705"/>
      <c r="M2" s="1705"/>
      <c r="N2" s="1705"/>
      <c r="O2" s="1705"/>
      <c r="P2" s="227"/>
      <c r="Q2" s="229">
        <v>1</v>
      </c>
      <c r="R2" s="227"/>
      <c r="S2" s="227"/>
      <c r="T2" s="227"/>
      <c r="U2" s="227"/>
      <c r="V2" s="227"/>
      <c r="W2" s="267">
        <f>KLBtong(W1,";")</f>
        <v>0</v>
      </c>
      <c r="X2">
        <f>ROUND(W2*1.025,1)</f>
        <v>0</v>
      </c>
      <c r="Y2" t="str">
        <f>VLOOKUP(Q2,LIST_PHIEU_BT!$A$6:$H$700,5,0)</f>
        <v>Đoạn Km0+300 đến Km0+400</v>
      </c>
    </row>
    <row r="3" spans="1:26">
      <c r="A3" s="309"/>
      <c r="B3" s="227"/>
      <c r="C3" s="227"/>
      <c r="D3" s="227"/>
      <c r="E3" s="1705" t="str">
        <f>"     Địa điểm XD: "&amp;DDXD</f>
        <v xml:space="preserve">     Địa điểm XD: Huyện Ninh Hải - Tỉnh Ninh Thuận</v>
      </c>
      <c r="F3" s="1705"/>
      <c r="G3" s="1705"/>
      <c r="H3" s="1705"/>
      <c r="I3" s="1705"/>
      <c r="J3" s="1705"/>
      <c r="K3" s="1705"/>
      <c r="L3" s="1705"/>
      <c r="M3" s="1705"/>
      <c r="N3" s="1705"/>
      <c r="O3" s="1705"/>
      <c r="P3" s="227"/>
      <c r="Q3" s="227"/>
      <c r="R3" s="227"/>
      <c r="S3" s="227"/>
      <c r="T3" s="227"/>
      <c r="U3" s="227"/>
      <c r="V3" s="227"/>
      <c r="W3" s="148" t="s">
        <v>3925</v>
      </c>
      <c r="X3" s="268" t="e">
        <f>TRIM(VLOOKUP(Q2,LIST_PHIEU_BT!$A$6:$H$700,9,0)&amp;" "&amp;VLOOKUP(Q2,LIST_PHIEU_BT!$A$6:$H$700,10,0))</f>
        <v>#REF!</v>
      </c>
      <c r="Y3" t="e">
        <f>VLOOKUP(Q2,LIST_PHIEU_BT!$A$6:$H$700,11,0)</f>
        <v>#REF!</v>
      </c>
      <c r="Z3" t="e">
        <f>VLOOKUP(Q2,LIST_PHIEU_BT!$A$6:$H$700,13,0)</f>
        <v>#REF!</v>
      </c>
    </row>
    <row r="4" spans="1:26">
      <c r="A4" s="309"/>
      <c r="B4" s="227"/>
      <c r="C4" s="227"/>
      <c r="D4" s="227"/>
      <c r="E4" s="227"/>
      <c r="F4" s="227"/>
      <c r="G4" s="227"/>
      <c r="H4" s="227"/>
      <c r="I4" s="227"/>
      <c r="J4" s="227"/>
      <c r="K4" s="227"/>
      <c r="L4" s="227"/>
      <c r="M4" s="227"/>
      <c r="N4" s="227"/>
      <c r="O4" s="227"/>
      <c r="P4" s="227"/>
      <c r="Q4" s="227"/>
      <c r="R4" s="227"/>
      <c r="S4" s="227"/>
      <c r="T4" s="227"/>
      <c r="U4" s="227"/>
      <c r="V4" s="227"/>
      <c r="W4" s="269" t="s">
        <v>3926</v>
      </c>
      <c r="X4" s="270">
        <f>VLOOKUP(Q2,LIST_PHIEU_BT!$A$6:$H$700,7,0)</f>
        <v>0</v>
      </c>
      <c r="Y4" s="271" t="str">
        <f>VLOOKUP(Q2,LIST_PHIEU_BT!$A$6:$H$700,8,0)</f>
        <v>M200/đá 1x2cm/6-:-8</v>
      </c>
    </row>
    <row r="5" spans="1:26">
      <c r="A5" s="227"/>
      <c r="B5" s="227"/>
      <c r="C5" s="227"/>
      <c r="D5" s="227"/>
      <c r="E5" s="1706" t="s">
        <v>3927</v>
      </c>
      <c r="F5" s="1706"/>
      <c r="G5" s="1706"/>
      <c r="H5" s="1706"/>
      <c r="I5" s="1706"/>
      <c r="J5" s="1706"/>
      <c r="K5" s="1706"/>
      <c r="L5" s="1706"/>
      <c r="M5" s="1706"/>
      <c r="N5" s="1706"/>
      <c r="O5" s="1706"/>
      <c r="P5" s="227"/>
      <c r="Q5" s="227"/>
      <c r="R5" s="227"/>
      <c r="S5" s="227"/>
      <c r="T5" s="227"/>
      <c r="U5" s="227"/>
      <c r="V5" s="227"/>
      <c r="W5" s="272" t="s">
        <v>160</v>
      </c>
      <c r="X5" s="124">
        <f>VLOOKUP(Q2,LIST_PHIEU_BT!$A$6:$H$700,6,0)</f>
        <v>43971</v>
      </c>
    </row>
    <row r="6" spans="1:26">
      <c r="A6" s="227"/>
      <c r="B6" s="227"/>
      <c r="C6" s="227"/>
      <c r="D6" s="227"/>
      <c r="E6" s="1707" t="s">
        <v>161</v>
      </c>
      <c r="F6" s="1707"/>
      <c r="G6" s="1707"/>
      <c r="H6" s="1707"/>
      <c r="I6" s="1707"/>
      <c r="J6" s="1707"/>
      <c r="K6" s="1707"/>
      <c r="L6" s="1707"/>
      <c r="M6" s="1707"/>
      <c r="N6" s="1707"/>
      <c r="O6" s="1707"/>
      <c r="P6" s="227"/>
      <c r="Q6" s="227"/>
      <c r="R6" s="227"/>
      <c r="S6" s="227"/>
      <c r="T6" s="227"/>
      <c r="U6" s="227"/>
      <c r="V6" s="227"/>
      <c r="X6" s="273"/>
      <c r="Y6" s="273"/>
    </row>
    <row r="7" spans="1:26" ht="16.5" customHeight="1">
      <c r="A7" s="227"/>
      <c r="B7" s="227"/>
      <c r="C7" s="227"/>
      <c r="D7" s="227"/>
      <c r="E7" s="1490" t="s">
        <v>179</v>
      </c>
      <c r="F7" s="1490"/>
      <c r="G7" s="1490"/>
      <c r="H7" s="1490"/>
      <c r="I7" s="1490"/>
      <c r="J7" s="1490"/>
      <c r="K7" s="1490"/>
      <c r="L7" s="1490"/>
      <c r="M7" s="1490"/>
      <c r="N7" s="1490"/>
      <c r="O7" s="1490"/>
      <c r="P7" s="227"/>
      <c r="Q7" s="227"/>
      <c r="R7" s="227"/>
      <c r="S7" s="227"/>
      <c r="T7" s="227"/>
      <c r="U7" s="227"/>
      <c r="V7" s="227"/>
      <c r="X7" s="273"/>
      <c r="Y7" s="273"/>
    </row>
    <row r="8" spans="1:26">
      <c r="A8" s="227"/>
      <c r="B8" s="227"/>
      <c r="C8" s="227"/>
      <c r="D8" s="227"/>
      <c r="E8" s="1703" t="str">
        <f>Diadanh&amp;", "&amp;Doingay(VLOOKUP(Q2,LIST_PHIEU_BT!$A$6:$H$700,6,0))</f>
        <v>Ninh Hải,  ngày 20 tháng 5 năm 2020</v>
      </c>
      <c r="F8" s="1703"/>
      <c r="G8" s="1703"/>
      <c r="H8" s="1703"/>
      <c r="I8" s="1703"/>
      <c r="J8" s="1703"/>
      <c r="K8" s="1703"/>
      <c r="L8" s="1703"/>
      <c r="M8" s="1703"/>
      <c r="N8" s="1703"/>
      <c r="O8" s="1703"/>
      <c r="P8" s="227"/>
      <c r="Q8" s="227"/>
      <c r="R8" s="227"/>
      <c r="S8" s="227"/>
      <c r="T8" s="227"/>
      <c r="U8" s="227"/>
      <c r="V8" s="227"/>
    </row>
    <row r="9" spans="1:26" ht="8.25" customHeight="1">
      <c r="A9" s="227"/>
      <c r="B9" s="227"/>
      <c r="C9" s="227"/>
      <c r="D9" s="227"/>
      <c r="E9" s="231"/>
      <c r="F9" s="203"/>
      <c r="G9" s="203"/>
      <c r="H9" s="203"/>
      <c r="I9" s="203"/>
      <c r="J9" s="203"/>
      <c r="K9" s="203"/>
      <c r="L9" s="203"/>
      <c r="M9" s="203"/>
      <c r="N9" s="274"/>
      <c r="O9" s="230"/>
      <c r="P9" s="227"/>
      <c r="Q9" s="227"/>
      <c r="R9" s="227"/>
      <c r="S9" s="227"/>
      <c r="T9" s="227"/>
      <c r="U9" s="227"/>
      <c r="V9" s="227"/>
    </row>
    <row r="10" spans="1:26" ht="20.25">
      <c r="A10" s="227"/>
      <c r="B10" s="227"/>
      <c r="C10" s="227"/>
      <c r="D10" s="227"/>
      <c r="E10" s="1696" t="s">
        <v>3928</v>
      </c>
      <c r="F10" s="1696"/>
      <c r="G10" s="1696"/>
      <c r="H10" s="1696"/>
      <c r="I10" s="1696"/>
      <c r="J10" s="1696"/>
      <c r="K10" s="1696"/>
      <c r="L10" s="1696"/>
      <c r="M10" s="1696"/>
      <c r="N10" s="1696"/>
      <c r="O10" s="1696"/>
      <c r="P10" s="227"/>
      <c r="Q10" s="227"/>
      <c r="R10" s="227"/>
      <c r="S10" s="227"/>
      <c r="T10" s="232"/>
      <c r="U10" s="232"/>
      <c r="V10" s="232"/>
    </row>
    <row r="11" spans="1:26" ht="10.5" customHeight="1">
      <c r="A11" s="227"/>
      <c r="B11" s="227"/>
      <c r="C11" s="227"/>
      <c r="D11" s="227"/>
      <c r="E11" s="233"/>
      <c r="F11" s="233"/>
      <c r="G11" s="233"/>
      <c r="H11" s="233"/>
      <c r="I11" s="233"/>
      <c r="J11" s="233"/>
      <c r="K11" s="233"/>
      <c r="L11" s="233"/>
      <c r="M11" s="233"/>
      <c r="N11" s="233"/>
      <c r="O11" s="233"/>
      <c r="P11" s="227"/>
      <c r="Q11" s="227"/>
      <c r="R11" s="227"/>
      <c r="S11" s="227"/>
      <c r="T11" s="232"/>
      <c r="U11" s="232"/>
      <c r="V11" s="232"/>
    </row>
    <row r="12" spans="1:26" ht="36.6" customHeight="1">
      <c r="A12" s="227"/>
      <c r="B12" s="227"/>
      <c r="C12" s="227"/>
      <c r="D12" s="227"/>
      <c r="E12" s="1697" t="str">
        <f>IF(NDtieude1&lt;&gt;"",Tieude1&amp;": "&amp;NDtieude1,"")</f>
        <v>Công trình: Gia cố nâng cấp kênh Bà Xoài từ K0+300÷K0+600 - Hệ thống thủy lợi Nha Trinh, huyện Ninh Hải, tỉnh Ninh Thuận</v>
      </c>
      <c r="F12" s="1524"/>
      <c r="G12" s="1524"/>
      <c r="H12" s="1524"/>
      <c r="I12" s="1524"/>
      <c r="J12" s="1524"/>
      <c r="K12" s="1524"/>
      <c r="L12" s="1524"/>
      <c r="M12" s="1524"/>
      <c r="N12" s="1524"/>
      <c r="O12" s="1524"/>
      <c r="P12" s="227"/>
      <c r="Q12" s="227"/>
      <c r="R12" s="227"/>
      <c r="S12" s="227"/>
      <c r="T12" s="232"/>
      <c r="U12" s="234">
        <f>ROW()</f>
        <v>12</v>
      </c>
      <c r="V12" s="232"/>
    </row>
    <row r="13" spans="1:26" ht="20.100000000000001" hidden="1" customHeight="1">
      <c r="A13" s="227"/>
      <c r="B13" s="227"/>
      <c r="C13" s="227"/>
      <c r="D13" s="227"/>
      <c r="E13" s="1698" t="str">
        <f>IF(NDtieude2&lt;&gt;"",Tieude2&amp;": "&amp;NDtieude2,"")</f>
        <v/>
      </c>
      <c r="F13" s="1524"/>
      <c r="G13" s="1524"/>
      <c r="H13" s="1524"/>
      <c r="I13" s="1524"/>
      <c r="J13" s="1524"/>
      <c r="K13" s="1524"/>
      <c r="L13" s="1524"/>
      <c r="M13" s="1524"/>
      <c r="N13" s="1524"/>
      <c r="O13" s="1524"/>
      <c r="P13" s="227"/>
      <c r="Q13" s="227"/>
      <c r="R13" s="227"/>
      <c r="S13" s="227"/>
      <c r="T13" s="232"/>
      <c r="U13" s="234">
        <f>ROW()</f>
        <v>13</v>
      </c>
      <c r="V13" s="232"/>
    </row>
    <row r="14" spans="1:26" ht="20.100000000000001" customHeight="1">
      <c r="A14" s="227"/>
      <c r="B14" s="227"/>
      <c r="C14" s="227"/>
      <c r="D14" s="227"/>
      <c r="E14" s="1698" t="str">
        <f>IF(NDtieude3&lt;&gt;"",Tieude3&amp;": "&amp;NDtieude3,"")</f>
        <v>Hạng mục: Kênh và Công trình trên kênh</v>
      </c>
      <c r="F14" s="1524"/>
      <c r="G14" s="1524"/>
      <c r="H14" s="1524"/>
      <c r="I14" s="1524"/>
      <c r="J14" s="1524"/>
      <c r="K14" s="1524"/>
      <c r="L14" s="1524"/>
      <c r="M14" s="1524"/>
      <c r="N14" s="1524"/>
      <c r="O14" s="1524"/>
      <c r="P14" s="227"/>
      <c r="Q14" s="227"/>
      <c r="R14" s="227"/>
      <c r="S14" s="227"/>
      <c r="T14" s="232"/>
      <c r="U14" s="234">
        <f>ROW()</f>
        <v>14</v>
      </c>
      <c r="V14" s="232"/>
    </row>
    <row r="15" spans="1:26" ht="20.100000000000001" customHeight="1">
      <c r="A15" s="227"/>
      <c r="B15" s="227"/>
      <c r="C15" s="227"/>
      <c r="D15" s="227"/>
      <c r="E15" s="1699" t="str">
        <f>IF(DDXD&lt;&gt;"","Địa điểm xây dựng : "&amp;DDXD,"")</f>
        <v>Địa điểm xây dựng : Huyện Ninh Hải - Tỉnh Ninh Thuận</v>
      </c>
      <c r="F15" s="1699"/>
      <c r="G15" s="1699"/>
      <c r="H15" s="1699"/>
      <c r="I15" s="1699"/>
      <c r="J15" s="1699"/>
      <c r="K15" s="1699"/>
      <c r="L15" s="1699"/>
      <c r="M15" s="1699"/>
      <c r="N15" s="1699"/>
      <c r="O15" s="1699"/>
      <c r="P15" s="227"/>
      <c r="Q15" s="227"/>
      <c r="R15" s="227"/>
      <c r="S15" s="227"/>
      <c r="T15" s="232"/>
      <c r="U15" s="234">
        <f>ROW()</f>
        <v>15</v>
      </c>
      <c r="V15" s="232"/>
    </row>
    <row r="16" spans="1:26" ht="4.5" customHeight="1">
      <c r="A16" s="227"/>
      <c r="B16" s="227"/>
      <c r="C16" s="227"/>
      <c r="D16" s="227"/>
      <c r="E16" s="275"/>
      <c r="F16" s="275"/>
      <c r="G16" s="275"/>
      <c r="H16" s="275"/>
      <c r="I16" s="275"/>
      <c r="J16" s="275"/>
      <c r="K16" s="275"/>
      <c r="L16" s="275"/>
      <c r="M16" s="275"/>
      <c r="N16" s="275"/>
      <c r="O16" s="275"/>
      <c r="P16" s="227"/>
      <c r="Q16" s="227"/>
      <c r="R16" s="227"/>
      <c r="S16" s="227"/>
      <c r="T16" s="232"/>
      <c r="U16" s="232"/>
      <c r="V16" s="232"/>
    </row>
    <row r="17" spans="1:22">
      <c r="A17" s="227"/>
      <c r="B17" s="227"/>
      <c r="C17" s="227"/>
      <c r="D17" s="227"/>
      <c r="E17" s="237" t="s">
        <v>3929</v>
      </c>
      <c r="F17" s="238"/>
      <c r="G17" s="238"/>
      <c r="H17" s="238"/>
      <c r="I17" s="238"/>
      <c r="J17" s="238"/>
      <c r="K17" s="238"/>
      <c r="L17" s="238"/>
      <c r="M17" s="238"/>
      <c r="N17" s="238"/>
      <c r="O17" s="238"/>
      <c r="P17" s="227"/>
      <c r="Q17" s="227"/>
      <c r="R17" s="227"/>
      <c r="S17" s="227"/>
      <c r="T17" s="232"/>
      <c r="U17" s="232"/>
      <c r="V17" s="232"/>
    </row>
    <row r="18" spans="1:22" ht="20.100000000000001" customHeight="1">
      <c r="A18" s="227"/>
      <c r="B18" s="227"/>
      <c r="C18" s="227"/>
      <c r="D18" s="227"/>
      <c r="E18" s="1700" t="str">
        <f>"          + Tên công việc kiểm tra: "&amp;IFERROR(VLOOKUP(Q2,LIST_PHIEU_BT!$A$6:$H$700,4,0),"")</f>
        <v xml:space="preserve">          + Tên công việc kiểm tra: Theo dõi quá trình đổ bê tông kênh</v>
      </c>
      <c r="F18" s="1700"/>
      <c r="G18" s="1700"/>
      <c r="H18" s="1700"/>
      <c r="I18" s="1700"/>
      <c r="J18" s="1700"/>
      <c r="K18" s="1700"/>
      <c r="L18" s="1700"/>
      <c r="M18" s="1700"/>
      <c r="N18" s="1700"/>
      <c r="O18" s="1700"/>
      <c r="P18" s="227"/>
      <c r="Q18" s="227"/>
      <c r="R18" s="227"/>
      <c r="S18" s="227"/>
      <c r="T18" s="234">
        <f>ROW()</f>
        <v>18</v>
      </c>
      <c r="U18" s="232"/>
      <c r="V18" s="232"/>
    </row>
    <row r="19" spans="1:22" ht="20.100000000000001" customHeight="1">
      <c r="A19" s="227"/>
      <c r="B19" s="227"/>
      <c r="C19" s="227"/>
      <c r="D19" s="227"/>
      <c r="E19" s="1701" t="str">
        <f>"          + Vị trí xây dựng trên công trình: "&amp;IFERROR(VLOOKUP(Q2,LIST_PHIEU_BT!$A$6:$H$700,5,0),"")</f>
        <v xml:space="preserve">          + Vị trí xây dựng trên công trình: Đoạn Km0+300 đến Km0+400</v>
      </c>
      <c r="F19" s="1701"/>
      <c r="G19" s="1701"/>
      <c r="H19" s="1701"/>
      <c r="I19" s="1701"/>
      <c r="J19" s="1701"/>
      <c r="K19" s="1701"/>
      <c r="L19" s="1701"/>
      <c r="M19" s="1701"/>
      <c r="N19" s="1701"/>
      <c r="O19" s="1701"/>
      <c r="P19" s="227"/>
      <c r="Q19" s="227"/>
      <c r="R19" s="227"/>
      <c r="S19" s="227"/>
      <c r="T19" s="234">
        <f>ROW()</f>
        <v>19</v>
      </c>
      <c r="U19" s="232"/>
      <c r="V19" s="232"/>
    </row>
    <row r="20" spans="1:22">
      <c r="A20" s="227"/>
      <c r="B20" s="227"/>
      <c r="C20" s="227"/>
      <c r="D20" s="227"/>
      <c r="E20" s="237" t="s">
        <v>3930</v>
      </c>
      <c r="F20" s="238"/>
      <c r="G20" s="238"/>
      <c r="H20" s="238"/>
      <c r="I20" s="238"/>
      <c r="J20" s="236"/>
      <c r="K20" s="241"/>
      <c r="L20" s="242"/>
      <c r="M20" s="242"/>
      <c r="N20" s="242"/>
      <c r="O20" s="242"/>
      <c r="P20" s="227"/>
      <c r="Q20" s="227"/>
      <c r="R20" s="227"/>
      <c r="S20" s="227"/>
      <c r="T20" s="232"/>
      <c r="U20" s="232"/>
      <c r="V20" s="232"/>
    </row>
    <row r="21" spans="1:22" ht="17.25" customHeight="1">
      <c r="A21" s="227"/>
      <c r="B21" s="227"/>
      <c r="C21" s="227"/>
      <c r="D21" s="227"/>
      <c r="E21" s="170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1524"/>
      <c r="N21" s="1524"/>
      <c r="O21" s="1524"/>
      <c r="P21" s="227"/>
      <c r="Q21" s="227"/>
      <c r="R21" s="227"/>
      <c r="S21" s="227"/>
      <c r="T21" s="232"/>
      <c r="U21" s="234">
        <f>IF(E21&lt;&gt;"",ROW(),"")</f>
        <v>21</v>
      </c>
      <c r="V21" s="232"/>
    </row>
    <row r="22" spans="1:22">
      <c r="A22" s="227"/>
      <c r="B22" s="227"/>
      <c r="C22" s="227"/>
      <c r="D22" s="227"/>
      <c r="E22" s="239"/>
      <c r="F22" s="744" t="str">
        <f>GT_GS1&amp;CBGS1</f>
        <v>Ông: Trần Trọng Liêm</v>
      </c>
      <c r="G22" s="241"/>
      <c r="H22" s="242"/>
      <c r="I22" s="242"/>
      <c r="J22" s="240" t="str">
        <f>"Chức vụ: "&amp;CV_CBGS1</f>
        <v>Chức vụ: Giám sát trưởng</v>
      </c>
      <c r="K22" s="240"/>
      <c r="L22" s="240"/>
      <c r="M22" s="240"/>
      <c r="N22" s="240"/>
      <c r="O22" s="240"/>
      <c r="P22" s="227"/>
      <c r="Q22" s="227"/>
      <c r="R22" s="227"/>
      <c r="S22" s="227"/>
      <c r="T22" s="232"/>
      <c r="U22" s="232"/>
      <c r="V22" s="232"/>
    </row>
    <row r="23" spans="1:22">
      <c r="A23" s="227"/>
      <c r="B23" s="227"/>
      <c r="C23" s="227"/>
      <c r="D23" s="227"/>
      <c r="E23" s="239"/>
      <c r="F23" s="744" t="str">
        <f>GT_GS2&amp;CBGS2</f>
        <v>Bà  : Nguyễn Thị Minh</v>
      </c>
      <c r="G23" s="241"/>
      <c r="H23" s="242"/>
      <c r="I23" s="242"/>
      <c r="J23" s="240" t="str">
        <f>"Chức vụ: "&amp;CV_CBGS2</f>
        <v>Chức vụ: Giám sát viên</v>
      </c>
      <c r="K23" s="240"/>
      <c r="L23" s="243"/>
      <c r="M23" s="242"/>
      <c r="N23" s="242"/>
      <c r="O23" s="244"/>
      <c r="P23" s="227"/>
      <c r="Q23" s="227"/>
      <c r="R23" s="227"/>
      <c r="S23" s="227"/>
      <c r="T23" s="232"/>
      <c r="U23" s="232"/>
      <c r="V23" s="232"/>
    </row>
    <row r="24" spans="1:22" ht="17.25" customHeight="1">
      <c r="A24" s="227"/>
      <c r="B24" s="227"/>
      <c r="C24" s="227"/>
      <c r="D24" s="227"/>
      <c r="E24" s="1695" t="str">
        <f>"b. Đại diện "&amp;LOWER(MID(Td_DVTC,1,1))&amp;MID(Td_DVTC,2,LEN(Td_DVTC))&amp;": "&amp;DVTC</f>
        <v>b. Đại diện đơn vị thi công: Công ty TNHH Xây dựng Thịnh Dũng</v>
      </c>
      <c r="F24" s="1615"/>
      <c r="G24" s="1615"/>
      <c r="H24" s="1615"/>
      <c r="I24" s="1615"/>
      <c r="J24" s="1615"/>
      <c r="K24" s="1615"/>
      <c r="L24" s="1615"/>
      <c r="M24" s="1615"/>
      <c r="N24" s="1615"/>
      <c r="O24" s="1615"/>
      <c r="P24" s="227"/>
      <c r="Q24" s="227"/>
      <c r="R24" s="227"/>
      <c r="S24" s="227"/>
      <c r="T24" s="232"/>
      <c r="U24" s="234">
        <f>IF(E24&lt;&gt;"",ROW(),"")</f>
        <v>24</v>
      </c>
      <c r="V24" s="232"/>
    </row>
    <row r="25" spans="1:22">
      <c r="A25" s="227"/>
      <c r="B25" s="227"/>
      <c r="C25" s="227"/>
      <c r="D25" s="227"/>
      <c r="E25" s="245"/>
      <c r="F25" s="246" t="str">
        <f>GT_CBKT1&amp;CBKT1</f>
        <v>Ông: Hoàng Đình Tảng</v>
      </c>
      <c r="H25" s="235"/>
      <c r="I25" s="235"/>
      <c r="J25" s="41" t="str">
        <f>"Chức vụ: "&amp;CV_CBKT1</f>
        <v>Chức vụ: Chỉ huy công trường</v>
      </c>
      <c r="K25" s="240"/>
      <c r="M25" s="238"/>
      <c r="N25" s="236"/>
      <c r="O25" s="247"/>
      <c r="P25" s="227"/>
      <c r="Q25" s="227"/>
      <c r="R25" s="227"/>
      <c r="S25" s="227"/>
      <c r="T25" s="232"/>
      <c r="U25" s="232"/>
      <c r="V25" s="232"/>
    </row>
    <row r="26" spans="1:22">
      <c r="A26" s="227"/>
      <c r="B26" s="227"/>
      <c r="C26" s="227"/>
      <c r="D26" s="227"/>
      <c r="E26" s="245"/>
      <c r="F26" s="246" t="str">
        <f>GT_CBKT2&amp;CBKT2</f>
        <v>Ông: Lê Thiên Phương</v>
      </c>
      <c r="G26" s="246"/>
      <c r="H26" s="235"/>
      <c r="I26" s="235"/>
      <c r="J26" s="735" t="str">
        <f>"Chức vụ: "&amp;CV_CBKT2</f>
        <v>Chức vụ: Kỹ thuật thi công</v>
      </c>
      <c r="K26" s="240"/>
      <c r="M26" s="238"/>
      <c r="N26" s="238"/>
      <c r="O26" s="238"/>
      <c r="P26" s="227"/>
      <c r="Q26" s="227"/>
      <c r="R26" s="227"/>
      <c r="S26" s="227"/>
      <c r="T26" s="232"/>
      <c r="U26" s="232"/>
      <c r="V26" s="232"/>
    </row>
    <row r="27" spans="1:22" ht="9.75" hidden="1" customHeight="1">
      <c r="A27" s="227"/>
      <c r="B27" s="227"/>
      <c r="C27" s="227"/>
      <c r="D27" s="227"/>
      <c r="E27" s="245"/>
      <c r="F27" s="276"/>
      <c r="G27" s="246"/>
      <c r="H27" s="235"/>
      <c r="I27" s="235"/>
      <c r="J27" s="276"/>
      <c r="K27" s="276"/>
      <c r="L27" s="41"/>
      <c r="M27" s="238"/>
      <c r="N27" s="238"/>
      <c r="O27" s="238"/>
      <c r="P27" s="227"/>
      <c r="Q27" s="227"/>
      <c r="R27" s="227"/>
      <c r="S27" s="227"/>
      <c r="T27" s="232"/>
      <c r="U27" s="232"/>
      <c r="V27" s="232"/>
    </row>
    <row r="28" spans="1:22" ht="11.25" hidden="1" customHeight="1">
      <c r="A28" s="227"/>
      <c r="B28" s="227"/>
      <c r="C28" s="227"/>
      <c r="D28" s="227"/>
      <c r="E28" s="244"/>
      <c r="F28" s="253"/>
      <c r="G28" s="238"/>
      <c r="H28" s="203"/>
      <c r="I28" s="238"/>
      <c r="J28" s="238"/>
      <c r="K28" s="238"/>
      <c r="L28" s="238"/>
      <c r="M28" s="277"/>
      <c r="N28" s="238"/>
      <c r="O28" s="244"/>
      <c r="P28" s="227"/>
      <c r="Q28" s="227"/>
      <c r="R28" s="227"/>
      <c r="S28" s="227"/>
      <c r="T28" s="232"/>
      <c r="U28" s="232"/>
      <c r="V28" s="232"/>
    </row>
    <row r="29" spans="1:22">
      <c r="A29" s="227"/>
      <c r="B29" s="227"/>
      <c r="C29" s="227"/>
      <c r="D29" s="227"/>
      <c r="E29" s="1690" t="s">
        <v>3931</v>
      </c>
      <c r="F29" s="1690"/>
      <c r="G29" s="1690"/>
      <c r="H29" s="1690"/>
      <c r="I29" s="1690"/>
      <c r="J29" s="1690"/>
      <c r="K29" s="1690"/>
      <c r="L29" s="1690"/>
      <c r="M29" s="1690"/>
      <c r="N29" s="1690"/>
      <c r="O29" s="1690"/>
      <c r="P29" s="227"/>
      <c r="Q29" s="227"/>
      <c r="R29" s="227"/>
      <c r="S29" s="227"/>
      <c r="T29" s="232"/>
      <c r="U29" s="234"/>
      <c r="V29" s="232"/>
    </row>
    <row r="30" spans="1:22" ht="36.6" customHeight="1">
      <c r="A30" s="227"/>
      <c r="B30" s="227"/>
      <c r="C30" s="227"/>
      <c r="D30" s="227"/>
      <c r="E30" s="1691" t="str">
        <f>"1. Thời gian đổ: Từ "&amp;TachgioBB(VLOOKUP(Q2,LIST_PHIEU_BT!$A$6:$H$700,7,0),1)&amp;","&amp;Doingay(VLOOKUP(Q2,LIST_PHIEU_BT!$A$6:$H$700,6,0))&amp;" đến "&amp;TachgioBB(VLOOKUP(Q2,LIST_PHIEU_BT!$A$6:$H$700,7,0),2)&amp;","&amp;Doingay(VLOOKUP(Q2,LIST_PHIEU_BT!$A$6:$H$700,6,0))</f>
        <v>1. Thời gian đổ: Từ ...... giờ ...... phút , ngày 20 tháng 5 năm 2020 đến ...... giờ ...... phút , ngày 20 tháng 5 năm 2020</v>
      </c>
      <c r="F30" s="1691"/>
      <c r="G30" s="1691"/>
      <c r="H30" s="1691"/>
      <c r="I30" s="1691"/>
      <c r="J30" s="1691"/>
      <c r="K30" s="1691"/>
      <c r="L30" s="1691"/>
      <c r="M30" s="1691"/>
      <c r="N30" s="1691"/>
      <c r="O30" s="1691"/>
      <c r="P30" s="227"/>
      <c r="Q30" s="227"/>
      <c r="R30" s="227"/>
      <c r="S30" s="227"/>
      <c r="T30" s="234">
        <f>ROW()</f>
        <v>30</v>
      </c>
      <c r="U30" s="227"/>
      <c r="V30" s="227"/>
    </row>
    <row r="31" spans="1:22">
      <c r="A31" s="227"/>
      <c r="B31" s="227"/>
      <c r="C31" s="227"/>
      <c r="D31" s="227"/>
      <c r="E31" s="1693" t="str">
        <f>"2. Cường độ bê tông yêu cầu: "&amp;IFERROR(VLOOKUP(A1,TPCPBT!$B$3:$M$23,2,0),"")</f>
        <v>2. Cường độ bê tông yêu cầu: M200</v>
      </c>
      <c r="F31" s="1693"/>
      <c r="G31" s="1693"/>
      <c r="H31" s="1693"/>
      <c r="I31" s="1693"/>
      <c r="J31" s="1693"/>
      <c r="K31" s="1693"/>
      <c r="L31" s="1693"/>
      <c r="M31" s="1693"/>
      <c r="N31" s="1693"/>
      <c r="O31" s="1693"/>
      <c r="P31" s="227"/>
      <c r="Q31" s="227"/>
      <c r="R31" s="227"/>
      <c r="S31" s="227"/>
      <c r="T31" s="227"/>
      <c r="U31" s="227"/>
      <c r="V31" s="227"/>
    </row>
    <row r="32" spans="1:22">
      <c r="A32" s="227"/>
      <c r="B32" s="227"/>
      <c r="C32" s="227"/>
      <c r="D32" s="227"/>
      <c r="E32" s="1693" t="str">
        <f>"3. Độ sụt bê tông: "&amp;IFERROR(VLOOKUP(A1,TPCPBT!$B$3:$M$23,12,0),"         ")&amp;" cm"</f>
        <v>3. Độ sụt bê tông: 6-:-8 cm</v>
      </c>
      <c r="F32" s="1693"/>
      <c r="G32" s="1693"/>
      <c r="H32" s="1693"/>
      <c r="I32" s="1693"/>
      <c r="J32" s="1693"/>
      <c r="K32" s="1693"/>
      <c r="L32" s="1693"/>
      <c r="M32" s="1693"/>
      <c r="N32" s="1693"/>
      <c r="O32" s="1693"/>
      <c r="P32" s="227"/>
      <c r="Q32" s="227"/>
      <c r="R32" s="227"/>
      <c r="S32" s="227"/>
      <c r="T32" s="227"/>
      <c r="U32" s="227"/>
      <c r="V32" s="227"/>
    </row>
    <row r="33" spans="1:22">
      <c r="A33" s="227"/>
      <c r="B33" s="227"/>
      <c r="C33" s="227"/>
      <c r="D33" s="227"/>
      <c r="E33" s="1694" t="str">
        <f>"4. Tỉ lệ thành phần bê tông đã đổ: (Theo CP "&amp;IFERROR(VLOOKUP(A1,TPCPBT!$B$3:$M$23,4,0)&amp;", ngày "&amp;TEXT(VLOOKUP(A1,TPCPBT!$B$3:$M$23,5,0),"dd/mm/yyyy"),"         ")&amp;")"</f>
        <v>4. Tỉ lệ thành phần bê tông đã đổ: (Theo CP Số: 0905/TKCP/20-1/1, ngày 06/06/2019)</v>
      </c>
      <c r="F33" s="1694"/>
      <c r="G33" s="1694"/>
      <c r="H33" s="1694"/>
      <c r="I33" s="1694"/>
      <c r="J33" s="1694"/>
      <c r="K33" s="1694"/>
      <c r="L33" s="1694"/>
      <c r="M33" s="1694"/>
      <c r="N33" s="1694"/>
      <c r="O33" s="1694"/>
      <c r="P33" s="227"/>
      <c r="Q33" s="227"/>
      <c r="R33" s="227"/>
      <c r="S33" s="227"/>
      <c r="T33" s="227"/>
      <c r="U33" s="227"/>
      <c r="V33" s="227"/>
    </row>
    <row r="34" spans="1:22">
      <c r="A34" s="227"/>
      <c r="B34" s="227"/>
      <c r="C34" s="227"/>
      <c r="D34" s="227"/>
      <c r="E34" s="1692" t="s">
        <v>152</v>
      </c>
      <c r="F34" s="1692"/>
      <c r="G34" s="1692"/>
      <c r="H34" s="278" t="s">
        <v>3932</v>
      </c>
      <c r="I34" s="1692" t="s">
        <v>3933</v>
      </c>
      <c r="J34" s="1692"/>
      <c r="K34" s="1692" t="s">
        <v>3934</v>
      </c>
      <c r="L34" s="1692"/>
      <c r="M34" s="1692"/>
      <c r="N34" s="1692" t="s">
        <v>20</v>
      </c>
      <c r="O34" s="1692"/>
      <c r="P34" s="227"/>
      <c r="Q34" s="227"/>
      <c r="R34" s="227"/>
      <c r="S34" s="227"/>
      <c r="T34" s="227"/>
      <c r="U34" s="227"/>
      <c r="V34" s="227"/>
    </row>
    <row r="35" spans="1:22">
      <c r="A35" s="227"/>
      <c r="B35" s="227"/>
      <c r="C35" s="227"/>
      <c r="D35" s="227"/>
      <c r="E35" s="1681" t="s">
        <v>3935</v>
      </c>
      <c r="F35" s="1682"/>
      <c r="G35" s="1682"/>
      <c r="H35" s="279" t="s">
        <v>3936</v>
      </c>
      <c r="I35" s="1683">
        <f>VLOOKUP(A1,TPCPBT!$B$3:$M$23,6,0)</f>
        <v>300</v>
      </c>
      <c r="J35" s="1683"/>
      <c r="K35" s="1689">
        <f>50</f>
        <v>50</v>
      </c>
      <c r="L35" s="1689"/>
      <c r="M35" s="1689"/>
      <c r="N35" s="1683"/>
      <c r="O35" s="1683"/>
      <c r="P35" s="227"/>
      <c r="Q35" s="227"/>
      <c r="R35" s="227"/>
      <c r="S35" s="227"/>
      <c r="T35" s="227"/>
      <c r="U35" s="227"/>
      <c r="V35" s="227"/>
    </row>
    <row r="36" spans="1:22">
      <c r="A36" s="227"/>
      <c r="B36" s="227"/>
      <c r="C36" s="227"/>
      <c r="D36" s="227"/>
      <c r="E36" s="1681" t="s">
        <v>3937</v>
      </c>
      <c r="F36" s="1682"/>
      <c r="G36" s="1682"/>
      <c r="H36" s="279" t="s">
        <v>3483</v>
      </c>
      <c r="I36" s="1683">
        <f>VLOOKUP(A1,TPCPBT!$B$3:$M$23,7,0)</f>
        <v>0.49</v>
      </c>
      <c r="J36" s="1683"/>
      <c r="K36" s="1684">
        <f>I36*K35/I35</f>
        <v>8.1666666666666665E-2</v>
      </c>
      <c r="L36" s="1684"/>
      <c r="M36" s="1684"/>
      <c r="N36" s="1683"/>
      <c r="O36" s="1683"/>
      <c r="P36" s="227"/>
      <c r="Q36" s="227"/>
      <c r="R36" s="227"/>
      <c r="S36" s="227"/>
      <c r="T36" s="227"/>
      <c r="U36" s="227"/>
      <c r="V36" s="227"/>
    </row>
    <row r="37" spans="1:22">
      <c r="A37" s="227"/>
      <c r="B37" s="227"/>
      <c r="C37" s="227"/>
      <c r="D37" s="227"/>
      <c r="E37" s="1686" t="str">
        <f>"    - Đá dăm ("&amp;TRIM(VLOOKUP(A1,TPCPBT!$B$3:$M$23,3,0))&amp;")"</f>
        <v xml:space="preserve">    - Đá dăm (đá 1x2cm)</v>
      </c>
      <c r="F37" s="1687"/>
      <c r="G37" s="1687"/>
      <c r="H37" s="279" t="s">
        <v>3483</v>
      </c>
      <c r="I37" s="1683">
        <f>VLOOKUP(A1,TPCPBT!$B$3:$M$23,8,0)</f>
        <v>0.83199999999999996</v>
      </c>
      <c r="J37" s="1683"/>
      <c r="K37" s="1684">
        <f>I37*K35/I35</f>
        <v>0.13866666666666666</v>
      </c>
      <c r="L37" s="1684"/>
      <c r="M37" s="1684"/>
      <c r="N37" s="1683"/>
      <c r="O37" s="1683"/>
      <c r="P37" s="227"/>
      <c r="Q37" s="227"/>
      <c r="R37" s="227"/>
      <c r="S37" s="227"/>
      <c r="T37" s="227"/>
      <c r="U37" s="227"/>
      <c r="V37" s="227"/>
    </row>
    <row r="38" spans="1:22">
      <c r="A38" s="227"/>
      <c r="B38" s="227"/>
      <c r="C38" s="227"/>
      <c r="D38" s="227"/>
      <c r="E38" s="1681" t="s">
        <v>3938</v>
      </c>
      <c r="F38" s="1682"/>
      <c r="G38" s="1682"/>
      <c r="H38" s="279" t="s">
        <v>3939</v>
      </c>
      <c r="I38" s="1683">
        <f>VLOOKUP(A1,TPCPBT!$B$3:$M$23,9,0)</f>
        <v>194</v>
      </c>
      <c r="J38" s="1683"/>
      <c r="K38" s="1688">
        <f>K35*I38/I35</f>
        <v>32.333333333333336</v>
      </c>
      <c r="L38" s="1688"/>
      <c r="M38" s="1688"/>
      <c r="N38" s="1683"/>
      <c r="O38" s="1683"/>
      <c r="P38" s="227"/>
      <c r="Q38" s="227"/>
      <c r="R38" s="227"/>
      <c r="S38" s="227"/>
      <c r="T38" s="227"/>
      <c r="U38" s="227"/>
      <c r="V38" s="227"/>
    </row>
    <row r="39" spans="1:22">
      <c r="A39" s="227"/>
      <c r="B39" s="227"/>
      <c r="C39" s="227"/>
      <c r="D39" s="227"/>
      <c r="E39" s="1681" t="str">
        <f>"     -  PG("&amp;MID(VLOOKUP(A1,TPCPBT!$B$3:$M$23,10,0),1,FIND(":",VLOOKUP(A1,TPCPBT!$B$3:$M$23,10,0))-1)</f>
        <v xml:space="preserve">     -  PG(Sikament R7N</v>
      </c>
      <c r="F39" s="1682"/>
      <c r="G39" s="1682"/>
      <c r="H39" s="279" t="s">
        <v>3939</v>
      </c>
      <c r="I39" s="1683" t="str">
        <f>IFERROR(--MID(VLOOKUP(A1,TPCPBT!$B$3:$M$23,10,0),FIND(":",VLOOKUP(A1,TPCPBT!$B$3:$M$23,10,0))+1,100),"")</f>
        <v/>
      </c>
      <c r="J39" s="1683"/>
      <c r="K39" s="1684" t="str">
        <f>IFERROR(K35*I39/I35,"")</f>
        <v/>
      </c>
      <c r="L39" s="1684"/>
      <c r="M39" s="1684"/>
      <c r="N39" s="1683"/>
      <c r="O39" s="1683"/>
      <c r="P39" s="227"/>
      <c r="Q39" s="227"/>
      <c r="R39" s="227"/>
      <c r="S39" s="227"/>
      <c r="T39" s="227"/>
      <c r="U39" s="227"/>
      <c r="V39" s="227"/>
    </row>
    <row r="40" spans="1:22">
      <c r="A40" s="227"/>
      <c r="B40" s="227"/>
      <c r="C40" s="227"/>
      <c r="D40" s="227"/>
      <c r="E40" s="248" t="s">
        <v>3940</v>
      </c>
      <c r="F40" s="280"/>
      <c r="G40" s="281"/>
      <c r="H40" s="281"/>
      <c r="I40" s="281"/>
      <c r="J40" s="281"/>
      <c r="K40" s="281"/>
      <c r="L40" s="281"/>
      <c r="M40" s="281"/>
      <c r="N40" s="281"/>
      <c r="O40" s="281"/>
      <c r="P40" s="227"/>
      <c r="Q40" s="227"/>
      <c r="R40" s="227"/>
      <c r="S40" s="227"/>
      <c r="T40" s="227"/>
      <c r="U40" s="227"/>
      <c r="V40" s="227"/>
    </row>
    <row r="41" spans="1:22">
      <c r="A41" s="227"/>
      <c r="B41" s="227"/>
      <c r="C41" s="227"/>
      <c r="D41" s="227"/>
      <c r="E41" s="248" t="s">
        <v>3941</v>
      </c>
      <c r="F41" s="280"/>
      <c r="G41" s="281"/>
      <c r="H41" s="281"/>
      <c r="I41" s="281"/>
      <c r="J41" s="281"/>
      <c r="K41" s="281"/>
      <c r="L41" s="281"/>
      <c r="M41" s="281"/>
      <c r="N41" s="281"/>
      <c r="O41" s="281"/>
      <c r="P41" s="227"/>
      <c r="Q41" s="227"/>
      <c r="R41" s="227"/>
      <c r="S41" s="227"/>
      <c r="T41" s="227"/>
      <c r="U41" s="227"/>
      <c r="V41" s="227"/>
    </row>
    <row r="42" spans="1:22">
      <c r="A42" s="227"/>
      <c r="B42" s="227"/>
      <c r="C42" s="227"/>
      <c r="D42" s="227"/>
      <c r="E42" s="248" t="s">
        <v>3942</v>
      </c>
      <c r="F42" s="280"/>
      <c r="G42" s="281"/>
      <c r="H42" s="281"/>
      <c r="I42" s="281"/>
      <c r="J42" s="281"/>
      <c r="K42" s="281"/>
      <c r="L42" s="281"/>
      <c r="M42" s="281"/>
      <c r="N42" s="281"/>
      <c r="O42" s="281"/>
      <c r="P42" s="227"/>
      <c r="Q42" s="227"/>
      <c r="R42" s="227"/>
      <c r="S42" s="227"/>
      <c r="T42" s="227"/>
      <c r="U42" s="227"/>
      <c r="V42" s="227"/>
    </row>
    <row r="43" spans="1:22">
      <c r="A43" s="227"/>
      <c r="B43" s="227"/>
      <c r="C43" s="227"/>
      <c r="D43" s="227"/>
      <c r="E43" s="248" t="s">
        <v>3943</v>
      </c>
      <c r="F43" s="280"/>
      <c r="G43" s="281"/>
      <c r="H43" s="281"/>
      <c r="I43" s="281"/>
      <c r="J43" s="281"/>
      <c r="K43" s="281"/>
      <c r="L43" s="281"/>
      <c r="M43" s="281"/>
      <c r="N43" s="281"/>
      <c r="O43" s="281"/>
      <c r="P43" s="227"/>
      <c r="Q43" s="227"/>
      <c r="R43" s="227"/>
      <c r="S43" s="227"/>
      <c r="T43" s="227"/>
      <c r="U43" s="227"/>
      <c r="V43" s="227"/>
    </row>
    <row r="44" spans="1:22">
      <c r="A44" s="227"/>
      <c r="B44" s="227"/>
      <c r="C44" s="227"/>
      <c r="D44" s="227"/>
      <c r="E44" s="248" t="s">
        <v>3944</v>
      </c>
      <c r="F44" s="280"/>
      <c r="G44" s="281"/>
      <c r="H44" s="281"/>
      <c r="I44" s="281"/>
      <c r="J44" s="281"/>
      <c r="K44" s="281"/>
      <c r="L44" s="281"/>
      <c r="M44" s="281"/>
      <c r="N44" s="281"/>
      <c r="O44" s="281"/>
      <c r="P44" s="227"/>
      <c r="Q44" s="227"/>
      <c r="R44" s="227"/>
      <c r="S44" s="227"/>
      <c r="T44" s="227"/>
      <c r="U44" s="227"/>
      <c r="V44" s="227"/>
    </row>
    <row r="45" spans="1:22">
      <c r="A45" s="227"/>
      <c r="B45" s="227"/>
      <c r="C45" s="227"/>
      <c r="D45" s="227"/>
      <c r="E45" s="248" t="s">
        <v>3945</v>
      </c>
      <c r="F45" s="280"/>
      <c r="G45" s="281"/>
      <c r="H45" s="281"/>
      <c r="I45" s="281" t="s">
        <v>3951</v>
      </c>
      <c r="J45" s="203"/>
      <c r="K45" s="203"/>
      <c r="L45" s="203"/>
      <c r="M45" s="203"/>
      <c r="N45" s="203"/>
      <c r="O45" s="203"/>
      <c r="P45" s="227"/>
      <c r="Q45" s="227"/>
      <c r="R45" s="227"/>
      <c r="S45" s="227"/>
      <c r="T45" s="227"/>
      <c r="U45" s="227"/>
      <c r="V45" s="227"/>
    </row>
    <row r="46" spans="1:22">
      <c r="A46" s="227"/>
      <c r="B46" s="227"/>
      <c r="C46" s="227"/>
      <c r="D46" s="227"/>
      <c r="E46" s="1685" t="s">
        <v>166</v>
      </c>
      <c r="F46" s="1685"/>
      <c r="G46" s="1685"/>
      <c r="H46" s="1685"/>
      <c r="I46" s="1685"/>
      <c r="J46" s="1685" t="s">
        <v>167</v>
      </c>
      <c r="K46" s="1685"/>
      <c r="L46" s="1685"/>
      <c r="M46" s="1685"/>
      <c r="N46" s="1685"/>
      <c r="O46" s="1685"/>
      <c r="P46" s="227"/>
      <c r="Q46" s="227"/>
      <c r="R46" s="227"/>
      <c r="S46" s="227"/>
      <c r="T46" s="227"/>
      <c r="U46" s="227"/>
      <c r="V46" s="227"/>
    </row>
    <row r="47" spans="1:22">
      <c r="A47" s="227"/>
      <c r="B47" s="227"/>
      <c r="C47" s="227"/>
      <c r="D47" s="227"/>
      <c r="E47" s="247"/>
      <c r="F47" s="254"/>
      <c r="G47" s="255"/>
      <c r="H47" s="255"/>
      <c r="I47" s="255"/>
      <c r="J47" s="247"/>
      <c r="K47" s="247"/>
      <c r="L47" s="247"/>
      <c r="M47" s="247"/>
      <c r="N47" s="255"/>
      <c r="O47" s="255"/>
      <c r="P47" s="227"/>
      <c r="Q47" s="227"/>
      <c r="R47" s="227"/>
      <c r="S47" s="227"/>
      <c r="T47" s="227"/>
      <c r="U47" s="227"/>
      <c r="V47" s="227"/>
    </row>
    <row r="48" spans="1:22">
      <c r="A48" s="227"/>
      <c r="B48" s="227"/>
      <c r="C48" s="227"/>
      <c r="D48" s="227"/>
      <c r="E48" s="247"/>
      <c r="F48" s="254"/>
      <c r="G48" s="255"/>
      <c r="H48" s="255"/>
      <c r="I48" s="255"/>
      <c r="J48" s="247"/>
      <c r="K48" s="247"/>
      <c r="L48" s="247"/>
      <c r="M48" s="247"/>
      <c r="N48" s="255"/>
      <c r="O48" s="255"/>
      <c r="P48" s="227"/>
      <c r="Q48" s="227"/>
      <c r="R48" s="227"/>
      <c r="S48" s="227"/>
      <c r="T48" s="227"/>
      <c r="U48" s="227"/>
      <c r="V48" s="227"/>
    </row>
    <row r="49" spans="1:22">
      <c r="A49" s="227"/>
      <c r="B49" s="227"/>
      <c r="C49" s="227"/>
      <c r="D49" s="227"/>
      <c r="E49" s="247"/>
      <c r="F49" s="254"/>
      <c r="G49" s="255"/>
      <c r="H49" s="255"/>
      <c r="I49" s="255"/>
      <c r="J49" s="247"/>
      <c r="K49" s="247"/>
      <c r="L49" s="247"/>
      <c r="M49" s="247"/>
      <c r="N49" s="255"/>
      <c r="O49" s="255"/>
      <c r="P49" s="227"/>
      <c r="Q49" s="227"/>
      <c r="R49" s="227"/>
      <c r="S49" s="227"/>
      <c r="T49" s="227"/>
      <c r="U49" s="227"/>
      <c r="V49" s="227"/>
    </row>
    <row r="50" spans="1:22">
      <c r="A50" s="227"/>
      <c r="B50" s="227"/>
      <c r="C50" s="227"/>
      <c r="D50" s="227"/>
      <c r="E50" s="247"/>
      <c r="F50" s="247"/>
      <c r="G50" s="247"/>
      <c r="H50" s="247"/>
      <c r="I50" s="247"/>
      <c r="J50" s="247"/>
      <c r="K50" s="247"/>
      <c r="L50" s="247"/>
      <c r="M50" s="247"/>
      <c r="N50" s="247"/>
      <c r="O50" s="247"/>
      <c r="P50" s="227"/>
      <c r="Q50" s="227"/>
      <c r="R50" s="227"/>
      <c r="S50" s="227"/>
      <c r="T50" s="227"/>
      <c r="U50" s="227"/>
      <c r="V50" s="227"/>
    </row>
    <row r="51" spans="1:22">
      <c r="A51" s="227"/>
      <c r="B51" s="227"/>
      <c r="C51" s="227"/>
      <c r="D51" s="227"/>
      <c r="E51" s="1679" t="str">
        <f>CBGS1</f>
        <v>Trần Trọng Liêm</v>
      </c>
      <c r="F51" s="1679"/>
      <c r="G51" s="1679"/>
      <c r="H51" s="1679"/>
      <c r="I51" s="1679"/>
      <c r="J51" s="1680" t="str">
        <f>CBKT1</f>
        <v>Hoàng Đình Tảng</v>
      </c>
      <c r="K51" s="1679"/>
      <c r="L51" s="1679"/>
      <c r="M51" s="1679"/>
      <c r="N51" s="1679"/>
      <c r="O51" s="1679"/>
      <c r="P51" s="227"/>
      <c r="Q51" s="227"/>
      <c r="R51" s="227"/>
      <c r="S51" s="227"/>
      <c r="T51" s="227"/>
      <c r="U51" s="227"/>
      <c r="V51" s="227"/>
    </row>
    <row r="52" spans="1:22" hidden="1">
      <c r="A52" s="227"/>
      <c r="B52" s="227"/>
      <c r="C52" s="227"/>
      <c r="D52" s="227"/>
      <c r="P52" s="227"/>
      <c r="Q52" s="227"/>
      <c r="R52" s="227"/>
      <c r="S52" s="227"/>
      <c r="T52" s="227"/>
      <c r="U52" s="227"/>
      <c r="V52" s="227"/>
    </row>
    <row r="53" spans="1:22" hidden="1">
      <c r="A53" s="227"/>
      <c r="B53" s="227"/>
      <c r="C53" s="227"/>
      <c r="D53" s="227"/>
      <c r="E53" s="227"/>
      <c r="F53" s="227"/>
      <c r="G53" s="227"/>
      <c r="H53" s="227"/>
      <c r="I53" s="227"/>
      <c r="J53" s="227"/>
      <c r="K53" s="227"/>
      <c r="L53" s="227"/>
      <c r="M53" s="227"/>
      <c r="N53" s="227"/>
      <c r="O53" s="227"/>
      <c r="P53" s="227"/>
      <c r="Q53" s="227"/>
      <c r="R53" s="227"/>
      <c r="S53" s="227"/>
      <c r="T53" s="227"/>
      <c r="U53" s="227"/>
      <c r="V53" s="227"/>
    </row>
    <row r="54" spans="1:22" hidden="1">
      <c r="A54" s="227"/>
      <c r="B54" s="227"/>
      <c r="C54" s="227"/>
      <c r="D54" s="227"/>
      <c r="E54" s="227"/>
      <c r="F54" s="227"/>
      <c r="G54" s="227"/>
      <c r="H54" s="227"/>
      <c r="I54" s="227"/>
      <c r="J54" s="227"/>
      <c r="K54" s="227"/>
      <c r="L54" s="227"/>
      <c r="M54" s="227"/>
      <c r="N54" s="227"/>
      <c r="O54" s="227"/>
      <c r="P54" s="227"/>
      <c r="Q54" s="227"/>
      <c r="R54" s="227"/>
      <c r="S54" s="227"/>
      <c r="T54" s="227"/>
      <c r="U54" s="227"/>
      <c r="V54" s="227"/>
    </row>
    <row r="55" spans="1:22">
      <c r="A55" s="227"/>
      <c r="B55" s="227"/>
      <c r="C55" s="227"/>
      <c r="D55" s="227"/>
      <c r="E55" s="227"/>
      <c r="F55" s="227"/>
      <c r="G55" s="227"/>
      <c r="H55" s="227"/>
      <c r="I55" s="227"/>
      <c r="J55" s="227"/>
      <c r="K55" s="227"/>
      <c r="L55" s="227"/>
      <c r="M55" s="227"/>
      <c r="N55" s="227"/>
      <c r="O55" s="227"/>
      <c r="P55" s="227"/>
      <c r="Q55" s="227"/>
      <c r="R55" s="227"/>
      <c r="S55" s="227"/>
      <c r="T55" s="227"/>
      <c r="U55" s="227"/>
      <c r="V55" s="227"/>
    </row>
    <row r="56" spans="1:22">
      <c r="A56" s="227"/>
      <c r="B56" s="227"/>
      <c r="C56" s="227"/>
      <c r="D56" s="227"/>
      <c r="E56" s="227"/>
      <c r="F56" s="227"/>
      <c r="G56" s="227"/>
      <c r="H56" s="227"/>
      <c r="I56" s="227"/>
      <c r="J56" s="227"/>
      <c r="K56" s="227"/>
      <c r="L56" s="227"/>
      <c r="M56" s="227"/>
      <c r="N56" s="227"/>
      <c r="O56" s="227"/>
      <c r="P56" s="227"/>
      <c r="Q56" s="227"/>
      <c r="R56" s="227"/>
      <c r="S56" s="227"/>
      <c r="T56" s="227"/>
      <c r="U56" s="227"/>
      <c r="V56" s="227"/>
    </row>
  </sheetData>
  <mergeCells count="49">
    <mergeCell ref="E8:O8"/>
    <mergeCell ref="E7:O7"/>
    <mergeCell ref="E1:O1"/>
    <mergeCell ref="E2:O2"/>
    <mergeCell ref="E3:O3"/>
    <mergeCell ref="E5:O5"/>
    <mergeCell ref="E6:O6"/>
    <mergeCell ref="E24:O24"/>
    <mergeCell ref="E10:O10"/>
    <mergeCell ref="E12:O12"/>
    <mergeCell ref="E13:O13"/>
    <mergeCell ref="E14:O14"/>
    <mergeCell ref="E15:O15"/>
    <mergeCell ref="E18:O18"/>
    <mergeCell ref="E19:O19"/>
    <mergeCell ref="E21:O21"/>
    <mergeCell ref="E29:O29"/>
    <mergeCell ref="E30:O30"/>
    <mergeCell ref="E34:G34"/>
    <mergeCell ref="I34:J34"/>
    <mergeCell ref="K34:M34"/>
    <mergeCell ref="N34:O34"/>
    <mergeCell ref="E31:O31"/>
    <mergeCell ref="E32:O32"/>
    <mergeCell ref="E33:O33"/>
    <mergeCell ref="E35:G35"/>
    <mergeCell ref="I35:J35"/>
    <mergeCell ref="K35:M35"/>
    <mergeCell ref="N35:O35"/>
    <mergeCell ref="E36:G36"/>
    <mergeCell ref="I36:J36"/>
    <mergeCell ref="K36:M36"/>
    <mergeCell ref="N36:O36"/>
    <mergeCell ref="E37:G37"/>
    <mergeCell ref="I37:J37"/>
    <mergeCell ref="K37:M37"/>
    <mergeCell ref="N37:O37"/>
    <mergeCell ref="E38:G38"/>
    <mergeCell ref="I38:J38"/>
    <mergeCell ref="K38:M38"/>
    <mergeCell ref="N38:O38"/>
    <mergeCell ref="E51:I51"/>
    <mergeCell ref="J51:O51"/>
    <mergeCell ref="E39:G39"/>
    <mergeCell ref="I39:J39"/>
    <mergeCell ref="K39:M39"/>
    <mergeCell ref="N39:O39"/>
    <mergeCell ref="E46:I46"/>
    <mergeCell ref="J46:O46"/>
  </mergeCells>
  <dataValidations disablePrompts="1" count="1">
    <dataValidation allowBlank="1" showInputMessage="1" showErrorMessage="1" prompt="*Trạm 60m3/h_x000a_- Chu kỳ cho 1 mẻ trộn: Tck=64 (s)_x000a_- Số mẻ trộn trong 1 giờ (3600 s) =3600/64=56,25 =56 mẻ_x000a_- Dung tich 1 mẻ trộn: 60/56=1,07 =1,1 m3" sqref="N34:O34" xr:uid="{00000000-0002-0000-3000-000000000000}"/>
  </dataValidations>
  <pageMargins left="0.70866141732283472" right="0.35433070866141736" top="0.27559055118110237" bottom="0.3149606299212598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41" r:id="rId4" name="Spinner 1">
              <controlPr defaultSize="0" autoPict="0" macro="[0]!PHIEU_BT_Spinner1_Change">
                <anchor moveWithCells="1" sizeWithCells="1">
                  <from>
                    <xdr:col>17</xdr:col>
                    <xdr:colOff>152400</xdr:colOff>
                    <xdr:row>0</xdr:row>
                    <xdr:rowOff>57150</xdr:rowOff>
                  </from>
                  <to>
                    <xdr:col>18</xdr:col>
                    <xdr:colOff>19050</xdr:colOff>
                    <xdr:row>2</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rgb="FFFF0000"/>
  </sheetPr>
  <dimension ref="A1:E155"/>
  <sheetViews>
    <sheetView workbookViewId="0">
      <selection activeCell="B7" sqref="B7"/>
    </sheetView>
  </sheetViews>
  <sheetFormatPr defaultColWidth="0" defaultRowHeight="16.5"/>
  <cols>
    <col min="1" max="1" width="9.6640625" style="37" bestFit="1" customWidth="1"/>
    <col min="2" max="2" width="79" style="147" customWidth="1"/>
    <col min="3" max="3" width="14.77734375" style="37" customWidth="1"/>
    <col min="4" max="16384" width="8.88671875" style="147" hidden="1"/>
  </cols>
  <sheetData>
    <row r="1" spans="1:3" ht="25.5">
      <c r="A1" s="1316" t="s">
        <v>154</v>
      </c>
      <c r="B1" s="1316"/>
      <c r="C1" s="1316"/>
    </row>
    <row r="2" spans="1:3">
      <c r="A2" s="843" t="s">
        <v>22</v>
      </c>
      <c r="B2" s="843" t="s">
        <v>153</v>
      </c>
      <c r="C2" s="843" t="s">
        <v>20</v>
      </c>
    </row>
    <row r="3" spans="1:3">
      <c r="A3" s="846" t="s">
        <v>362</v>
      </c>
      <c r="B3" s="847" t="s">
        <v>4359</v>
      </c>
      <c r="C3" s="846" t="s">
        <v>317</v>
      </c>
    </row>
    <row r="4" spans="1:3">
      <c r="A4" s="846" t="s">
        <v>363</v>
      </c>
      <c r="B4" s="847" t="s">
        <v>4360</v>
      </c>
      <c r="C4" s="846" t="s">
        <v>67</v>
      </c>
    </row>
    <row r="5" spans="1:3">
      <c r="A5" s="846" t="s">
        <v>364</v>
      </c>
      <c r="B5" s="847" t="s">
        <v>4361</v>
      </c>
      <c r="C5" s="846" t="s">
        <v>355</v>
      </c>
    </row>
    <row r="6" spans="1:3">
      <c r="A6" s="846" t="s">
        <v>365</v>
      </c>
      <c r="B6" s="847" t="s">
        <v>4362</v>
      </c>
      <c r="C6" s="846" t="s">
        <v>355</v>
      </c>
    </row>
    <row r="7" spans="1:3">
      <c r="A7" s="846" t="s">
        <v>366</v>
      </c>
      <c r="B7" s="847" t="s">
        <v>4363</v>
      </c>
      <c r="C7" s="846" t="s">
        <v>67</v>
      </c>
    </row>
    <row r="8" spans="1:3">
      <c r="A8" s="846" t="s">
        <v>367</v>
      </c>
      <c r="B8" s="847" t="s">
        <v>4364</v>
      </c>
      <c r="C8" s="846" t="s">
        <v>152</v>
      </c>
    </row>
    <row r="9" spans="1:3">
      <c r="A9" s="846" t="s">
        <v>368</v>
      </c>
      <c r="B9" s="847" t="s">
        <v>356</v>
      </c>
      <c r="C9" s="846" t="s">
        <v>152</v>
      </c>
    </row>
    <row r="10" spans="1:3">
      <c r="A10" s="846" t="s">
        <v>369</v>
      </c>
      <c r="B10" s="847" t="s">
        <v>357</v>
      </c>
      <c r="C10" s="846" t="s">
        <v>152</v>
      </c>
    </row>
    <row r="11" spans="1:3">
      <c r="A11" s="846" t="s">
        <v>370</v>
      </c>
      <c r="B11" s="847" t="s">
        <v>358</v>
      </c>
      <c r="C11" s="846" t="s">
        <v>152</v>
      </c>
    </row>
    <row r="12" spans="1:3">
      <c r="A12" s="846" t="s">
        <v>371</v>
      </c>
      <c r="B12" s="847" t="s">
        <v>359</v>
      </c>
      <c r="C12" s="846" t="s">
        <v>152</v>
      </c>
    </row>
    <row r="13" spans="1:3">
      <c r="A13" s="846" t="s">
        <v>372</v>
      </c>
      <c r="B13" s="847" t="s">
        <v>360</v>
      </c>
      <c r="C13" s="846" t="s">
        <v>152</v>
      </c>
    </row>
    <row r="14" spans="1:3">
      <c r="A14" s="846" t="s">
        <v>373</v>
      </c>
      <c r="B14" s="847" t="s">
        <v>361</v>
      </c>
      <c r="C14" s="846" t="s">
        <v>152</v>
      </c>
    </row>
    <row r="15" spans="1:3">
      <c r="A15" s="846" t="s">
        <v>374</v>
      </c>
      <c r="B15" s="847" t="s">
        <v>395</v>
      </c>
      <c r="C15" s="846" t="s">
        <v>152</v>
      </c>
    </row>
    <row r="16" spans="1:3">
      <c r="A16" s="846" t="s">
        <v>375</v>
      </c>
      <c r="B16" s="847" t="s">
        <v>396</v>
      </c>
      <c r="C16" s="846" t="s">
        <v>152</v>
      </c>
    </row>
    <row r="17" spans="1:3">
      <c r="A17" s="846" t="s">
        <v>376</v>
      </c>
      <c r="B17" s="847" t="s">
        <v>397</v>
      </c>
      <c r="C17" s="846" t="s">
        <v>152</v>
      </c>
    </row>
    <row r="18" spans="1:3">
      <c r="A18" s="846" t="s">
        <v>377</v>
      </c>
      <c r="B18" s="847" t="s">
        <v>392</v>
      </c>
      <c r="C18" s="846" t="s">
        <v>216</v>
      </c>
    </row>
    <row r="19" spans="1:3">
      <c r="A19" s="846" t="s">
        <v>378</v>
      </c>
      <c r="B19" s="847" t="s">
        <v>394</v>
      </c>
      <c r="C19" s="846" t="s">
        <v>393</v>
      </c>
    </row>
    <row r="20" spans="1:3">
      <c r="A20" s="846" t="s">
        <v>379</v>
      </c>
      <c r="B20" s="847" t="s">
        <v>390</v>
      </c>
      <c r="C20" s="846" t="s">
        <v>152</v>
      </c>
    </row>
    <row r="21" spans="1:3">
      <c r="A21" s="846" t="s">
        <v>380</v>
      </c>
      <c r="B21" s="847" t="s">
        <v>391</v>
      </c>
      <c r="C21" s="846" t="s">
        <v>322</v>
      </c>
    </row>
    <row r="22" spans="1:3">
      <c r="A22" s="846" t="s">
        <v>381</v>
      </c>
      <c r="B22" s="847" t="s">
        <v>4365</v>
      </c>
      <c r="C22" s="846" t="s">
        <v>403</v>
      </c>
    </row>
    <row r="23" spans="1:3">
      <c r="A23" s="846" t="s">
        <v>382</v>
      </c>
      <c r="B23" s="847" t="s">
        <v>4366</v>
      </c>
      <c r="C23" s="846" t="s">
        <v>355</v>
      </c>
    </row>
    <row r="24" spans="1:3">
      <c r="A24" s="846" t="s">
        <v>383</v>
      </c>
      <c r="B24" s="847" t="s">
        <v>4367</v>
      </c>
      <c r="C24" s="846" t="s">
        <v>355</v>
      </c>
    </row>
    <row r="25" spans="1:3">
      <c r="A25" s="846" t="s">
        <v>384</v>
      </c>
      <c r="B25" s="847" t="s">
        <v>4368</v>
      </c>
      <c r="C25" s="846" t="s">
        <v>355</v>
      </c>
    </row>
    <row r="26" spans="1:3">
      <c r="A26" s="846" t="s">
        <v>385</v>
      </c>
      <c r="B26" s="847" t="s">
        <v>4369</v>
      </c>
      <c r="C26" s="846" t="s">
        <v>355</v>
      </c>
    </row>
    <row r="27" spans="1:3">
      <c r="A27" s="846" t="s">
        <v>386</v>
      </c>
      <c r="B27" s="847" t="s">
        <v>155</v>
      </c>
      <c r="C27" s="846" t="s">
        <v>355</v>
      </c>
    </row>
    <row r="28" spans="1:3">
      <c r="A28" s="846" t="s">
        <v>387</v>
      </c>
      <c r="B28" s="847" t="s">
        <v>145</v>
      </c>
      <c r="C28" s="846" t="s">
        <v>319</v>
      </c>
    </row>
    <row r="29" spans="1:3">
      <c r="A29" s="846" t="s">
        <v>388</v>
      </c>
      <c r="B29" s="847" t="s">
        <v>208</v>
      </c>
      <c r="C29" s="846" t="s">
        <v>319</v>
      </c>
    </row>
    <row r="30" spans="1:3">
      <c r="A30" s="846" t="s">
        <v>389</v>
      </c>
      <c r="B30" s="847" t="s">
        <v>4370</v>
      </c>
      <c r="C30" s="846" t="s">
        <v>319</v>
      </c>
    </row>
    <row r="31" spans="1:3">
      <c r="A31" s="846" t="s">
        <v>398</v>
      </c>
      <c r="B31" s="847" t="s">
        <v>157</v>
      </c>
      <c r="C31" s="846" t="s">
        <v>319</v>
      </c>
    </row>
    <row r="32" spans="1:3">
      <c r="A32" s="846" t="s">
        <v>399</v>
      </c>
      <c r="B32" s="847" t="s">
        <v>156</v>
      </c>
      <c r="C32" s="846" t="s">
        <v>319</v>
      </c>
    </row>
    <row r="33" spans="1:3">
      <c r="A33" s="846" t="s">
        <v>400</v>
      </c>
      <c r="B33" s="847" t="s">
        <v>4371</v>
      </c>
      <c r="C33" s="846" t="s">
        <v>319</v>
      </c>
    </row>
    <row r="34" spans="1:3">
      <c r="A34" s="846" t="s">
        <v>401</v>
      </c>
      <c r="B34" s="847" t="s">
        <v>4372</v>
      </c>
      <c r="C34" s="846" t="s">
        <v>216</v>
      </c>
    </row>
    <row r="35" spans="1:3">
      <c r="A35" s="846" t="s">
        <v>402</v>
      </c>
      <c r="B35" s="847" t="s">
        <v>4373</v>
      </c>
      <c r="C35" s="846" t="s">
        <v>393</v>
      </c>
    </row>
    <row r="36" spans="1:3">
      <c r="A36" s="846" t="s">
        <v>404</v>
      </c>
      <c r="B36" s="847" t="s">
        <v>4374</v>
      </c>
      <c r="C36" s="846" t="s">
        <v>322</v>
      </c>
    </row>
    <row r="37" spans="1:3">
      <c r="A37" s="846" t="s">
        <v>405</v>
      </c>
      <c r="B37" s="847" t="s">
        <v>4375</v>
      </c>
      <c r="C37" s="846" t="s">
        <v>322</v>
      </c>
    </row>
    <row r="38" spans="1:3">
      <c r="A38" s="846" t="s">
        <v>3888</v>
      </c>
      <c r="B38" s="847" t="s">
        <v>4376</v>
      </c>
      <c r="C38" s="846"/>
    </row>
    <row r="50" spans="5:5">
      <c r="E50" s="147" t="s">
        <v>4377</v>
      </c>
    </row>
    <row r="51" spans="5:5">
      <c r="E51" s="147" t="s">
        <v>4378</v>
      </c>
    </row>
    <row r="52" spans="5:5">
      <c r="E52" s="147" t="s">
        <v>4379</v>
      </c>
    </row>
    <row r="53" spans="5:5" hidden="1"/>
    <row r="54" spans="5:5" hidden="1"/>
    <row r="55" spans="5:5" hidden="1"/>
    <row r="56" spans="5:5" hidden="1"/>
    <row r="57" spans="5:5" hidden="1"/>
    <row r="58" spans="5:5" hidden="1"/>
    <row r="59" spans="5:5" hidden="1"/>
    <row r="153" spans="5:5">
      <c r="E153" s="147" t="s">
        <v>4377</v>
      </c>
    </row>
    <row r="154" spans="5:5">
      <c r="E154" s="147" t="s">
        <v>4378</v>
      </c>
    </row>
    <row r="155" spans="5:5">
      <c r="E155" s="147" t="s">
        <v>4379</v>
      </c>
    </row>
  </sheetData>
  <mergeCells count="1">
    <mergeCell ref="A1:C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fitToPage="1"/>
  </sheetPr>
  <dimension ref="A1:X84"/>
  <sheetViews>
    <sheetView showGridLines="0" zoomScaleNormal="100" workbookViewId="0">
      <pane xSplit="20" ySplit="4" topLeftCell="U5" activePane="bottomRight" state="frozen"/>
      <selection pane="topRight" activeCell="U1" sqref="U1"/>
      <selection pane="bottomLeft" activeCell="A5" sqref="A5"/>
      <selection pane="bottomRight" activeCell="I24" sqref="I24"/>
    </sheetView>
  </sheetViews>
  <sheetFormatPr defaultRowHeight="15.75"/>
  <cols>
    <col min="1" max="1" width="8.88671875" style="202"/>
    <col min="2" max="2" width="7.44140625" style="202" customWidth="1"/>
    <col min="3" max="3" width="7.21875" style="202" customWidth="1"/>
    <col min="4" max="4" width="8.88671875" style="202"/>
    <col min="5" max="5" width="2.5546875" style="202" customWidth="1"/>
    <col min="6" max="6" width="6.5546875" style="202" customWidth="1"/>
    <col min="7" max="7" width="8.44140625" style="202" customWidth="1"/>
    <col min="8" max="8" width="16.44140625" style="202" customWidth="1"/>
    <col min="9" max="9" width="11.21875" style="202" customWidth="1"/>
    <col min="10" max="10" width="11.44140625" style="202" customWidth="1"/>
    <col min="11" max="11" width="10" style="202" customWidth="1"/>
    <col min="12" max="12" width="8.5546875" style="202" customWidth="1"/>
    <col min="13" max="13" width="2.33203125" style="202" customWidth="1"/>
    <col min="14" max="14" width="4.6640625" style="202" customWidth="1"/>
    <col min="15" max="15" width="6.33203125" style="202" customWidth="1"/>
    <col min="16" max="260" width="8.88671875" style="202"/>
    <col min="261" max="261" width="2.5546875" style="202" customWidth="1"/>
    <col min="262" max="262" width="5.109375" style="202" customWidth="1"/>
    <col min="263" max="263" width="19.109375" style="202" customWidth="1"/>
    <col min="264" max="264" width="11.88671875" style="202" customWidth="1"/>
    <col min="265" max="265" width="10" style="202" customWidth="1"/>
    <col min="266" max="266" width="9.77734375" style="202" customWidth="1"/>
    <col min="267" max="267" width="11" style="202" customWidth="1"/>
    <col min="268" max="516" width="8.88671875" style="202"/>
    <col min="517" max="517" width="2.5546875" style="202" customWidth="1"/>
    <col min="518" max="518" width="5.109375" style="202" customWidth="1"/>
    <col min="519" max="519" width="19.109375" style="202" customWidth="1"/>
    <col min="520" max="520" width="11.88671875" style="202" customWidth="1"/>
    <col min="521" max="521" width="10" style="202" customWidth="1"/>
    <col min="522" max="522" width="9.77734375" style="202" customWidth="1"/>
    <col min="523" max="523" width="11" style="202" customWidth="1"/>
    <col min="524" max="772" width="8.88671875" style="202"/>
    <col min="773" max="773" width="2.5546875" style="202" customWidth="1"/>
    <col min="774" max="774" width="5.109375" style="202" customWidth="1"/>
    <col min="775" max="775" width="19.109375" style="202" customWidth="1"/>
    <col min="776" max="776" width="11.88671875" style="202" customWidth="1"/>
    <col min="777" max="777" width="10" style="202" customWidth="1"/>
    <col min="778" max="778" width="9.77734375" style="202" customWidth="1"/>
    <col min="779" max="779" width="11" style="202" customWidth="1"/>
    <col min="780" max="1028" width="8.88671875" style="202"/>
    <col min="1029" max="1029" width="2.5546875" style="202" customWidth="1"/>
    <col min="1030" max="1030" width="5.109375" style="202" customWidth="1"/>
    <col min="1031" max="1031" width="19.109375" style="202" customWidth="1"/>
    <col min="1032" max="1032" width="11.88671875" style="202" customWidth="1"/>
    <col min="1033" max="1033" width="10" style="202" customWidth="1"/>
    <col min="1034" max="1034" width="9.77734375" style="202" customWidth="1"/>
    <col min="1035" max="1035" width="11" style="202" customWidth="1"/>
    <col min="1036" max="1284" width="8.88671875" style="202"/>
    <col min="1285" max="1285" width="2.5546875" style="202" customWidth="1"/>
    <col min="1286" max="1286" width="5.109375" style="202" customWidth="1"/>
    <col min="1287" max="1287" width="19.109375" style="202" customWidth="1"/>
    <col min="1288" max="1288" width="11.88671875" style="202" customWidth="1"/>
    <col min="1289" max="1289" width="10" style="202" customWidth="1"/>
    <col min="1290" max="1290" width="9.77734375" style="202" customWidth="1"/>
    <col min="1291" max="1291" width="11" style="202" customWidth="1"/>
    <col min="1292" max="1540" width="8.88671875" style="202"/>
    <col min="1541" max="1541" width="2.5546875" style="202" customWidth="1"/>
    <col min="1542" max="1542" width="5.109375" style="202" customWidth="1"/>
    <col min="1543" max="1543" width="19.109375" style="202" customWidth="1"/>
    <col min="1544" max="1544" width="11.88671875" style="202" customWidth="1"/>
    <col min="1545" max="1545" width="10" style="202" customWidth="1"/>
    <col min="1546" max="1546" width="9.77734375" style="202" customWidth="1"/>
    <col min="1547" max="1547" width="11" style="202" customWidth="1"/>
    <col min="1548" max="1796" width="8.88671875" style="202"/>
    <col min="1797" max="1797" width="2.5546875" style="202" customWidth="1"/>
    <col min="1798" max="1798" width="5.109375" style="202" customWidth="1"/>
    <col min="1799" max="1799" width="19.109375" style="202" customWidth="1"/>
    <col min="1800" max="1800" width="11.88671875" style="202" customWidth="1"/>
    <col min="1801" max="1801" width="10" style="202" customWidth="1"/>
    <col min="1802" max="1802" width="9.77734375" style="202" customWidth="1"/>
    <col min="1803" max="1803" width="11" style="202" customWidth="1"/>
    <col min="1804" max="2052" width="8.88671875" style="202"/>
    <col min="2053" max="2053" width="2.5546875" style="202" customWidth="1"/>
    <col min="2054" max="2054" width="5.109375" style="202" customWidth="1"/>
    <col min="2055" max="2055" width="19.109375" style="202" customWidth="1"/>
    <col min="2056" max="2056" width="11.88671875" style="202" customWidth="1"/>
    <col min="2057" max="2057" width="10" style="202" customWidth="1"/>
    <col min="2058" max="2058" width="9.77734375" style="202" customWidth="1"/>
    <col min="2059" max="2059" width="11" style="202" customWidth="1"/>
    <col min="2060" max="2308" width="8.88671875" style="202"/>
    <col min="2309" max="2309" width="2.5546875" style="202" customWidth="1"/>
    <col min="2310" max="2310" width="5.109375" style="202" customWidth="1"/>
    <col min="2311" max="2311" width="19.109375" style="202" customWidth="1"/>
    <col min="2312" max="2312" width="11.88671875" style="202" customWidth="1"/>
    <col min="2313" max="2313" width="10" style="202" customWidth="1"/>
    <col min="2314" max="2314" width="9.77734375" style="202" customWidth="1"/>
    <col min="2315" max="2315" width="11" style="202" customWidth="1"/>
    <col min="2316" max="2564" width="8.88671875" style="202"/>
    <col min="2565" max="2565" width="2.5546875" style="202" customWidth="1"/>
    <col min="2566" max="2566" width="5.109375" style="202" customWidth="1"/>
    <col min="2567" max="2567" width="19.109375" style="202" customWidth="1"/>
    <col min="2568" max="2568" width="11.88671875" style="202" customWidth="1"/>
    <col min="2569" max="2569" width="10" style="202" customWidth="1"/>
    <col min="2570" max="2570" width="9.77734375" style="202" customWidth="1"/>
    <col min="2571" max="2571" width="11" style="202" customWidth="1"/>
    <col min="2572" max="2820" width="8.88671875" style="202"/>
    <col min="2821" max="2821" width="2.5546875" style="202" customWidth="1"/>
    <col min="2822" max="2822" width="5.109375" style="202" customWidth="1"/>
    <col min="2823" max="2823" width="19.109375" style="202" customWidth="1"/>
    <col min="2824" max="2824" width="11.88671875" style="202" customWidth="1"/>
    <col min="2825" max="2825" width="10" style="202" customWidth="1"/>
    <col min="2826" max="2826" width="9.77734375" style="202" customWidth="1"/>
    <col min="2827" max="2827" width="11" style="202" customWidth="1"/>
    <col min="2828" max="3076" width="8.88671875" style="202"/>
    <col min="3077" max="3077" width="2.5546875" style="202" customWidth="1"/>
    <col min="3078" max="3078" width="5.109375" style="202" customWidth="1"/>
    <col min="3079" max="3079" width="19.109375" style="202" customWidth="1"/>
    <col min="3080" max="3080" width="11.88671875" style="202" customWidth="1"/>
    <col min="3081" max="3081" width="10" style="202" customWidth="1"/>
    <col min="3082" max="3082" width="9.77734375" style="202" customWidth="1"/>
    <col min="3083" max="3083" width="11" style="202" customWidth="1"/>
    <col min="3084" max="3332" width="8.88671875" style="202"/>
    <col min="3333" max="3333" width="2.5546875" style="202" customWidth="1"/>
    <col min="3334" max="3334" width="5.109375" style="202" customWidth="1"/>
    <col min="3335" max="3335" width="19.109375" style="202" customWidth="1"/>
    <col min="3336" max="3336" width="11.88671875" style="202" customWidth="1"/>
    <col min="3337" max="3337" width="10" style="202" customWidth="1"/>
    <col min="3338" max="3338" width="9.77734375" style="202" customWidth="1"/>
    <col min="3339" max="3339" width="11" style="202" customWidth="1"/>
    <col min="3340" max="3588" width="8.88671875" style="202"/>
    <col min="3589" max="3589" width="2.5546875" style="202" customWidth="1"/>
    <col min="3590" max="3590" width="5.109375" style="202" customWidth="1"/>
    <col min="3591" max="3591" width="19.109375" style="202" customWidth="1"/>
    <col min="3592" max="3592" width="11.88671875" style="202" customWidth="1"/>
    <col min="3593" max="3593" width="10" style="202" customWidth="1"/>
    <col min="3594" max="3594" width="9.77734375" style="202" customWidth="1"/>
    <col min="3595" max="3595" width="11" style="202" customWidth="1"/>
    <col min="3596" max="3844" width="8.88671875" style="202"/>
    <col min="3845" max="3845" width="2.5546875" style="202" customWidth="1"/>
    <col min="3846" max="3846" width="5.109375" style="202" customWidth="1"/>
    <col min="3847" max="3847" width="19.109375" style="202" customWidth="1"/>
    <col min="3848" max="3848" width="11.88671875" style="202" customWidth="1"/>
    <col min="3849" max="3849" width="10" style="202" customWidth="1"/>
    <col min="3850" max="3850" width="9.77734375" style="202" customWidth="1"/>
    <col min="3851" max="3851" width="11" style="202" customWidth="1"/>
    <col min="3852" max="4100" width="8.88671875" style="202"/>
    <col min="4101" max="4101" width="2.5546875" style="202" customWidth="1"/>
    <col min="4102" max="4102" width="5.109375" style="202" customWidth="1"/>
    <col min="4103" max="4103" width="19.109375" style="202" customWidth="1"/>
    <col min="4104" max="4104" width="11.88671875" style="202" customWidth="1"/>
    <col min="4105" max="4105" width="10" style="202" customWidth="1"/>
    <col min="4106" max="4106" width="9.77734375" style="202" customWidth="1"/>
    <col min="4107" max="4107" width="11" style="202" customWidth="1"/>
    <col min="4108" max="4356" width="8.88671875" style="202"/>
    <col min="4357" max="4357" width="2.5546875" style="202" customWidth="1"/>
    <col min="4358" max="4358" width="5.109375" style="202" customWidth="1"/>
    <col min="4359" max="4359" width="19.109375" style="202" customWidth="1"/>
    <col min="4360" max="4360" width="11.88671875" style="202" customWidth="1"/>
    <col min="4361" max="4361" width="10" style="202" customWidth="1"/>
    <col min="4362" max="4362" width="9.77734375" style="202" customWidth="1"/>
    <col min="4363" max="4363" width="11" style="202" customWidth="1"/>
    <col min="4364" max="4612" width="8.88671875" style="202"/>
    <col min="4613" max="4613" width="2.5546875" style="202" customWidth="1"/>
    <col min="4614" max="4614" width="5.109375" style="202" customWidth="1"/>
    <col min="4615" max="4615" width="19.109375" style="202" customWidth="1"/>
    <col min="4616" max="4616" width="11.88671875" style="202" customWidth="1"/>
    <col min="4617" max="4617" width="10" style="202" customWidth="1"/>
    <col min="4618" max="4618" width="9.77734375" style="202" customWidth="1"/>
    <col min="4619" max="4619" width="11" style="202" customWidth="1"/>
    <col min="4620" max="4868" width="8.88671875" style="202"/>
    <col min="4869" max="4869" width="2.5546875" style="202" customWidth="1"/>
    <col min="4870" max="4870" width="5.109375" style="202" customWidth="1"/>
    <col min="4871" max="4871" width="19.109375" style="202" customWidth="1"/>
    <col min="4872" max="4872" width="11.88671875" style="202" customWidth="1"/>
    <col min="4873" max="4873" width="10" style="202" customWidth="1"/>
    <col min="4874" max="4874" width="9.77734375" style="202" customWidth="1"/>
    <col min="4875" max="4875" width="11" style="202" customWidth="1"/>
    <col min="4876" max="5124" width="8.88671875" style="202"/>
    <col min="5125" max="5125" width="2.5546875" style="202" customWidth="1"/>
    <col min="5126" max="5126" width="5.109375" style="202" customWidth="1"/>
    <col min="5127" max="5127" width="19.109375" style="202" customWidth="1"/>
    <col min="5128" max="5128" width="11.88671875" style="202" customWidth="1"/>
    <col min="5129" max="5129" width="10" style="202" customWidth="1"/>
    <col min="5130" max="5130" width="9.77734375" style="202" customWidth="1"/>
    <col min="5131" max="5131" width="11" style="202" customWidth="1"/>
    <col min="5132" max="5380" width="8.88671875" style="202"/>
    <col min="5381" max="5381" width="2.5546875" style="202" customWidth="1"/>
    <col min="5382" max="5382" width="5.109375" style="202" customWidth="1"/>
    <col min="5383" max="5383" width="19.109375" style="202" customWidth="1"/>
    <col min="5384" max="5384" width="11.88671875" style="202" customWidth="1"/>
    <col min="5385" max="5385" width="10" style="202" customWidth="1"/>
    <col min="5386" max="5386" width="9.77734375" style="202" customWidth="1"/>
    <col min="5387" max="5387" width="11" style="202" customWidth="1"/>
    <col min="5388" max="5636" width="8.88671875" style="202"/>
    <col min="5637" max="5637" width="2.5546875" style="202" customWidth="1"/>
    <col min="5638" max="5638" width="5.109375" style="202" customWidth="1"/>
    <col min="5639" max="5639" width="19.109375" style="202" customWidth="1"/>
    <col min="5640" max="5640" width="11.88671875" style="202" customWidth="1"/>
    <col min="5641" max="5641" width="10" style="202" customWidth="1"/>
    <col min="5642" max="5642" width="9.77734375" style="202" customWidth="1"/>
    <col min="5643" max="5643" width="11" style="202" customWidth="1"/>
    <col min="5644" max="5892" width="8.88671875" style="202"/>
    <col min="5893" max="5893" width="2.5546875" style="202" customWidth="1"/>
    <col min="5894" max="5894" width="5.109375" style="202" customWidth="1"/>
    <col min="5895" max="5895" width="19.109375" style="202" customWidth="1"/>
    <col min="5896" max="5896" width="11.88671875" style="202" customWidth="1"/>
    <col min="5897" max="5897" width="10" style="202" customWidth="1"/>
    <col min="5898" max="5898" width="9.77734375" style="202" customWidth="1"/>
    <col min="5899" max="5899" width="11" style="202" customWidth="1"/>
    <col min="5900" max="6148" width="8.88671875" style="202"/>
    <col min="6149" max="6149" width="2.5546875" style="202" customWidth="1"/>
    <col min="6150" max="6150" width="5.109375" style="202" customWidth="1"/>
    <col min="6151" max="6151" width="19.109375" style="202" customWidth="1"/>
    <col min="6152" max="6152" width="11.88671875" style="202" customWidth="1"/>
    <col min="6153" max="6153" width="10" style="202" customWidth="1"/>
    <col min="6154" max="6154" width="9.77734375" style="202" customWidth="1"/>
    <col min="6155" max="6155" width="11" style="202" customWidth="1"/>
    <col min="6156" max="6404" width="8.88671875" style="202"/>
    <col min="6405" max="6405" width="2.5546875" style="202" customWidth="1"/>
    <col min="6406" max="6406" width="5.109375" style="202" customWidth="1"/>
    <col min="6407" max="6407" width="19.109375" style="202" customWidth="1"/>
    <col min="6408" max="6408" width="11.88671875" style="202" customWidth="1"/>
    <col min="6409" max="6409" width="10" style="202" customWidth="1"/>
    <col min="6410" max="6410" width="9.77734375" style="202" customWidth="1"/>
    <col min="6411" max="6411" width="11" style="202" customWidth="1"/>
    <col min="6412" max="6660" width="8.88671875" style="202"/>
    <col min="6661" max="6661" width="2.5546875" style="202" customWidth="1"/>
    <col min="6662" max="6662" width="5.109375" style="202" customWidth="1"/>
    <col min="6663" max="6663" width="19.109375" style="202" customWidth="1"/>
    <col min="6664" max="6664" width="11.88671875" style="202" customWidth="1"/>
    <col min="6665" max="6665" width="10" style="202" customWidth="1"/>
    <col min="6666" max="6666" width="9.77734375" style="202" customWidth="1"/>
    <col min="6667" max="6667" width="11" style="202" customWidth="1"/>
    <col min="6668" max="6916" width="8.88671875" style="202"/>
    <col min="6917" max="6917" width="2.5546875" style="202" customWidth="1"/>
    <col min="6918" max="6918" width="5.109375" style="202" customWidth="1"/>
    <col min="6919" max="6919" width="19.109375" style="202" customWidth="1"/>
    <col min="6920" max="6920" width="11.88671875" style="202" customWidth="1"/>
    <col min="6921" max="6921" width="10" style="202" customWidth="1"/>
    <col min="6922" max="6922" width="9.77734375" style="202" customWidth="1"/>
    <col min="6923" max="6923" width="11" style="202" customWidth="1"/>
    <col min="6924" max="7172" width="8.88671875" style="202"/>
    <col min="7173" max="7173" width="2.5546875" style="202" customWidth="1"/>
    <col min="7174" max="7174" width="5.109375" style="202" customWidth="1"/>
    <col min="7175" max="7175" width="19.109375" style="202" customWidth="1"/>
    <col min="7176" max="7176" width="11.88671875" style="202" customWidth="1"/>
    <col min="7177" max="7177" width="10" style="202" customWidth="1"/>
    <col min="7178" max="7178" width="9.77734375" style="202" customWidth="1"/>
    <col min="7179" max="7179" width="11" style="202" customWidth="1"/>
    <col min="7180" max="7428" width="8.88671875" style="202"/>
    <col min="7429" max="7429" width="2.5546875" style="202" customWidth="1"/>
    <col min="7430" max="7430" width="5.109375" style="202" customWidth="1"/>
    <col min="7431" max="7431" width="19.109375" style="202" customWidth="1"/>
    <col min="7432" max="7432" width="11.88671875" style="202" customWidth="1"/>
    <col min="7433" max="7433" width="10" style="202" customWidth="1"/>
    <col min="7434" max="7434" width="9.77734375" style="202" customWidth="1"/>
    <col min="7435" max="7435" width="11" style="202" customWidth="1"/>
    <col min="7436" max="7684" width="8.88671875" style="202"/>
    <col min="7685" max="7685" width="2.5546875" style="202" customWidth="1"/>
    <col min="7686" max="7686" width="5.109375" style="202" customWidth="1"/>
    <col min="7687" max="7687" width="19.109375" style="202" customWidth="1"/>
    <col min="7688" max="7688" width="11.88671875" style="202" customWidth="1"/>
    <col min="7689" max="7689" width="10" style="202" customWidth="1"/>
    <col min="7690" max="7690" width="9.77734375" style="202" customWidth="1"/>
    <col min="7691" max="7691" width="11" style="202" customWidth="1"/>
    <col min="7692" max="7940" width="8.88671875" style="202"/>
    <col min="7941" max="7941" width="2.5546875" style="202" customWidth="1"/>
    <col min="7942" max="7942" width="5.109375" style="202" customWidth="1"/>
    <col min="7943" max="7943" width="19.109375" style="202" customWidth="1"/>
    <col min="7944" max="7944" width="11.88671875" style="202" customWidth="1"/>
    <col min="7945" max="7945" width="10" style="202" customWidth="1"/>
    <col min="7946" max="7946" width="9.77734375" style="202" customWidth="1"/>
    <col min="7947" max="7947" width="11" style="202" customWidth="1"/>
    <col min="7948" max="8196" width="8.88671875" style="202"/>
    <col min="8197" max="8197" width="2.5546875" style="202" customWidth="1"/>
    <col min="8198" max="8198" width="5.109375" style="202" customWidth="1"/>
    <col min="8199" max="8199" width="19.109375" style="202" customWidth="1"/>
    <col min="8200" max="8200" width="11.88671875" style="202" customWidth="1"/>
    <col min="8201" max="8201" width="10" style="202" customWidth="1"/>
    <col min="8202" max="8202" width="9.77734375" style="202" customWidth="1"/>
    <col min="8203" max="8203" width="11" style="202" customWidth="1"/>
    <col min="8204" max="8452" width="8.88671875" style="202"/>
    <col min="8453" max="8453" width="2.5546875" style="202" customWidth="1"/>
    <col min="8454" max="8454" width="5.109375" style="202" customWidth="1"/>
    <col min="8455" max="8455" width="19.109375" style="202" customWidth="1"/>
    <col min="8456" max="8456" width="11.88671875" style="202" customWidth="1"/>
    <col min="8457" max="8457" width="10" style="202" customWidth="1"/>
    <col min="8458" max="8458" width="9.77734375" style="202" customWidth="1"/>
    <col min="8459" max="8459" width="11" style="202" customWidth="1"/>
    <col min="8460" max="8708" width="8.88671875" style="202"/>
    <col min="8709" max="8709" width="2.5546875" style="202" customWidth="1"/>
    <col min="8710" max="8710" width="5.109375" style="202" customWidth="1"/>
    <col min="8711" max="8711" width="19.109375" style="202" customWidth="1"/>
    <col min="8712" max="8712" width="11.88671875" style="202" customWidth="1"/>
    <col min="8713" max="8713" width="10" style="202" customWidth="1"/>
    <col min="8714" max="8714" width="9.77734375" style="202" customWidth="1"/>
    <col min="8715" max="8715" width="11" style="202" customWidth="1"/>
    <col min="8716" max="8964" width="8.88671875" style="202"/>
    <col min="8965" max="8965" width="2.5546875" style="202" customWidth="1"/>
    <col min="8966" max="8966" width="5.109375" style="202" customWidth="1"/>
    <col min="8967" max="8967" width="19.109375" style="202" customWidth="1"/>
    <col min="8968" max="8968" width="11.88671875" style="202" customWidth="1"/>
    <col min="8969" max="8969" width="10" style="202" customWidth="1"/>
    <col min="8970" max="8970" width="9.77734375" style="202" customWidth="1"/>
    <col min="8971" max="8971" width="11" style="202" customWidth="1"/>
    <col min="8972" max="9220" width="8.88671875" style="202"/>
    <col min="9221" max="9221" width="2.5546875" style="202" customWidth="1"/>
    <col min="9222" max="9222" width="5.109375" style="202" customWidth="1"/>
    <col min="9223" max="9223" width="19.109375" style="202" customWidth="1"/>
    <col min="9224" max="9224" width="11.88671875" style="202" customWidth="1"/>
    <col min="9225" max="9225" width="10" style="202" customWidth="1"/>
    <col min="9226" max="9226" width="9.77734375" style="202" customWidth="1"/>
    <col min="9227" max="9227" width="11" style="202" customWidth="1"/>
    <col min="9228" max="9476" width="8.88671875" style="202"/>
    <col min="9477" max="9477" width="2.5546875" style="202" customWidth="1"/>
    <col min="9478" max="9478" width="5.109375" style="202" customWidth="1"/>
    <col min="9479" max="9479" width="19.109375" style="202" customWidth="1"/>
    <col min="9480" max="9480" width="11.88671875" style="202" customWidth="1"/>
    <col min="9481" max="9481" width="10" style="202" customWidth="1"/>
    <col min="9482" max="9482" width="9.77734375" style="202" customWidth="1"/>
    <col min="9483" max="9483" width="11" style="202" customWidth="1"/>
    <col min="9484" max="9732" width="8.88671875" style="202"/>
    <col min="9733" max="9733" width="2.5546875" style="202" customWidth="1"/>
    <col min="9734" max="9734" width="5.109375" style="202" customWidth="1"/>
    <col min="9735" max="9735" width="19.109375" style="202" customWidth="1"/>
    <col min="9736" max="9736" width="11.88671875" style="202" customWidth="1"/>
    <col min="9737" max="9737" width="10" style="202" customWidth="1"/>
    <col min="9738" max="9738" width="9.77734375" style="202" customWidth="1"/>
    <col min="9739" max="9739" width="11" style="202" customWidth="1"/>
    <col min="9740" max="9988" width="8.88671875" style="202"/>
    <col min="9989" max="9989" width="2.5546875" style="202" customWidth="1"/>
    <col min="9990" max="9990" width="5.109375" style="202" customWidth="1"/>
    <col min="9991" max="9991" width="19.109375" style="202" customWidth="1"/>
    <col min="9992" max="9992" width="11.88671875" style="202" customWidth="1"/>
    <col min="9993" max="9993" width="10" style="202" customWidth="1"/>
    <col min="9994" max="9994" width="9.77734375" style="202" customWidth="1"/>
    <col min="9995" max="9995" width="11" style="202" customWidth="1"/>
    <col min="9996" max="10244" width="8.88671875" style="202"/>
    <col min="10245" max="10245" width="2.5546875" style="202" customWidth="1"/>
    <col min="10246" max="10246" width="5.109375" style="202" customWidth="1"/>
    <col min="10247" max="10247" width="19.109375" style="202" customWidth="1"/>
    <col min="10248" max="10248" width="11.88671875" style="202" customWidth="1"/>
    <col min="10249" max="10249" width="10" style="202" customWidth="1"/>
    <col min="10250" max="10250" width="9.77734375" style="202" customWidth="1"/>
    <col min="10251" max="10251" width="11" style="202" customWidth="1"/>
    <col min="10252" max="10500" width="8.88671875" style="202"/>
    <col min="10501" max="10501" width="2.5546875" style="202" customWidth="1"/>
    <col min="10502" max="10502" width="5.109375" style="202" customWidth="1"/>
    <col min="10503" max="10503" width="19.109375" style="202" customWidth="1"/>
    <col min="10504" max="10504" width="11.88671875" style="202" customWidth="1"/>
    <col min="10505" max="10505" width="10" style="202" customWidth="1"/>
    <col min="10506" max="10506" width="9.77734375" style="202" customWidth="1"/>
    <col min="10507" max="10507" width="11" style="202" customWidth="1"/>
    <col min="10508" max="10756" width="8.88671875" style="202"/>
    <col min="10757" max="10757" width="2.5546875" style="202" customWidth="1"/>
    <col min="10758" max="10758" width="5.109375" style="202" customWidth="1"/>
    <col min="10759" max="10759" width="19.109375" style="202" customWidth="1"/>
    <col min="10760" max="10760" width="11.88671875" style="202" customWidth="1"/>
    <col min="10761" max="10761" width="10" style="202" customWidth="1"/>
    <col min="10762" max="10762" width="9.77734375" style="202" customWidth="1"/>
    <col min="10763" max="10763" width="11" style="202" customWidth="1"/>
    <col min="10764" max="11012" width="8.88671875" style="202"/>
    <col min="11013" max="11013" width="2.5546875" style="202" customWidth="1"/>
    <col min="11014" max="11014" width="5.109375" style="202" customWidth="1"/>
    <col min="11015" max="11015" width="19.109375" style="202" customWidth="1"/>
    <col min="11016" max="11016" width="11.88671875" style="202" customWidth="1"/>
    <col min="11017" max="11017" width="10" style="202" customWidth="1"/>
    <col min="11018" max="11018" width="9.77734375" style="202" customWidth="1"/>
    <col min="11019" max="11019" width="11" style="202" customWidth="1"/>
    <col min="11020" max="11268" width="8.88671875" style="202"/>
    <col min="11269" max="11269" width="2.5546875" style="202" customWidth="1"/>
    <col min="11270" max="11270" width="5.109375" style="202" customWidth="1"/>
    <col min="11271" max="11271" width="19.109375" style="202" customWidth="1"/>
    <col min="11272" max="11272" width="11.88671875" style="202" customWidth="1"/>
    <col min="11273" max="11273" width="10" style="202" customWidth="1"/>
    <col min="11274" max="11274" width="9.77734375" style="202" customWidth="1"/>
    <col min="11275" max="11275" width="11" style="202" customWidth="1"/>
    <col min="11276" max="11524" width="8.88671875" style="202"/>
    <col min="11525" max="11525" width="2.5546875" style="202" customWidth="1"/>
    <col min="11526" max="11526" width="5.109375" style="202" customWidth="1"/>
    <col min="11527" max="11527" width="19.109375" style="202" customWidth="1"/>
    <col min="11528" max="11528" width="11.88671875" style="202" customWidth="1"/>
    <col min="11529" max="11529" width="10" style="202" customWidth="1"/>
    <col min="11530" max="11530" width="9.77734375" style="202" customWidth="1"/>
    <col min="11531" max="11531" width="11" style="202" customWidth="1"/>
    <col min="11532" max="11780" width="8.88671875" style="202"/>
    <col min="11781" max="11781" width="2.5546875" style="202" customWidth="1"/>
    <col min="11782" max="11782" width="5.109375" style="202" customWidth="1"/>
    <col min="11783" max="11783" width="19.109375" style="202" customWidth="1"/>
    <col min="11784" max="11784" width="11.88671875" style="202" customWidth="1"/>
    <col min="11785" max="11785" width="10" style="202" customWidth="1"/>
    <col min="11786" max="11786" width="9.77734375" style="202" customWidth="1"/>
    <col min="11787" max="11787" width="11" style="202" customWidth="1"/>
    <col min="11788" max="12036" width="8.88671875" style="202"/>
    <col min="12037" max="12037" width="2.5546875" style="202" customWidth="1"/>
    <col min="12038" max="12038" width="5.109375" style="202" customWidth="1"/>
    <col min="12039" max="12039" width="19.109375" style="202" customWidth="1"/>
    <col min="12040" max="12040" width="11.88671875" style="202" customWidth="1"/>
    <col min="12041" max="12041" width="10" style="202" customWidth="1"/>
    <col min="12042" max="12042" width="9.77734375" style="202" customWidth="1"/>
    <col min="12043" max="12043" width="11" style="202" customWidth="1"/>
    <col min="12044" max="12292" width="8.88671875" style="202"/>
    <col min="12293" max="12293" width="2.5546875" style="202" customWidth="1"/>
    <col min="12294" max="12294" width="5.109375" style="202" customWidth="1"/>
    <col min="12295" max="12295" width="19.109375" style="202" customWidth="1"/>
    <col min="12296" max="12296" width="11.88671875" style="202" customWidth="1"/>
    <col min="12297" max="12297" width="10" style="202" customWidth="1"/>
    <col min="12298" max="12298" width="9.77734375" style="202" customWidth="1"/>
    <col min="12299" max="12299" width="11" style="202" customWidth="1"/>
    <col min="12300" max="12548" width="8.88671875" style="202"/>
    <col min="12549" max="12549" width="2.5546875" style="202" customWidth="1"/>
    <col min="12550" max="12550" width="5.109375" style="202" customWidth="1"/>
    <col min="12551" max="12551" width="19.109375" style="202" customWidth="1"/>
    <col min="12552" max="12552" width="11.88671875" style="202" customWidth="1"/>
    <col min="12553" max="12553" width="10" style="202" customWidth="1"/>
    <col min="12554" max="12554" width="9.77734375" style="202" customWidth="1"/>
    <col min="12555" max="12555" width="11" style="202" customWidth="1"/>
    <col min="12556" max="12804" width="8.88671875" style="202"/>
    <col min="12805" max="12805" width="2.5546875" style="202" customWidth="1"/>
    <col min="12806" max="12806" width="5.109375" style="202" customWidth="1"/>
    <col min="12807" max="12807" width="19.109375" style="202" customWidth="1"/>
    <col min="12808" max="12808" width="11.88671875" style="202" customWidth="1"/>
    <col min="12809" max="12809" width="10" style="202" customWidth="1"/>
    <col min="12810" max="12810" width="9.77734375" style="202" customWidth="1"/>
    <col min="12811" max="12811" width="11" style="202" customWidth="1"/>
    <col min="12812" max="13060" width="8.88671875" style="202"/>
    <col min="13061" max="13061" width="2.5546875" style="202" customWidth="1"/>
    <col min="13062" max="13062" width="5.109375" style="202" customWidth="1"/>
    <col min="13063" max="13063" width="19.109375" style="202" customWidth="1"/>
    <col min="13064" max="13064" width="11.88671875" style="202" customWidth="1"/>
    <col min="13065" max="13065" width="10" style="202" customWidth="1"/>
    <col min="13066" max="13066" width="9.77734375" style="202" customWidth="1"/>
    <col min="13067" max="13067" width="11" style="202" customWidth="1"/>
    <col min="13068" max="13316" width="8.88671875" style="202"/>
    <col min="13317" max="13317" width="2.5546875" style="202" customWidth="1"/>
    <col min="13318" max="13318" width="5.109375" style="202" customWidth="1"/>
    <col min="13319" max="13319" width="19.109375" style="202" customWidth="1"/>
    <col min="13320" max="13320" width="11.88671875" style="202" customWidth="1"/>
    <col min="13321" max="13321" width="10" style="202" customWidth="1"/>
    <col min="13322" max="13322" width="9.77734375" style="202" customWidth="1"/>
    <col min="13323" max="13323" width="11" style="202" customWidth="1"/>
    <col min="13324" max="13572" width="8.88671875" style="202"/>
    <col min="13573" max="13573" width="2.5546875" style="202" customWidth="1"/>
    <col min="13574" max="13574" width="5.109375" style="202" customWidth="1"/>
    <col min="13575" max="13575" width="19.109375" style="202" customWidth="1"/>
    <col min="13576" max="13576" width="11.88671875" style="202" customWidth="1"/>
    <col min="13577" max="13577" width="10" style="202" customWidth="1"/>
    <col min="13578" max="13578" width="9.77734375" style="202" customWidth="1"/>
    <col min="13579" max="13579" width="11" style="202" customWidth="1"/>
    <col min="13580" max="13828" width="8.88671875" style="202"/>
    <col min="13829" max="13829" width="2.5546875" style="202" customWidth="1"/>
    <col min="13830" max="13830" width="5.109375" style="202" customWidth="1"/>
    <col min="13831" max="13831" width="19.109375" style="202" customWidth="1"/>
    <col min="13832" max="13832" width="11.88671875" style="202" customWidth="1"/>
    <col min="13833" max="13833" width="10" style="202" customWidth="1"/>
    <col min="13834" max="13834" width="9.77734375" style="202" customWidth="1"/>
    <col min="13835" max="13835" width="11" style="202" customWidth="1"/>
    <col min="13836" max="14084" width="8.88671875" style="202"/>
    <col min="14085" max="14085" width="2.5546875" style="202" customWidth="1"/>
    <col min="14086" max="14086" width="5.109375" style="202" customWidth="1"/>
    <col min="14087" max="14087" width="19.109375" style="202" customWidth="1"/>
    <col min="14088" max="14088" width="11.88671875" style="202" customWidth="1"/>
    <col min="14089" max="14089" width="10" style="202" customWidth="1"/>
    <col min="14090" max="14090" width="9.77734375" style="202" customWidth="1"/>
    <col min="14091" max="14091" width="11" style="202" customWidth="1"/>
    <col min="14092" max="14340" width="8.88671875" style="202"/>
    <col min="14341" max="14341" width="2.5546875" style="202" customWidth="1"/>
    <col min="14342" max="14342" width="5.109375" style="202" customWidth="1"/>
    <col min="14343" max="14343" width="19.109375" style="202" customWidth="1"/>
    <col min="14344" max="14344" width="11.88671875" style="202" customWidth="1"/>
    <col min="14345" max="14345" width="10" style="202" customWidth="1"/>
    <col min="14346" max="14346" width="9.77734375" style="202" customWidth="1"/>
    <col min="14347" max="14347" width="11" style="202" customWidth="1"/>
    <col min="14348" max="14596" width="8.88671875" style="202"/>
    <col min="14597" max="14597" width="2.5546875" style="202" customWidth="1"/>
    <col min="14598" max="14598" width="5.109375" style="202" customWidth="1"/>
    <col min="14599" max="14599" width="19.109375" style="202" customWidth="1"/>
    <col min="14600" max="14600" width="11.88671875" style="202" customWidth="1"/>
    <col min="14601" max="14601" width="10" style="202" customWidth="1"/>
    <col min="14602" max="14602" width="9.77734375" style="202" customWidth="1"/>
    <col min="14603" max="14603" width="11" style="202" customWidth="1"/>
    <col min="14604" max="14852" width="8.88671875" style="202"/>
    <col min="14853" max="14853" width="2.5546875" style="202" customWidth="1"/>
    <col min="14854" max="14854" width="5.109375" style="202" customWidth="1"/>
    <col min="14855" max="14855" width="19.109375" style="202" customWidth="1"/>
    <col min="14856" max="14856" width="11.88671875" style="202" customWidth="1"/>
    <col min="14857" max="14857" width="10" style="202" customWidth="1"/>
    <col min="14858" max="14858" width="9.77734375" style="202" customWidth="1"/>
    <col min="14859" max="14859" width="11" style="202" customWidth="1"/>
    <col min="14860" max="15108" width="8.88671875" style="202"/>
    <col min="15109" max="15109" width="2.5546875" style="202" customWidth="1"/>
    <col min="15110" max="15110" width="5.109375" style="202" customWidth="1"/>
    <col min="15111" max="15111" width="19.109375" style="202" customWidth="1"/>
    <col min="15112" max="15112" width="11.88671875" style="202" customWidth="1"/>
    <col min="15113" max="15113" width="10" style="202" customWidth="1"/>
    <col min="15114" max="15114" width="9.77734375" style="202" customWidth="1"/>
    <col min="15115" max="15115" width="11" style="202" customWidth="1"/>
    <col min="15116" max="15364" width="8.88671875" style="202"/>
    <col min="15365" max="15365" width="2.5546875" style="202" customWidth="1"/>
    <col min="15366" max="15366" width="5.109375" style="202" customWidth="1"/>
    <col min="15367" max="15367" width="19.109375" style="202" customWidth="1"/>
    <col min="15368" max="15368" width="11.88671875" style="202" customWidth="1"/>
    <col min="15369" max="15369" width="10" style="202" customWidth="1"/>
    <col min="15370" max="15370" width="9.77734375" style="202" customWidth="1"/>
    <col min="15371" max="15371" width="11" style="202" customWidth="1"/>
    <col min="15372" max="15620" width="8.88671875" style="202"/>
    <col min="15621" max="15621" width="2.5546875" style="202" customWidth="1"/>
    <col min="15622" max="15622" width="5.109375" style="202" customWidth="1"/>
    <col min="15623" max="15623" width="19.109375" style="202" customWidth="1"/>
    <col min="15624" max="15624" width="11.88671875" style="202" customWidth="1"/>
    <col min="15625" max="15625" width="10" style="202" customWidth="1"/>
    <col min="15626" max="15626" width="9.77734375" style="202" customWidth="1"/>
    <col min="15627" max="15627" width="11" style="202" customWidth="1"/>
    <col min="15628" max="15876" width="8.88671875" style="202"/>
    <col min="15877" max="15877" width="2.5546875" style="202" customWidth="1"/>
    <col min="15878" max="15878" width="5.109375" style="202" customWidth="1"/>
    <col min="15879" max="15879" width="19.109375" style="202" customWidth="1"/>
    <col min="15880" max="15880" width="11.88671875" style="202" customWidth="1"/>
    <col min="15881" max="15881" width="10" style="202" customWidth="1"/>
    <col min="15882" max="15882" width="9.77734375" style="202" customWidth="1"/>
    <col min="15883" max="15883" width="11" style="202" customWidth="1"/>
    <col min="15884" max="16132" width="8.88671875" style="202"/>
    <col min="16133" max="16133" width="2.5546875" style="202" customWidth="1"/>
    <col min="16134" max="16134" width="5.109375" style="202" customWidth="1"/>
    <col min="16135" max="16135" width="19.109375" style="202" customWidth="1"/>
    <col min="16136" max="16136" width="11.88671875" style="202" customWidth="1"/>
    <col min="16137" max="16137" width="10" style="202" customWidth="1"/>
    <col min="16138" max="16138" width="9.77734375" style="202" customWidth="1"/>
    <col min="16139" max="16139" width="11" style="202" customWidth="1"/>
    <col min="16140" max="16384" width="8.88671875" style="202"/>
  </cols>
  <sheetData>
    <row r="1" spans="1:24" ht="20.25">
      <c r="A1" s="227"/>
      <c r="B1" s="227"/>
      <c r="C1" s="227"/>
      <c r="D1" s="227"/>
      <c r="E1" s="1623" t="str">
        <f>E8</f>
        <v>BIÊN BẢN KIỂM TRA BÊ TÔNG SAU KHI THÁO VÁN KHUÔN</v>
      </c>
      <c r="F1" s="1623"/>
      <c r="G1" s="1623"/>
      <c r="H1" s="1623"/>
      <c r="I1" s="1623"/>
      <c r="J1" s="1623"/>
      <c r="K1" s="1623"/>
      <c r="L1" s="1623"/>
      <c r="M1" s="1623"/>
      <c r="N1" s="295"/>
      <c r="O1" s="295"/>
      <c r="P1" s="295"/>
      <c r="Q1" s="295"/>
      <c r="R1" s="295"/>
      <c r="S1" s="295"/>
      <c r="T1" s="295"/>
      <c r="U1" s="295"/>
      <c r="V1" s="295"/>
      <c r="W1" s="295"/>
      <c r="X1" s="295"/>
    </row>
    <row r="2" spans="1:24" ht="28.5" customHeight="1">
      <c r="A2" s="227"/>
      <c r="B2" s="227"/>
      <c r="C2" s="227"/>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1624"/>
      <c r="N2" s="295"/>
      <c r="O2" s="304">
        <v>1</v>
      </c>
      <c r="P2" s="295"/>
      <c r="Q2" s="295"/>
      <c r="R2" s="295"/>
      <c r="S2" s="295"/>
      <c r="T2" s="295"/>
      <c r="U2" s="295"/>
      <c r="V2" s="295"/>
      <c r="W2" s="295"/>
      <c r="X2" s="295"/>
    </row>
    <row r="3" spans="1:24" ht="24.75" customHeight="1">
      <c r="A3" s="227"/>
      <c r="B3" s="227"/>
      <c r="C3" s="227"/>
      <c r="D3" s="227"/>
      <c r="E3" s="1624" t="str">
        <f>"     Địa điểm XD: "&amp;DDXD</f>
        <v xml:space="preserve">     Địa điểm XD: Huyện Ninh Hải - Tỉnh Ninh Thuận</v>
      </c>
      <c r="F3" s="1624"/>
      <c r="G3" s="1624"/>
      <c r="H3" s="1624"/>
      <c r="I3" s="1624"/>
      <c r="J3" s="1624"/>
      <c r="K3" s="1624"/>
      <c r="L3" s="1624"/>
      <c r="M3" s="1624"/>
      <c r="N3" s="295"/>
      <c r="O3" s="295"/>
      <c r="P3" s="295"/>
      <c r="Q3" s="295"/>
      <c r="R3" s="295"/>
      <c r="S3" s="295"/>
      <c r="T3" s="295"/>
      <c r="U3" s="295"/>
      <c r="V3" s="295"/>
      <c r="W3" s="295"/>
      <c r="X3" s="295"/>
    </row>
    <row r="4" spans="1:24" ht="9.75" customHeight="1">
      <c r="A4" s="227"/>
      <c r="B4" s="227"/>
      <c r="C4" s="227"/>
      <c r="D4" s="227"/>
      <c r="E4" s="227"/>
      <c r="F4" s="227"/>
      <c r="G4" s="227"/>
      <c r="H4" s="227"/>
      <c r="I4" s="227"/>
      <c r="J4" s="227"/>
      <c r="K4" s="227"/>
      <c r="L4" s="227"/>
      <c r="M4" s="227"/>
      <c r="N4" s="227"/>
      <c r="O4" s="295"/>
      <c r="P4" s="295"/>
      <c r="Q4" s="295"/>
      <c r="R4" s="295"/>
      <c r="S4" s="295"/>
      <c r="T4" s="295"/>
      <c r="U4" s="295"/>
      <c r="V4" s="295"/>
      <c r="W4" s="295"/>
      <c r="X4" s="295"/>
    </row>
    <row r="5" spans="1:24" ht="16.5">
      <c r="A5" s="227"/>
      <c r="B5" s="227"/>
      <c r="C5" s="227"/>
      <c r="D5" s="227"/>
      <c r="E5" s="1625" t="s">
        <v>158</v>
      </c>
      <c r="F5" s="1625"/>
      <c r="G5" s="1625"/>
      <c r="H5" s="1625"/>
      <c r="I5" s="1625"/>
      <c r="J5" s="1625"/>
      <c r="K5" s="1625"/>
      <c r="L5" s="1625"/>
      <c r="M5" s="1625"/>
      <c r="N5" s="295"/>
      <c r="O5" s="295"/>
      <c r="P5" s="295"/>
      <c r="Q5" s="295"/>
      <c r="R5" s="295"/>
      <c r="S5" s="295"/>
      <c r="T5" s="295"/>
      <c r="U5" s="295"/>
      <c r="V5" s="295"/>
      <c r="W5" s="295"/>
      <c r="X5" s="295"/>
    </row>
    <row r="6" spans="1:24" ht="15" customHeight="1">
      <c r="A6" s="227"/>
      <c r="B6" s="227"/>
      <c r="C6" s="227"/>
      <c r="D6" s="227"/>
      <c r="E6" s="1626" t="s">
        <v>161</v>
      </c>
      <c r="F6" s="1626"/>
      <c r="G6" s="1626"/>
      <c r="H6" s="1626"/>
      <c r="I6" s="1626"/>
      <c r="J6" s="1626"/>
      <c r="K6" s="1626"/>
      <c r="L6" s="1626"/>
      <c r="M6" s="1626"/>
      <c r="N6" s="295"/>
      <c r="O6" s="295"/>
      <c r="P6" s="295"/>
      <c r="Q6" s="295"/>
      <c r="R6" s="295"/>
      <c r="S6" s="295"/>
      <c r="T6" s="295"/>
      <c r="U6" s="295"/>
      <c r="V6" s="295"/>
      <c r="W6" s="295"/>
      <c r="X6" s="295"/>
    </row>
    <row r="7" spans="1:24" ht="16.5">
      <c r="A7" s="227"/>
      <c r="B7" s="227"/>
      <c r="C7" s="227"/>
      <c r="D7" s="227"/>
      <c r="E7" s="1709" t="str">
        <f>Diadanh&amp;", "&amp;IFERROR(Doingay(VLOOKUP(O2,LIST_THAO_VK!$A$6:$H$700,6,0)),"ngày….. tháng….. năm")</f>
        <v>Ninh Hải,  ngày 27 tháng 5 năm 2020</v>
      </c>
      <c r="F7" s="1709"/>
      <c r="G7" s="1709"/>
      <c r="H7" s="1709"/>
      <c r="I7" s="1709"/>
      <c r="J7" s="1709"/>
      <c r="K7" s="1709"/>
      <c r="L7" s="1709"/>
      <c r="M7" s="1709"/>
      <c r="N7" s="296"/>
      <c r="O7" s="296"/>
      <c r="P7" s="295"/>
      <c r="Q7" s="295"/>
      <c r="R7" s="295"/>
      <c r="S7" s="295"/>
      <c r="T7" s="295"/>
      <c r="U7" s="295"/>
      <c r="V7" s="295"/>
      <c r="W7" s="295"/>
      <c r="X7" s="295"/>
    </row>
    <row r="8" spans="1:24" ht="20.25">
      <c r="A8" s="227"/>
      <c r="B8" s="227"/>
      <c r="C8" s="227"/>
      <c r="D8" s="227"/>
      <c r="E8" s="1657" t="s">
        <v>4320</v>
      </c>
      <c r="F8" s="1657"/>
      <c r="G8" s="1657"/>
      <c r="H8" s="1657"/>
      <c r="I8" s="1657"/>
      <c r="J8" s="1657"/>
      <c r="K8" s="1657"/>
      <c r="L8" s="1657"/>
      <c r="M8" s="1657"/>
      <c r="N8" s="295"/>
      <c r="O8" s="295"/>
      <c r="P8" s="295"/>
      <c r="Q8" s="295"/>
      <c r="R8" s="295"/>
      <c r="S8" s="295"/>
      <c r="T8" s="295"/>
      <c r="U8" s="295"/>
      <c r="V8" s="295"/>
      <c r="W8" s="295"/>
      <c r="X8" s="295"/>
    </row>
    <row r="9" spans="1:24" ht="4.5" customHeight="1">
      <c r="A9" s="227"/>
      <c r="B9" s="227"/>
      <c r="C9" s="227"/>
      <c r="D9" s="227"/>
      <c r="E9" s="1708"/>
      <c r="F9" s="1708"/>
      <c r="G9" s="1708"/>
      <c r="H9" s="1708"/>
      <c r="I9" s="1708"/>
      <c r="J9" s="1708"/>
      <c r="K9" s="1708"/>
      <c r="L9" s="1708"/>
      <c r="M9" s="257"/>
      <c r="N9" s="295"/>
      <c r="O9" s="295"/>
      <c r="P9" s="295"/>
      <c r="Q9" s="295"/>
      <c r="R9" s="295"/>
      <c r="S9" s="295"/>
      <c r="T9" s="295"/>
      <c r="U9" s="295"/>
      <c r="V9" s="295"/>
      <c r="W9" s="295"/>
      <c r="X9" s="295"/>
    </row>
    <row r="10" spans="1:24" ht="36.6" customHeight="1">
      <c r="A10" s="227"/>
      <c r="B10" s="227"/>
      <c r="C10" s="227"/>
      <c r="D10" s="227"/>
      <c r="E10" s="1630" t="str">
        <f>IF(NDtieude1&lt;&gt;"",Tieude1&amp;": "&amp;NDtieude1,"")</f>
        <v>Công trình: Gia cố nâng cấp kênh Bà Xoài từ K0+300÷K0+600 - Hệ thống thủy lợi Nha Trinh, huyện Ninh Hải, tỉnh Ninh Thuận</v>
      </c>
      <c r="F10" s="1630"/>
      <c r="G10" s="1630"/>
      <c r="H10" s="1630"/>
      <c r="I10" s="1630"/>
      <c r="J10" s="1630"/>
      <c r="K10" s="1630"/>
      <c r="L10" s="1630"/>
      <c r="M10" s="1630"/>
      <c r="N10" s="297"/>
      <c r="O10" s="297"/>
      <c r="P10" s="298"/>
      <c r="Q10" s="295"/>
      <c r="R10" s="295"/>
      <c r="S10" s="295"/>
      <c r="T10" s="295"/>
      <c r="U10" s="295">
        <f>ROW(E10)</f>
        <v>10</v>
      </c>
      <c r="V10" s="295"/>
      <c r="W10" s="295"/>
      <c r="X10" s="295"/>
    </row>
    <row r="11" spans="1:24" ht="20.100000000000001" hidden="1" customHeight="1">
      <c r="A11" s="227"/>
      <c r="B11" s="227"/>
      <c r="C11" s="227"/>
      <c r="D11" s="227"/>
      <c r="E11" s="1630" t="str">
        <f>IF(NDtieude2&lt;&gt;"",Tieude2&amp;": "&amp;NDtieude2,"")</f>
        <v/>
      </c>
      <c r="F11" s="1630"/>
      <c r="G11" s="1630"/>
      <c r="H11" s="1630"/>
      <c r="I11" s="1630"/>
      <c r="J11" s="1630"/>
      <c r="K11" s="1630"/>
      <c r="L11" s="1630"/>
      <c r="M11" s="1630"/>
      <c r="N11" s="297"/>
      <c r="O11" s="297"/>
      <c r="P11" s="298"/>
      <c r="Q11" s="295"/>
      <c r="R11" s="295"/>
      <c r="S11" s="295"/>
      <c r="T11" s="295"/>
      <c r="U11" s="295">
        <f>ROW(E11)</f>
        <v>11</v>
      </c>
      <c r="V11" s="295"/>
      <c r="W11" s="295"/>
      <c r="X11" s="295"/>
    </row>
    <row r="12" spans="1:24" ht="20.100000000000001" customHeight="1">
      <c r="A12" s="227"/>
      <c r="B12" s="227"/>
      <c r="C12" s="227"/>
      <c r="D12" s="227"/>
      <c r="E12" s="1630" t="str">
        <f>IF(NDtieude3&lt;&gt;"",Tieude3&amp;": "&amp;NDtieude3,"")</f>
        <v>Hạng mục: Kênh và Công trình trên kênh</v>
      </c>
      <c r="F12" s="1630"/>
      <c r="G12" s="1630"/>
      <c r="H12" s="1630"/>
      <c r="I12" s="1630"/>
      <c r="J12" s="1630"/>
      <c r="K12" s="1630"/>
      <c r="L12" s="1630"/>
      <c r="M12" s="1630"/>
      <c r="N12" s="297"/>
      <c r="O12" s="297"/>
      <c r="P12" s="298"/>
      <c r="Q12" s="295"/>
      <c r="R12" s="295"/>
      <c r="S12" s="295"/>
      <c r="T12" s="295"/>
      <c r="U12" s="295">
        <f>ROW(E12)</f>
        <v>12</v>
      </c>
      <c r="V12" s="295"/>
      <c r="W12" s="295"/>
      <c r="X12" s="295"/>
    </row>
    <row r="13" spans="1:24" ht="20.100000000000001" customHeight="1">
      <c r="A13" s="227"/>
      <c r="B13" s="227"/>
      <c r="C13" s="227"/>
      <c r="D13" s="227"/>
      <c r="E13" s="1630" t="str">
        <f>"Vị trí xây dựng: "&amp;DDXD</f>
        <v>Vị trí xây dựng: Huyện Ninh Hải - Tỉnh Ninh Thuận</v>
      </c>
      <c r="F13" s="1630"/>
      <c r="G13" s="1630"/>
      <c r="H13" s="1630"/>
      <c r="I13" s="1630"/>
      <c r="J13" s="1630"/>
      <c r="K13" s="1630"/>
      <c r="L13" s="1630"/>
      <c r="M13" s="1630"/>
      <c r="N13" s="297"/>
      <c r="O13" s="297"/>
      <c r="P13" s="298"/>
      <c r="Q13" s="295"/>
      <c r="R13" s="295"/>
      <c r="S13" s="295"/>
      <c r="T13" s="295"/>
      <c r="U13" s="295">
        <f>ROW(E13)</f>
        <v>13</v>
      </c>
      <c r="V13" s="295"/>
      <c r="W13" s="295"/>
      <c r="X13" s="295"/>
    </row>
    <row r="14" spans="1:24" ht="18" customHeight="1">
      <c r="A14" s="227"/>
      <c r="B14" s="227"/>
      <c r="C14" s="227"/>
      <c r="D14" s="227"/>
      <c r="E14" s="204" t="s">
        <v>3889</v>
      </c>
      <c r="F14" s="205" t="s">
        <v>3890</v>
      </c>
      <c r="G14" s="201"/>
      <c r="H14" s="201"/>
      <c r="J14" s="201"/>
      <c r="K14" s="201"/>
      <c r="L14" s="206"/>
      <c r="M14" s="206"/>
      <c r="N14" s="299"/>
      <c r="O14" s="299"/>
      <c r="P14" s="298"/>
      <c r="Q14" s="295"/>
      <c r="R14" s="295"/>
      <c r="S14" s="295"/>
      <c r="T14" s="295"/>
      <c r="U14" s="295"/>
      <c r="V14" s="295"/>
      <c r="W14" s="295"/>
      <c r="X14" s="295"/>
    </row>
    <row r="15" spans="1:24" ht="20.100000000000001" customHeight="1">
      <c r="A15" s="227"/>
      <c r="B15" s="227"/>
      <c r="C15" s="227"/>
      <c r="D15" s="227"/>
      <c r="E15" s="1633" t="str">
        <f>"+ Đối tượng kiểm tra: "&amp;IFERROR(VLOOKUP(O2,LIST_THAO_VK!$A$6:$H$700,4,0),"")</f>
        <v>+ Đối tượng kiểm tra: Kiểm tra bề mặt bê tông kênh sau khi tháo ván khuôn</v>
      </c>
      <c r="F15" s="1633"/>
      <c r="G15" s="1633"/>
      <c r="H15" s="1633"/>
      <c r="I15" s="1633"/>
      <c r="J15" s="1633"/>
      <c r="K15" s="1633"/>
      <c r="L15" s="1633"/>
      <c r="M15" s="1633"/>
      <c r="N15" s="299"/>
      <c r="O15" s="299"/>
      <c r="P15" s="298"/>
      <c r="Q15" s="295"/>
      <c r="R15" s="295"/>
      <c r="S15" s="295"/>
      <c r="T15" s="295">
        <f>ROW()</f>
        <v>15</v>
      </c>
      <c r="U15" s="295"/>
      <c r="V15" s="295"/>
      <c r="W15" s="295"/>
      <c r="X15" s="295"/>
    </row>
    <row r="16" spans="1:24" ht="20.100000000000001" customHeight="1">
      <c r="A16" s="227"/>
      <c r="B16" s="227"/>
      <c r="C16" s="227"/>
      <c r="D16" s="227"/>
      <c r="E16" s="1633" t="str">
        <f>"+ Vị trí xây dựng trên công trình: "&amp;IFERROR(VLOOKUP(O2,LIST_THAO_VK!$A$6:$H$700,5,0),"")</f>
        <v>+ Vị trí xây dựng trên công trình: Đoạn Km0+300 đến Km0+400</v>
      </c>
      <c r="F16" s="1633"/>
      <c r="G16" s="1633"/>
      <c r="H16" s="1633"/>
      <c r="I16" s="1633"/>
      <c r="J16" s="1633"/>
      <c r="K16" s="1633"/>
      <c r="L16" s="1633"/>
      <c r="M16" s="1633"/>
      <c r="N16" s="299"/>
      <c r="O16" s="299"/>
      <c r="P16" s="298"/>
      <c r="Q16" s="295"/>
      <c r="R16" s="295"/>
      <c r="S16" s="295"/>
      <c r="T16" s="295">
        <f>ROW()</f>
        <v>16</v>
      </c>
      <c r="U16" s="295"/>
      <c r="V16" s="295"/>
      <c r="W16" s="295"/>
      <c r="X16" s="295"/>
    </row>
    <row r="17" spans="1:24" ht="18" customHeight="1">
      <c r="A17" s="227"/>
      <c r="B17" s="227"/>
      <c r="C17" s="227"/>
      <c r="D17" s="227"/>
      <c r="E17" s="204" t="s">
        <v>3891</v>
      </c>
      <c r="F17" s="205" t="s">
        <v>3892</v>
      </c>
      <c r="G17" s="205"/>
      <c r="H17" s="205"/>
      <c r="I17" s="201"/>
      <c r="J17" s="201"/>
      <c r="K17" s="201"/>
      <c r="L17" s="201"/>
      <c r="M17" s="201"/>
      <c r="N17" s="298"/>
      <c r="O17" s="298"/>
      <c r="P17" s="298"/>
      <c r="Q17" s="295"/>
      <c r="R17" s="295"/>
      <c r="S17" s="295"/>
      <c r="T17" s="295"/>
      <c r="U17" s="295"/>
      <c r="V17" s="295"/>
      <c r="W17" s="295"/>
      <c r="X17" s="295"/>
    </row>
    <row r="18" spans="1:24" ht="17.25" customHeight="1">
      <c r="A18" s="227"/>
      <c r="B18" s="227"/>
      <c r="C18" s="227"/>
      <c r="D18" s="227"/>
      <c r="E18" s="1632" t="str">
        <f>"a. Đại diện "&amp;LOWER(MID(Td_DVGS,1,1))&amp;MID(Td_DVGS,2,LEN(Td_DVGS))&amp;": "&amp;DVGS</f>
        <v>a. Đại diện đơn vị tư vấn giám sát: Công ty TNHH Tư vấn Đầu tư Xây dựng Huy Đạt</v>
      </c>
      <c r="F18" s="1524"/>
      <c r="G18" s="1524"/>
      <c r="H18" s="1524"/>
      <c r="I18" s="1524"/>
      <c r="J18" s="1524"/>
      <c r="K18" s="1524"/>
      <c r="L18" s="1524"/>
      <c r="M18" s="1524"/>
      <c r="N18" s="300"/>
      <c r="O18" s="300"/>
      <c r="P18" s="298"/>
      <c r="Q18" s="295"/>
      <c r="R18" s="295"/>
      <c r="S18" s="295"/>
      <c r="T18" s="295"/>
      <c r="U18" s="295">
        <f>ROW(E18)</f>
        <v>18</v>
      </c>
      <c r="V18" s="295"/>
      <c r="W18" s="295"/>
      <c r="X18" s="295"/>
    </row>
    <row r="19" spans="1:24" ht="16.5">
      <c r="A19" s="227"/>
      <c r="B19" s="227"/>
      <c r="C19" s="227"/>
      <c r="D19" s="227"/>
      <c r="E19" s="201"/>
      <c r="F19" s="246" t="str">
        <f>GT_GS1&amp;CBGS1</f>
        <v>Ông: Trần Trọng Liêm</v>
      </c>
      <c r="G19" s="39"/>
      <c r="H19" s="59"/>
      <c r="I19" s="41" t="str">
        <f>"Chức vụ: "&amp;CV_CBGS1</f>
        <v>Chức vụ: Giám sát trưởng</v>
      </c>
      <c r="N19" s="298"/>
      <c r="O19" s="298"/>
      <c r="P19" s="298"/>
      <c r="Q19" s="295"/>
      <c r="R19" s="295"/>
      <c r="S19" s="295"/>
      <c r="T19" s="295"/>
      <c r="U19" s="295"/>
      <c r="V19" s="295"/>
      <c r="W19" s="295"/>
      <c r="X19" s="295"/>
    </row>
    <row r="20" spans="1:24" ht="16.5">
      <c r="A20" s="227"/>
      <c r="B20" s="227"/>
      <c r="C20" s="227"/>
      <c r="D20" s="227"/>
      <c r="E20" s="201"/>
      <c r="F20" s="246" t="str">
        <f>GT_GS2&amp;CBGS2</f>
        <v>Bà  : Nguyễn Thị Minh</v>
      </c>
      <c r="G20" s="39"/>
      <c r="H20" s="59"/>
      <c r="I20" s="735" t="str">
        <f>"Chức vụ: "&amp;CV_CBGS2</f>
        <v>Chức vụ: Giám sát viên</v>
      </c>
      <c r="N20" s="298"/>
      <c r="O20" s="298"/>
      <c r="P20" s="298"/>
      <c r="Q20" s="295"/>
      <c r="R20" s="295"/>
      <c r="S20" s="295"/>
      <c r="T20" s="295"/>
      <c r="U20" s="295"/>
      <c r="V20" s="295"/>
      <c r="W20" s="295"/>
      <c r="X20" s="295"/>
    </row>
    <row r="21" spans="1:24" ht="17.25" customHeight="1">
      <c r="A21" s="227"/>
      <c r="B21" s="227"/>
      <c r="C21" s="227"/>
      <c r="D21" s="227"/>
      <c r="E21" s="1632" t="str">
        <f>"b. Đại diện "&amp;LOWER(MID(Td_DVTC,1,1))&amp;MID(Td_DVTC,2,LEN(Td_DVTC))&amp;": "&amp;DVTC</f>
        <v>b. Đại diện đơn vị thi công: Công ty TNHH Xây dựng Thịnh Dũng</v>
      </c>
      <c r="F21" s="1524"/>
      <c r="G21" s="1524"/>
      <c r="H21" s="1524"/>
      <c r="I21" s="1524"/>
      <c r="J21" s="1524"/>
      <c r="K21" s="1524"/>
      <c r="L21" s="1524"/>
      <c r="M21" s="1524"/>
      <c r="N21" s="300"/>
      <c r="O21" s="300"/>
      <c r="P21" s="298"/>
      <c r="Q21" s="295"/>
      <c r="R21" s="295"/>
      <c r="S21" s="295"/>
      <c r="T21" s="295"/>
      <c r="U21" s="295">
        <f>ROW(E21)</f>
        <v>21</v>
      </c>
      <c r="V21" s="295"/>
      <c r="W21" s="295"/>
      <c r="X21" s="295"/>
    </row>
    <row r="22" spans="1:24" ht="16.5">
      <c r="A22" s="227"/>
      <c r="B22" s="227"/>
      <c r="C22" s="227"/>
      <c r="D22" s="227"/>
      <c r="E22" s="201"/>
      <c r="F22" s="62" t="str">
        <f>GT_CBKT1&amp;CBKT1</f>
        <v>Ông: Hoàng Đình Tảng</v>
      </c>
      <c r="H22" s="45"/>
      <c r="I22" s="51" t="str">
        <f>"Chức vụ: "&amp;CV_CBKT1</f>
        <v>Chức vụ: Chỉ huy công trường</v>
      </c>
      <c r="N22" s="298"/>
      <c r="O22" s="298"/>
      <c r="P22" s="298"/>
      <c r="Q22" s="295"/>
      <c r="R22" s="295"/>
      <c r="S22" s="295"/>
      <c r="T22" s="295"/>
      <c r="U22" s="295"/>
      <c r="V22" s="295"/>
      <c r="W22" s="295"/>
      <c r="X22" s="295"/>
    </row>
    <row r="23" spans="1:24" ht="18" customHeight="1">
      <c r="A23" s="227"/>
      <c r="B23" s="227"/>
      <c r="C23" s="227"/>
      <c r="D23" s="227"/>
      <c r="E23" s="201"/>
      <c r="F23" s="62" t="str">
        <f>GT_CBKT2&amp;CBKT2</f>
        <v>Ông: Lê Thiên Phương</v>
      </c>
      <c r="H23" s="45"/>
      <c r="I23" s="51" t="str">
        <f>"Chức vụ: "&amp;CV_CBKT2</f>
        <v>Chức vụ: Kỹ thuật thi công</v>
      </c>
      <c r="N23" s="298"/>
      <c r="O23" s="298"/>
      <c r="P23" s="298"/>
      <c r="Q23" s="295"/>
      <c r="R23" s="295"/>
      <c r="S23" s="295"/>
      <c r="T23" s="295"/>
      <c r="U23" s="295"/>
      <c r="V23" s="295"/>
      <c r="W23" s="295"/>
      <c r="X23" s="295"/>
    </row>
    <row r="24" spans="1:24" ht="16.5" customHeight="1">
      <c r="A24" s="227"/>
      <c r="B24" s="227"/>
      <c r="C24" s="227"/>
      <c r="D24" s="227"/>
      <c r="E24" s="204" t="s">
        <v>3893</v>
      </c>
      <c r="F24" s="205" t="s">
        <v>3910</v>
      </c>
      <c r="G24" s="205"/>
      <c r="H24" s="205"/>
      <c r="I24" s="205"/>
      <c r="J24" s="205"/>
      <c r="K24" s="205"/>
      <c r="L24" s="201"/>
      <c r="N24" s="295"/>
      <c r="O24" s="295"/>
      <c r="P24" s="295"/>
      <c r="Q24" s="295"/>
      <c r="R24" s="295"/>
      <c r="S24" s="295"/>
      <c r="T24" s="295"/>
      <c r="U24" s="295"/>
      <c r="V24" s="295"/>
      <c r="W24" s="295"/>
      <c r="X24" s="295"/>
    </row>
    <row r="25" spans="1:24" ht="16.5" customHeight="1">
      <c r="A25" s="227"/>
      <c r="B25" s="227"/>
      <c r="C25" s="227"/>
      <c r="D25" s="227"/>
      <c r="E25" s="204"/>
      <c r="F25" s="250" t="str">
        <f>" + Bắt đấu: ……. giờ ….. phút, "&amp;IFERROR(Doingay(VLOOKUP(O2,LIST_THAO_VK!$A$6:$H$700,6,0)),"ngày….. tháng….. năm")</f>
        <v xml:space="preserve"> + Bắt đấu: ……. giờ ….. phút,  ngày 27 tháng 5 năm 2020</v>
      </c>
      <c r="G25" s="250"/>
      <c r="H25" s="250"/>
      <c r="I25" s="250"/>
      <c r="J25" s="250"/>
      <c r="K25" s="250"/>
      <c r="L25" s="250"/>
      <c r="M25" s="211"/>
      <c r="N25" s="301"/>
      <c r="O25" s="295"/>
      <c r="P25" s="295"/>
      <c r="Q25" s="295"/>
      <c r="R25" s="295"/>
      <c r="S25" s="295"/>
      <c r="T25" s="295"/>
      <c r="U25" s="295"/>
      <c r="V25" s="295"/>
      <c r="W25" s="295"/>
      <c r="X25" s="295"/>
    </row>
    <row r="26" spans="1:24" ht="16.5" customHeight="1">
      <c r="A26" s="227"/>
      <c r="B26" s="227"/>
      <c r="C26" s="227"/>
      <c r="D26" s="227"/>
      <c r="E26" s="204"/>
      <c r="F26" s="250" t="str">
        <f>" + Kết thúc: ……. giờ ….. phút, "&amp;IFERROR(Doingay(VLOOKUP(O2,LIST_THAO_VK!$A$6:$H$700,6,0)),"ngày….. tháng….. năm")</f>
        <v xml:space="preserve"> + Kết thúc: ……. giờ ….. phút,  ngày 27 tháng 5 năm 2020</v>
      </c>
      <c r="G26" s="250"/>
      <c r="H26" s="250"/>
      <c r="I26" s="250"/>
      <c r="J26" s="250"/>
      <c r="K26" s="250"/>
      <c r="L26" s="250"/>
      <c r="M26" s="211"/>
      <c r="N26" s="301"/>
      <c r="O26" s="295"/>
      <c r="P26" s="295"/>
      <c r="Q26" s="295"/>
      <c r="R26" s="295"/>
      <c r="S26" s="295"/>
      <c r="T26" s="295"/>
      <c r="U26" s="295"/>
      <c r="V26" s="295"/>
      <c r="W26" s="295"/>
      <c r="X26" s="295"/>
    </row>
    <row r="27" spans="1:24" ht="16.5" customHeight="1">
      <c r="A27" s="227"/>
      <c r="B27" s="227"/>
      <c r="C27" s="227"/>
      <c r="D27" s="227"/>
      <c r="E27" s="204" t="s">
        <v>3895</v>
      </c>
      <c r="F27" s="205" t="s">
        <v>3898</v>
      </c>
      <c r="G27" s="201"/>
      <c r="H27" s="209"/>
      <c r="I27" s="209"/>
      <c r="J27" s="258"/>
      <c r="K27" s="259"/>
      <c r="L27" s="201"/>
      <c r="N27" s="295"/>
      <c r="O27" s="295"/>
      <c r="P27" s="295"/>
      <c r="Q27" s="295"/>
      <c r="R27" s="295"/>
      <c r="S27" s="295"/>
      <c r="T27" s="295"/>
      <c r="U27" s="295"/>
      <c r="V27" s="295"/>
      <c r="W27" s="295"/>
      <c r="X27" s="295"/>
    </row>
    <row r="28" spans="1:24" ht="16.5" customHeight="1">
      <c r="A28" s="227"/>
      <c r="B28" s="227"/>
      <c r="C28" s="227"/>
      <c r="D28" s="227"/>
      <c r="E28" s="204"/>
      <c r="F28" s="212" t="s">
        <v>3911</v>
      </c>
      <c r="G28" s="201"/>
      <c r="H28" s="209"/>
      <c r="I28" s="209"/>
      <c r="J28" s="258"/>
      <c r="K28" s="259"/>
      <c r="L28" s="201"/>
      <c r="N28" s="295"/>
      <c r="O28" s="295"/>
      <c r="P28" s="295"/>
      <c r="Q28" s="295"/>
      <c r="R28" s="295"/>
      <c r="S28" s="295"/>
      <c r="T28" s="295"/>
      <c r="U28" s="295"/>
      <c r="V28" s="295"/>
      <c r="W28" s="295"/>
      <c r="X28" s="295"/>
    </row>
    <row r="29" spans="1:24" ht="16.5">
      <c r="A29" s="227"/>
      <c r="B29" s="227"/>
      <c r="C29" s="227"/>
      <c r="D29" s="227"/>
      <c r="E29" s="204"/>
      <c r="F29" s="260" t="s">
        <v>3912</v>
      </c>
      <c r="G29" s="201"/>
      <c r="H29" s="209"/>
      <c r="I29" s="209"/>
      <c r="J29" s="258"/>
      <c r="K29" s="259"/>
      <c r="L29" s="201"/>
      <c r="N29" s="295"/>
      <c r="O29" s="295"/>
      <c r="P29" s="295"/>
      <c r="Q29" s="295"/>
      <c r="R29" s="295"/>
      <c r="S29" s="295"/>
      <c r="T29" s="295"/>
      <c r="U29" s="295"/>
      <c r="V29" s="295"/>
      <c r="W29" s="295"/>
      <c r="X29" s="295"/>
    </row>
    <row r="30" spans="1:24" ht="16.5">
      <c r="A30" s="227"/>
      <c r="B30" s="227"/>
      <c r="C30" s="227"/>
      <c r="D30" s="227"/>
      <c r="E30" s="204"/>
      <c r="F30" s="260" t="s">
        <v>3913</v>
      </c>
      <c r="G30" s="201"/>
      <c r="H30" s="209"/>
      <c r="I30" s="209"/>
      <c r="J30" s="258"/>
      <c r="K30" s="259"/>
      <c r="L30" s="201"/>
      <c r="N30" s="295"/>
      <c r="O30" s="295"/>
      <c r="P30" s="295"/>
      <c r="Q30" s="295"/>
      <c r="R30" s="295"/>
      <c r="S30" s="295"/>
      <c r="T30" s="295"/>
      <c r="U30" s="295"/>
      <c r="V30" s="295"/>
      <c r="W30" s="295"/>
      <c r="X30" s="295"/>
    </row>
    <row r="31" spans="1:24" ht="16.5">
      <c r="A31" s="227"/>
      <c r="B31" s="227"/>
      <c r="C31" s="227"/>
      <c r="D31" s="227"/>
      <c r="E31" s="204"/>
      <c r="F31" s="208" t="s">
        <v>3914</v>
      </c>
      <c r="G31" s="201"/>
      <c r="H31" s="209"/>
      <c r="I31" s="209"/>
      <c r="J31" s="258"/>
      <c r="K31" s="259"/>
      <c r="L31" s="201"/>
      <c r="N31" s="295"/>
      <c r="O31" s="295"/>
      <c r="P31" s="295"/>
      <c r="Q31" s="295"/>
      <c r="R31" s="295"/>
      <c r="S31" s="295"/>
      <c r="T31" s="295"/>
      <c r="U31" s="295"/>
      <c r="V31" s="295"/>
      <c r="W31" s="295"/>
      <c r="X31" s="295"/>
    </row>
    <row r="32" spans="1:24" ht="16.5">
      <c r="A32" s="227"/>
      <c r="B32" s="227"/>
      <c r="C32" s="227"/>
      <c r="D32" s="227"/>
      <c r="E32" s="204"/>
      <c r="F32" s="260" t="s">
        <v>3915</v>
      </c>
      <c r="G32" s="201"/>
      <c r="H32" s="209"/>
      <c r="I32" s="209"/>
      <c r="J32" s="258"/>
      <c r="K32" s="259"/>
      <c r="L32" s="201"/>
      <c r="N32" s="295"/>
      <c r="O32" s="295"/>
      <c r="P32" s="295"/>
      <c r="Q32" s="295"/>
      <c r="R32" s="295"/>
      <c r="S32" s="295"/>
      <c r="T32" s="295"/>
      <c r="U32" s="295"/>
      <c r="V32" s="295"/>
      <c r="W32" s="295"/>
      <c r="X32" s="295"/>
    </row>
    <row r="33" spans="1:24" ht="16.5">
      <c r="A33" s="227"/>
      <c r="B33" s="227"/>
      <c r="C33" s="227"/>
      <c r="D33" s="227"/>
      <c r="E33" s="204"/>
      <c r="F33" s="260" t="s">
        <v>3916</v>
      </c>
      <c r="G33" s="201"/>
      <c r="H33" s="209"/>
      <c r="I33" s="209"/>
      <c r="J33" s="258"/>
      <c r="K33" s="259"/>
      <c r="L33" s="201"/>
      <c r="N33" s="295"/>
      <c r="O33" s="295"/>
      <c r="P33" s="295"/>
      <c r="Q33" s="295"/>
      <c r="R33" s="295"/>
      <c r="S33" s="295"/>
      <c r="T33" s="295"/>
      <c r="U33" s="295"/>
      <c r="V33" s="295"/>
      <c r="W33" s="295"/>
      <c r="X33" s="295"/>
    </row>
    <row r="34" spans="1:24" s="211" customFormat="1" ht="16.5" customHeight="1">
      <c r="A34" s="227"/>
      <c r="B34" s="227"/>
      <c r="C34" s="227"/>
      <c r="D34" s="227"/>
      <c r="E34" s="210"/>
      <c r="F34" s="266" t="s">
        <v>3917</v>
      </c>
      <c r="G34" s="210"/>
      <c r="H34" s="210"/>
      <c r="I34" s="210"/>
      <c r="J34" s="210"/>
      <c r="K34" s="210"/>
      <c r="L34" s="210"/>
      <c r="N34" s="302"/>
      <c r="O34" s="302"/>
      <c r="P34" s="302"/>
      <c r="Q34" s="302"/>
      <c r="R34" s="302"/>
      <c r="S34" s="302"/>
      <c r="T34" s="302"/>
      <c r="U34" s="302"/>
      <c r="V34" s="302"/>
      <c r="W34" s="302"/>
      <c r="X34" s="302"/>
    </row>
    <row r="35" spans="1:24" s="211" customFormat="1" ht="15.75" customHeight="1">
      <c r="A35" s="227"/>
      <c r="B35" s="227"/>
      <c r="C35" s="227"/>
      <c r="D35" s="227"/>
      <c r="E35" s="210"/>
      <c r="F35" s="1714" t="s">
        <v>21</v>
      </c>
      <c r="G35" s="1715" t="s">
        <v>3897</v>
      </c>
      <c r="H35" s="1716"/>
      <c r="I35" s="1719" t="s">
        <v>4303</v>
      </c>
      <c r="J35" s="1720"/>
      <c r="K35" s="1715" t="s">
        <v>20</v>
      </c>
      <c r="L35" s="1716"/>
      <c r="N35" s="302"/>
      <c r="O35" s="302"/>
      <c r="P35" s="302"/>
      <c r="Q35" s="302"/>
      <c r="R35" s="302"/>
      <c r="S35" s="302"/>
      <c r="T35" s="302"/>
      <c r="U35" s="302"/>
      <c r="V35" s="302"/>
      <c r="W35" s="302"/>
      <c r="X35" s="302"/>
    </row>
    <row r="36" spans="1:24" s="211" customFormat="1" ht="16.5">
      <c r="A36" s="227"/>
      <c r="B36" s="227"/>
      <c r="C36" s="227"/>
      <c r="D36" s="227"/>
      <c r="E36" s="210"/>
      <c r="F36" s="1645"/>
      <c r="G36" s="1717"/>
      <c r="H36" s="1718"/>
      <c r="I36" s="261" t="s">
        <v>3899</v>
      </c>
      <c r="J36" s="262" t="s">
        <v>4307</v>
      </c>
      <c r="K36" s="1717"/>
      <c r="L36" s="1718"/>
      <c r="N36" s="302"/>
      <c r="O36" s="302"/>
      <c r="P36" s="302"/>
      <c r="Q36" s="302"/>
      <c r="R36" s="302"/>
      <c r="S36" s="302"/>
      <c r="T36" s="302"/>
      <c r="U36" s="302"/>
      <c r="V36" s="302"/>
      <c r="W36" s="302"/>
      <c r="X36" s="302"/>
    </row>
    <row r="37" spans="1:24" s="211" customFormat="1" ht="16.5">
      <c r="A37" s="227"/>
      <c r="B37" s="227"/>
      <c r="C37" s="227"/>
      <c r="D37" s="227"/>
      <c r="E37" s="210"/>
      <c r="F37" s="215">
        <v>1</v>
      </c>
      <c r="G37" s="1721" t="s">
        <v>3918</v>
      </c>
      <c r="H37" s="1722"/>
      <c r="I37" s="216" t="s">
        <v>3900</v>
      </c>
      <c r="J37" s="217" t="s">
        <v>3901</v>
      </c>
      <c r="K37" s="1712"/>
      <c r="L37" s="1713"/>
      <c r="N37" s="302"/>
      <c r="O37" s="302"/>
      <c r="P37" s="302"/>
      <c r="Q37" s="302"/>
      <c r="R37" s="302"/>
      <c r="S37" s="302"/>
      <c r="T37" s="302"/>
      <c r="U37" s="302"/>
      <c r="V37" s="302"/>
      <c r="W37" s="302"/>
      <c r="X37" s="302"/>
    </row>
    <row r="38" spans="1:24" s="211" customFormat="1" ht="16.5">
      <c r="A38" s="227"/>
      <c r="B38" s="227"/>
      <c r="C38" s="227"/>
      <c r="D38" s="227"/>
      <c r="E38" s="210"/>
      <c r="F38" s="218">
        <v>2</v>
      </c>
      <c r="G38" s="1723" t="s">
        <v>3919</v>
      </c>
      <c r="H38" s="1724"/>
      <c r="I38" s="219" t="s">
        <v>3900</v>
      </c>
      <c r="J38" s="220" t="s">
        <v>3901</v>
      </c>
      <c r="K38" s="1710"/>
      <c r="L38" s="1711"/>
      <c r="N38" s="302"/>
      <c r="O38" s="302"/>
      <c r="P38" s="302"/>
      <c r="Q38" s="302"/>
      <c r="R38" s="302"/>
      <c r="S38" s="302"/>
      <c r="T38" s="302"/>
      <c r="U38" s="302"/>
      <c r="V38" s="302"/>
      <c r="W38" s="302"/>
      <c r="X38" s="302"/>
    </row>
    <row r="39" spans="1:24" s="211" customFormat="1" ht="16.5">
      <c r="A39" s="227"/>
      <c r="B39" s="227"/>
      <c r="C39" s="227"/>
      <c r="D39" s="227"/>
      <c r="E39" s="210"/>
      <c r="F39" s="218">
        <v>3</v>
      </c>
      <c r="G39" s="1723" t="s">
        <v>3920</v>
      </c>
      <c r="H39" s="1724"/>
      <c r="I39" s="219" t="s">
        <v>3900</v>
      </c>
      <c r="J39" s="220" t="s">
        <v>3901</v>
      </c>
      <c r="K39" s="1710"/>
      <c r="L39" s="1711"/>
      <c r="N39" s="302"/>
      <c r="O39" s="302"/>
      <c r="P39" s="302"/>
      <c r="Q39" s="302"/>
      <c r="R39" s="302"/>
      <c r="S39" s="302"/>
      <c r="T39" s="302"/>
      <c r="U39" s="302"/>
      <c r="V39" s="302"/>
      <c r="W39" s="302"/>
      <c r="X39" s="302"/>
    </row>
    <row r="40" spans="1:24" s="211" customFormat="1" ht="16.5">
      <c r="A40" s="227"/>
      <c r="B40" s="227"/>
      <c r="C40" s="227"/>
      <c r="D40" s="227"/>
      <c r="E40" s="210"/>
      <c r="F40" s="218">
        <v>4</v>
      </c>
      <c r="G40" s="1723" t="s">
        <v>3921</v>
      </c>
      <c r="H40" s="1724"/>
      <c r="I40" s="263" t="s">
        <v>3900</v>
      </c>
      <c r="J40" s="220" t="s">
        <v>3901</v>
      </c>
      <c r="K40" s="1710"/>
      <c r="L40" s="1711"/>
      <c r="N40" s="302"/>
      <c r="O40" s="302"/>
      <c r="P40" s="302"/>
      <c r="Q40" s="302"/>
      <c r="R40" s="302"/>
      <c r="S40" s="302"/>
      <c r="T40" s="302"/>
      <c r="U40" s="302"/>
      <c r="V40" s="302"/>
      <c r="W40" s="302"/>
      <c r="X40" s="302"/>
    </row>
    <row r="41" spans="1:24" s="211" customFormat="1" ht="16.5">
      <c r="A41" s="227"/>
      <c r="B41" s="227"/>
      <c r="C41" s="227"/>
      <c r="D41" s="227"/>
      <c r="E41" s="210"/>
      <c r="F41" s="218">
        <v>5</v>
      </c>
      <c r="G41" s="1723" t="s">
        <v>3922</v>
      </c>
      <c r="H41" s="1724"/>
      <c r="I41" s="219" t="s">
        <v>3900</v>
      </c>
      <c r="J41" s="220" t="s">
        <v>3901</v>
      </c>
      <c r="K41" s="1710"/>
      <c r="L41" s="1711"/>
      <c r="N41" s="302"/>
      <c r="O41" s="302"/>
      <c r="P41" s="302"/>
      <c r="Q41" s="302"/>
      <c r="R41" s="302"/>
      <c r="S41" s="302"/>
      <c r="T41" s="302"/>
      <c r="U41" s="302"/>
      <c r="V41" s="302"/>
      <c r="W41" s="302"/>
      <c r="X41" s="302"/>
    </row>
    <row r="42" spans="1:24" s="211" customFormat="1" ht="16.5">
      <c r="A42" s="227"/>
      <c r="B42" s="227"/>
      <c r="C42" s="227"/>
      <c r="D42" s="227"/>
      <c r="E42" s="210"/>
      <c r="F42" s="221">
        <v>6</v>
      </c>
      <c r="G42" s="1727" t="s">
        <v>3923</v>
      </c>
      <c r="H42" s="1728"/>
      <c r="I42" s="264" t="s">
        <v>3900</v>
      </c>
      <c r="J42" s="222" t="s">
        <v>3901</v>
      </c>
      <c r="K42" s="1725"/>
      <c r="L42" s="1726"/>
      <c r="N42" s="302"/>
      <c r="O42" s="302"/>
      <c r="P42" s="302"/>
      <c r="Q42" s="302"/>
      <c r="R42" s="302"/>
      <c r="S42" s="302"/>
      <c r="T42" s="302"/>
      <c r="U42" s="302"/>
      <c r="V42" s="302"/>
      <c r="W42" s="302"/>
      <c r="X42" s="302"/>
    </row>
    <row r="43" spans="1:24" ht="16.5">
      <c r="A43" s="227"/>
      <c r="B43" s="227"/>
      <c r="C43" s="227"/>
      <c r="D43" s="227"/>
      <c r="E43" s="204" t="s">
        <v>3896</v>
      </c>
      <c r="F43" s="205" t="s">
        <v>3924</v>
      </c>
      <c r="G43" s="201"/>
      <c r="H43" s="201"/>
      <c r="I43" s="201"/>
      <c r="J43" s="201"/>
      <c r="K43" s="201"/>
      <c r="L43" s="201"/>
      <c r="N43" s="295"/>
      <c r="O43" s="295"/>
      <c r="P43" s="295"/>
      <c r="Q43" s="295"/>
      <c r="R43" s="295"/>
      <c r="S43" s="295"/>
      <c r="T43" s="295"/>
      <c r="U43" s="295"/>
      <c r="V43" s="295"/>
      <c r="W43" s="295"/>
      <c r="X43" s="295"/>
    </row>
    <row r="44" spans="1:24" s="265" customFormat="1" ht="20.25" customHeight="1">
      <c r="A44" s="227"/>
      <c r="B44" s="227"/>
      <c r="C44" s="227"/>
      <c r="D44" s="227"/>
      <c r="E44" s="205"/>
      <c r="F44" s="1729" t="s">
        <v>4380</v>
      </c>
      <c r="G44" s="1729"/>
      <c r="H44" s="1729"/>
      <c r="I44" s="1729"/>
      <c r="J44" s="1729"/>
      <c r="K44" s="1729"/>
      <c r="L44" s="1729"/>
      <c r="N44" s="303"/>
      <c r="O44" s="303"/>
      <c r="P44" s="303"/>
      <c r="Q44" s="303"/>
      <c r="R44" s="303"/>
      <c r="S44" s="303"/>
      <c r="T44" s="303"/>
      <c r="U44" s="303"/>
      <c r="V44" s="303"/>
      <c r="W44" s="303"/>
      <c r="X44" s="303"/>
    </row>
    <row r="45" spans="1:24" ht="16.5">
      <c r="A45" s="227"/>
      <c r="B45" s="227"/>
      <c r="C45" s="227"/>
      <c r="D45" s="227"/>
      <c r="E45" s="224"/>
      <c r="F45" s="1635" t="s">
        <v>446</v>
      </c>
      <c r="G45" s="1635"/>
      <c r="H45" s="1635"/>
      <c r="I45" s="256"/>
      <c r="J45" s="1635" t="s">
        <v>447</v>
      </c>
      <c r="K45" s="1635"/>
      <c r="L45" s="1635"/>
      <c r="M45" s="1635"/>
      <c r="N45" s="295"/>
      <c r="O45" s="295"/>
      <c r="P45" s="295"/>
      <c r="Q45" s="295"/>
      <c r="R45" s="295"/>
      <c r="S45" s="295"/>
      <c r="T45" s="295"/>
      <c r="U45" s="295"/>
      <c r="V45" s="295"/>
      <c r="W45" s="295"/>
      <c r="X45" s="295"/>
    </row>
    <row r="46" spans="1:24" ht="16.5">
      <c r="A46" s="227"/>
      <c r="B46" s="227"/>
      <c r="C46" s="227"/>
      <c r="D46" s="227"/>
      <c r="E46" s="224"/>
      <c r="F46" s="224"/>
      <c r="G46" s="226"/>
      <c r="H46" s="226"/>
      <c r="I46" s="226"/>
      <c r="J46" s="226"/>
      <c r="K46" s="226"/>
      <c r="L46" s="224"/>
      <c r="M46" s="213"/>
      <c r="N46" s="295"/>
      <c r="O46" s="295"/>
      <c r="P46" s="295"/>
      <c r="Q46" s="295"/>
      <c r="R46" s="295"/>
      <c r="S46" s="295"/>
      <c r="T46" s="295"/>
      <c r="U46" s="295"/>
      <c r="V46" s="295"/>
      <c r="W46" s="295"/>
      <c r="X46" s="295"/>
    </row>
    <row r="47" spans="1:24" ht="16.5">
      <c r="A47" s="227"/>
      <c r="B47" s="227"/>
      <c r="C47" s="227"/>
      <c r="D47" s="227"/>
      <c r="E47" s="224"/>
      <c r="F47" s="224"/>
      <c r="G47" s="226"/>
      <c r="H47" s="226"/>
      <c r="I47" s="226"/>
      <c r="J47" s="226"/>
      <c r="K47" s="226"/>
      <c r="L47" s="224"/>
      <c r="M47" s="213"/>
      <c r="N47" s="295"/>
      <c r="O47" s="295"/>
      <c r="P47" s="295"/>
      <c r="Q47" s="295"/>
      <c r="R47" s="295"/>
      <c r="S47" s="295"/>
      <c r="T47" s="295"/>
      <c r="U47" s="295"/>
      <c r="V47" s="295"/>
      <c r="W47" s="295"/>
      <c r="X47" s="295"/>
    </row>
    <row r="48" spans="1:24" ht="16.5">
      <c r="A48" s="227"/>
      <c r="B48" s="227"/>
      <c r="C48" s="227"/>
      <c r="D48" s="227"/>
      <c r="E48" s="224"/>
      <c r="F48" s="224"/>
      <c r="G48" s="226"/>
      <c r="H48" s="226"/>
      <c r="I48" s="226"/>
      <c r="J48" s="226"/>
      <c r="K48" s="226"/>
      <c r="L48" s="224"/>
      <c r="M48" s="213"/>
      <c r="N48" s="295"/>
      <c r="O48" s="295"/>
      <c r="P48" s="295"/>
      <c r="Q48" s="295"/>
      <c r="R48" s="295"/>
      <c r="S48" s="295"/>
      <c r="T48" s="295"/>
      <c r="U48" s="295"/>
      <c r="V48" s="295"/>
      <c r="W48" s="295"/>
      <c r="X48" s="295"/>
    </row>
    <row r="49" spans="1:24" ht="16.5">
      <c r="A49" s="227"/>
      <c r="B49" s="227"/>
      <c r="C49" s="227"/>
      <c r="D49" s="227"/>
      <c r="E49" s="224"/>
      <c r="F49" s="224"/>
      <c r="G49" s="224"/>
      <c r="H49" s="224"/>
      <c r="I49" s="224"/>
      <c r="J49" s="224"/>
      <c r="K49" s="224"/>
      <c r="L49" s="224"/>
      <c r="M49" s="213"/>
      <c r="N49" s="295"/>
      <c r="O49" s="295"/>
      <c r="P49" s="295"/>
      <c r="Q49" s="295"/>
      <c r="R49" s="295"/>
      <c r="S49" s="295"/>
      <c r="T49" s="295"/>
      <c r="U49" s="295"/>
      <c r="V49" s="295"/>
      <c r="W49" s="295"/>
      <c r="X49" s="295"/>
    </row>
    <row r="50" spans="1:24" ht="16.5">
      <c r="A50" s="227"/>
      <c r="B50" s="227"/>
      <c r="C50" s="227"/>
      <c r="D50" s="227"/>
      <c r="E50" s="224"/>
      <c r="F50" s="1635" t="str">
        <f>CBGS1</f>
        <v>Trần Trọng Liêm</v>
      </c>
      <c r="G50" s="1635"/>
      <c r="H50" s="1635"/>
      <c r="I50" s="224"/>
      <c r="J50" s="1635" t="str">
        <f>CBKT1</f>
        <v>Hoàng Đình Tảng</v>
      </c>
      <c r="K50" s="1635"/>
      <c r="L50" s="1635"/>
      <c r="M50" s="1635"/>
      <c r="N50" s="295"/>
      <c r="O50" s="295"/>
      <c r="P50" s="295"/>
      <c r="Q50" s="295"/>
      <c r="R50" s="295"/>
      <c r="S50" s="295"/>
      <c r="T50" s="295"/>
      <c r="U50" s="295"/>
      <c r="V50" s="295"/>
      <c r="W50" s="295"/>
      <c r="X50" s="295"/>
    </row>
    <row r="51" spans="1:24" ht="16.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row>
    <row r="52" spans="1:24" ht="16.5">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row>
    <row r="53" spans="1:24" ht="16.5">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row>
    <row r="54" spans="1:24" ht="16.5">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row>
    <row r="55" spans="1:24" ht="16.5">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row>
    <row r="56" spans="1:24" ht="16.5">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row>
    <row r="57" spans="1:24" ht="16.5">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row>
    <row r="58" spans="1:24" ht="16.5">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row>
    <row r="59" spans="1:24" ht="16.5">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row>
    <row r="60" spans="1:24" ht="16.5">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row>
    <row r="61" spans="1:24" ht="16.5">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row>
    <row r="62" spans="1:24" ht="16.5">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row>
    <row r="63" spans="1:24" ht="16.5">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row>
    <row r="64" spans="1:24" ht="16.5">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row>
    <row r="65" spans="1:24" ht="16.5">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row>
    <row r="66" spans="1:24" ht="16.5">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row>
    <row r="67" spans="1:24" ht="16.5">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row>
    <row r="68" spans="1:24" ht="16.5">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row>
    <row r="69" spans="1:24" ht="16.5">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row>
    <row r="70" spans="1:24" ht="16.5">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row>
    <row r="71" spans="1:24" ht="16.5">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row>
    <row r="72" spans="1:24" ht="16.5">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row>
    <row r="73" spans="1:24" ht="16.5">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row>
    <row r="74" spans="1:24" ht="16.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row>
    <row r="75" spans="1:24" ht="16.5">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row>
    <row r="76" spans="1:24" ht="16.5">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row>
    <row r="77" spans="1:24" ht="16.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row>
    <row r="78" spans="1:24" ht="16.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row>
    <row r="79" spans="1:24" ht="16.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row>
    <row r="80" spans="1:24" ht="16.5">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row>
    <row r="81" spans="1:24" ht="16.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row>
    <row r="82" spans="1:24" ht="16.5">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row>
    <row r="83" spans="1:24" ht="16.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row>
    <row r="84" spans="1:24" ht="16.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row>
  </sheetData>
  <mergeCells count="37">
    <mergeCell ref="G41:H41"/>
    <mergeCell ref="E15:M15"/>
    <mergeCell ref="E16:M16"/>
    <mergeCell ref="J50:M50"/>
    <mergeCell ref="K41:L41"/>
    <mergeCell ref="K42:L42"/>
    <mergeCell ref="F45:H45"/>
    <mergeCell ref="F50:H50"/>
    <mergeCell ref="J45:M45"/>
    <mergeCell ref="G42:H42"/>
    <mergeCell ref="F44:L44"/>
    <mergeCell ref="K40:L40"/>
    <mergeCell ref="G40:H40"/>
    <mergeCell ref="E12:M12"/>
    <mergeCell ref="E13:M13"/>
    <mergeCell ref="E18:M18"/>
    <mergeCell ref="E21:M21"/>
    <mergeCell ref="K39:L39"/>
    <mergeCell ref="K37:L37"/>
    <mergeCell ref="F35:F36"/>
    <mergeCell ref="G35:H36"/>
    <mergeCell ref="I35:J35"/>
    <mergeCell ref="K35:L36"/>
    <mergeCell ref="G37:H37"/>
    <mergeCell ref="G38:H38"/>
    <mergeCell ref="G39:H39"/>
    <mergeCell ref="K38:L38"/>
    <mergeCell ref="E9:L9"/>
    <mergeCell ref="E10:M10"/>
    <mergeCell ref="E11:M11"/>
    <mergeCell ref="E7:M7"/>
    <mergeCell ref="E1:M1"/>
    <mergeCell ref="E2:M2"/>
    <mergeCell ref="E3:M3"/>
    <mergeCell ref="E5:M5"/>
    <mergeCell ref="E6:M6"/>
    <mergeCell ref="E8:M8"/>
  </mergeCells>
  <pageMargins left="0.82677165354330717" right="0.43307086614173229" top="0.39370078740157483" bottom="0.23622047244094491" header="0.39370078740157483" footer="0.19685039370078741"/>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01" r:id="rId4" name="Spinner 1">
              <controlPr defaultSize="0" autoPict="0" macro="[0]!Spinner1_Change">
                <anchor moveWithCells="1" sizeWithCells="1">
                  <from>
                    <xdr:col>15</xdr:col>
                    <xdr:colOff>95250</xdr:colOff>
                    <xdr:row>0</xdr:row>
                    <xdr:rowOff>0</xdr:rowOff>
                  </from>
                  <to>
                    <xdr:col>15</xdr:col>
                    <xdr:colOff>400050</xdr:colOff>
                    <xdr:row>2</xdr:row>
                    <xdr:rowOff>152400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8"/>
  <dimension ref="A1:XFA465"/>
  <sheetViews>
    <sheetView showGridLines="0" zoomScaleNormal="100" workbookViewId="0">
      <pane xSplit="22" ySplit="4" topLeftCell="W14" activePane="bottomRight" state="frozen"/>
      <selection pane="topRight" activeCell="W1" sqref="W1"/>
      <selection pane="bottomLeft" activeCell="A5" sqref="A5"/>
      <selection pane="bottomRight" activeCell="E14" sqref="E14:L14"/>
    </sheetView>
  </sheetViews>
  <sheetFormatPr defaultRowHeight="15.75"/>
  <cols>
    <col min="1" max="1" width="9.109375" style="202" bestFit="1" customWidth="1"/>
    <col min="2" max="2" width="8.88671875" style="202"/>
    <col min="3" max="3" width="5.77734375" style="202" customWidth="1"/>
    <col min="4" max="4" width="8.88671875" style="202"/>
    <col min="5" max="5" width="2.5546875" style="202" customWidth="1"/>
    <col min="6" max="6" width="4.88671875" style="202" customWidth="1"/>
    <col min="7" max="7" width="30.5546875" style="202" customWidth="1"/>
    <col min="8" max="8" width="7.44140625" style="202" customWidth="1"/>
    <col min="9" max="9" width="10.21875" style="202" customWidth="1"/>
    <col min="10" max="10" width="9.88671875" style="202" customWidth="1"/>
    <col min="11" max="11" width="11.44140625" style="202" customWidth="1"/>
    <col min="12" max="12" width="1.77734375" style="202" customWidth="1"/>
    <col min="13" max="13" width="4.21875" style="202" customWidth="1"/>
    <col min="14" max="14" width="4.5546875" style="202" customWidth="1"/>
    <col min="15" max="22" width="8.88671875" style="202"/>
    <col min="23" max="23" width="9.44140625" style="202" customWidth="1"/>
    <col min="24" max="256" width="8.88671875" style="202"/>
    <col min="257" max="257" width="3" style="202" customWidth="1"/>
    <col min="258" max="258" width="4.88671875" style="202" customWidth="1"/>
    <col min="259" max="259" width="7.6640625" style="202" customWidth="1"/>
    <col min="260" max="260" width="7.44140625" style="202" customWidth="1"/>
    <col min="261" max="261" width="5.5546875" style="202" customWidth="1"/>
    <col min="262" max="262" width="4.5546875" style="202" customWidth="1"/>
    <col min="263" max="263" width="8.5546875" style="202" customWidth="1"/>
    <col min="264" max="264" width="5.5546875" style="202" customWidth="1"/>
    <col min="265" max="265" width="6.6640625" style="202" bestFit="1" customWidth="1"/>
    <col min="266" max="266" width="6.88671875" style="202" customWidth="1"/>
    <col min="267" max="267" width="8.33203125" style="202" customWidth="1"/>
    <col min="268" max="268" width="9.44140625" style="202" customWidth="1"/>
    <col min="269" max="269" width="4.88671875" style="202" customWidth="1"/>
    <col min="270" max="278" width="8.88671875" style="202"/>
    <col min="279" max="279" width="9.44140625" style="202" customWidth="1"/>
    <col min="280" max="512" width="8.88671875" style="202"/>
    <col min="513" max="513" width="3" style="202" customWidth="1"/>
    <col min="514" max="514" width="4.88671875" style="202" customWidth="1"/>
    <col min="515" max="515" width="7.6640625" style="202" customWidth="1"/>
    <col min="516" max="516" width="7.44140625" style="202" customWidth="1"/>
    <col min="517" max="517" width="5.5546875" style="202" customWidth="1"/>
    <col min="518" max="518" width="4.5546875" style="202" customWidth="1"/>
    <col min="519" max="519" width="8.5546875" style="202" customWidth="1"/>
    <col min="520" max="520" width="5.5546875" style="202" customWidth="1"/>
    <col min="521" max="521" width="6.6640625" style="202" bestFit="1" customWidth="1"/>
    <col min="522" max="522" width="6.88671875" style="202" customWidth="1"/>
    <col min="523" max="523" width="8.33203125" style="202" customWidth="1"/>
    <col min="524" max="524" width="9.44140625" style="202" customWidth="1"/>
    <col min="525" max="525" width="4.88671875" style="202" customWidth="1"/>
    <col min="526" max="534" width="8.88671875" style="202"/>
    <col min="535" max="535" width="9.44140625" style="202" customWidth="1"/>
    <col min="536" max="768" width="8.88671875" style="202"/>
    <col min="769" max="769" width="3" style="202" customWidth="1"/>
    <col min="770" max="770" width="4.88671875" style="202" customWidth="1"/>
    <col min="771" max="771" width="7.6640625" style="202" customWidth="1"/>
    <col min="772" max="772" width="7.44140625" style="202" customWidth="1"/>
    <col min="773" max="773" width="5.5546875" style="202" customWidth="1"/>
    <col min="774" max="774" width="4.5546875" style="202" customWidth="1"/>
    <col min="775" max="775" width="8.5546875" style="202" customWidth="1"/>
    <col min="776" max="776" width="5.5546875" style="202" customWidth="1"/>
    <col min="777" max="777" width="6.6640625" style="202" bestFit="1" customWidth="1"/>
    <col min="778" max="778" width="6.88671875" style="202" customWidth="1"/>
    <col min="779" max="779" width="8.33203125" style="202" customWidth="1"/>
    <col min="780" max="780" width="9.44140625" style="202" customWidth="1"/>
    <col min="781" max="781" width="4.88671875" style="202" customWidth="1"/>
    <col min="782" max="790" width="8.88671875" style="202"/>
    <col min="791" max="791" width="9.44140625" style="202" customWidth="1"/>
    <col min="792" max="1024" width="8.88671875" style="202"/>
    <col min="1025" max="1025" width="3" style="202" customWidth="1"/>
    <col min="1026" max="1026" width="4.88671875" style="202" customWidth="1"/>
    <col min="1027" max="1027" width="7.6640625" style="202" customWidth="1"/>
    <col min="1028" max="1028" width="7.44140625" style="202" customWidth="1"/>
    <col min="1029" max="1029" width="5.5546875" style="202" customWidth="1"/>
    <col min="1030" max="1030" width="4.5546875" style="202" customWidth="1"/>
    <col min="1031" max="1031" width="8.5546875" style="202" customWidth="1"/>
    <col min="1032" max="1032" width="5.5546875" style="202" customWidth="1"/>
    <col min="1033" max="1033" width="6.6640625" style="202" bestFit="1" customWidth="1"/>
    <col min="1034" max="1034" width="6.88671875" style="202" customWidth="1"/>
    <col min="1035" max="1035" width="8.33203125" style="202" customWidth="1"/>
    <col min="1036" max="1036" width="9.44140625" style="202" customWidth="1"/>
    <col min="1037" max="1037" width="4.88671875" style="202" customWidth="1"/>
    <col min="1038" max="1046" width="8.88671875" style="202"/>
    <col min="1047" max="1047" width="9.44140625" style="202" customWidth="1"/>
    <col min="1048" max="1280" width="8.88671875" style="202"/>
    <col min="1281" max="1281" width="3" style="202" customWidth="1"/>
    <col min="1282" max="1282" width="4.88671875" style="202" customWidth="1"/>
    <col min="1283" max="1283" width="7.6640625" style="202" customWidth="1"/>
    <col min="1284" max="1284" width="7.44140625" style="202" customWidth="1"/>
    <col min="1285" max="1285" width="5.5546875" style="202" customWidth="1"/>
    <col min="1286" max="1286" width="4.5546875" style="202" customWidth="1"/>
    <col min="1287" max="1287" width="8.5546875" style="202" customWidth="1"/>
    <col min="1288" max="1288" width="5.5546875" style="202" customWidth="1"/>
    <col min="1289" max="1289" width="6.6640625" style="202" bestFit="1" customWidth="1"/>
    <col min="1290" max="1290" width="6.88671875" style="202" customWidth="1"/>
    <col min="1291" max="1291" width="8.33203125" style="202" customWidth="1"/>
    <col min="1292" max="1292" width="9.44140625" style="202" customWidth="1"/>
    <col min="1293" max="1293" width="4.88671875" style="202" customWidth="1"/>
    <col min="1294" max="1302" width="8.88671875" style="202"/>
    <col min="1303" max="1303" width="9.44140625" style="202" customWidth="1"/>
    <col min="1304" max="1536" width="8.88671875" style="202"/>
    <col min="1537" max="1537" width="3" style="202" customWidth="1"/>
    <col min="1538" max="1538" width="4.88671875" style="202" customWidth="1"/>
    <col min="1539" max="1539" width="7.6640625" style="202" customWidth="1"/>
    <col min="1540" max="1540" width="7.44140625" style="202" customWidth="1"/>
    <col min="1541" max="1541" width="5.5546875" style="202" customWidth="1"/>
    <col min="1542" max="1542" width="4.5546875" style="202" customWidth="1"/>
    <col min="1543" max="1543" width="8.5546875" style="202" customWidth="1"/>
    <col min="1544" max="1544" width="5.5546875" style="202" customWidth="1"/>
    <col min="1545" max="1545" width="6.6640625" style="202" bestFit="1" customWidth="1"/>
    <col min="1546" max="1546" width="6.88671875" style="202" customWidth="1"/>
    <col min="1547" max="1547" width="8.33203125" style="202" customWidth="1"/>
    <col min="1548" max="1548" width="9.44140625" style="202" customWidth="1"/>
    <col min="1549" max="1549" width="4.88671875" style="202" customWidth="1"/>
    <col min="1550" max="1558" width="8.88671875" style="202"/>
    <col min="1559" max="1559" width="9.44140625" style="202" customWidth="1"/>
    <col min="1560" max="1792" width="8.88671875" style="202"/>
    <col min="1793" max="1793" width="3" style="202" customWidth="1"/>
    <col min="1794" max="1794" width="4.88671875" style="202" customWidth="1"/>
    <col min="1795" max="1795" width="7.6640625" style="202" customWidth="1"/>
    <col min="1796" max="1796" width="7.44140625" style="202" customWidth="1"/>
    <col min="1797" max="1797" width="5.5546875" style="202" customWidth="1"/>
    <col min="1798" max="1798" width="4.5546875" style="202" customWidth="1"/>
    <col min="1799" max="1799" width="8.5546875" style="202" customWidth="1"/>
    <col min="1800" max="1800" width="5.5546875" style="202" customWidth="1"/>
    <col min="1801" max="1801" width="6.6640625" style="202" bestFit="1" customWidth="1"/>
    <col min="1802" max="1802" width="6.88671875" style="202" customWidth="1"/>
    <col min="1803" max="1803" width="8.33203125" style="202" customWidth="1"/>
    <col min="1804" max="1804" width="9.44140625" style="202" customWidth="1"/>
    <col min="1805" max="1805" width="4.88671875" style="202" customWidth="1"/>
    <col min="1806" max="1814" width="8.88671875" style="202"/>
    <col min="1815" max="1815" width="9.44140625" style="202" customWidth="1"/>
    <col min="1816" max="2048" width="8.88671875" style="202"/>
    <col min="2049" max="2049" width="3" style="202" customWidth="1"/>
    <col min="2050" max="2050" width="4.88671875" style="202" customWidth="1"/>
    <col min="2051" max="2051" width="7.6640625" style="202" customWidth="1"/>
    <col min="2052" max="2052" width="7.44140625" style="202" customWidth="1"/>
    <col min="2053" max="2053" width="5.5546875" style="202" customWidth="1"/>
    <col min="2054" max="2054" width="4.5546875" style="202" customWidth="1"/>
    <col min="2055" max="2055" width="8.5546875" style="202" customWidth="1"/>
    <col min="2056" max="2056" width="5.5546875" style="202" customWidth="1"/>
    <col min="2057" max="2057" width="6.6640625" style="202" bestFit="1" customWidth="1"/>
    <col min="2058" max="2058" width="6.88671875" style="202" customWidth="1"/>
    <col min="2059" max="2059" width="8.33203125" style="202" customWidth="1"/>
    <col min="2060" max="2060" width="9.44140625" style="202" customWidth="1"/>
    <col min="2061" max="2061" width="4.88671875" style="202" customWidth="1"/>
    <col min="2062" max="2070" width="8.88671875" style="202"/>
    <col min="2071" max="2071" width="9.44140625" style="202" customWidth="1"/>
    <col min="2072" max="2304" width="8.88671875" style="202"/>
    <col min="2305" max="2305" width="3" style="202" customWidth="1"/>
    <col min="2306" max="2306" width="4.88671875" style="202" customWidth="1"/>
    <col min="2307" max="2307" width="7.6640625" style="202" customWidth="1"/>
    <col min="2308" max="2308" width="7.44140625" style="202" customWidth="1"/>
    <col min="2309" max="2309" width="5.5546875" style="202" customWidth="1"/>
    <col min="2310" max="2310" width="4.5546875" style="202" customWidth="1"/>
    <col min="2311" max="2311" width="8.5546875" style="202" customWidth="1"/>
    <col min="2312" max="2312" width="5.5546875" style="202" customWidth="1"/>
    <col min="2313" max="2313" width="6.6640625" style="202" bestFit="1" customWidth="1"/>
    <col min="2314" max="2314" width="6.88671875" style="202" customWidth="1"/>
    <col min="2315" max="2315" width="8.33203125" style="202" customWidth="1"/>
    <col min="2316" max="2316" width="9.44140625" style="202" customWidth="1"/>
    <col min="2317" max="2317" width="4.88671875" style="202" customWidth="1"/>
    <col min="2318" max="2326" width="8.88671875" style="202"/>
    <col min="2327" max="2327" width="9.44140625" style="202" customWidth="1"/>
    <col min="2328" max="2560" width="8.88671875" style="202"/>
    <col min="2561" max="2561" width="3" style="202" customWidth="1"/>
    <col min="2562" max="2562" width="4.88671875" style="202" customWidth="1"/>
    <col min="2563" max="2563" width="7.6640625" style="202" customWidth="1"/>
    <col min="2564" max="2564" width="7.44140625" style="202" customWidth="1"/>
    <col min="2565" max="2565" width="5.5546875" style="202" customWidth="1"/>
    <col min="2566" max="2566" width="4.5546875" style="202" customWidth="1"/>
    <col min="2567" max="2567" width="8.5546875" style="202" customWidth="1"/>
    <col min="2568" max="2568" width="5.5546875" style="202" customWidth="1"/>
    <col min="2569" max="2569" width="6.6640625" style="202" bestFit="1" customWidth="1"/>
    <col min="2570" max="2570" width="6.88671875" style="202" customWidth="1"/>
    <col min="2571" max="2571" width="8.33203125" style="202" customWidth="1"/>
    <col min="2572" max="2572" width="9.44140625" style="202" customWidth="1"/>
    <col min="2573" max="2573" width="4.88671875" style="202" customWidth="1"/>
    <col min="2574" max="2582" width="8.88671875" style="202"/>
    <col min="2583" max="2583" width="9.44140625" style="202" customWidth="1"/>
    <col min="2584" max="2816" width="8.88671875" style="202"/>
    <col min="2817" max="2817" width="3" style="202" customWidth="1"/>
    <col min="2818" max="2818" width="4.88671875" style="202" customWidth="1"/>
    <col min="2819" max="2819" width="7.6640625" style="202" customWidth="1"/>
    <col min="2820" max="2820" width="7.44140625" style="202" customWidth="1"/>
    <col min="2821" max="2821" width="5.5546875" style="202" customWidth="1"/>
    <col min="2822" max="2822" width="4.5546875" style="202" customWidth="1"/>
    <col min="2823" max="2823" width="8.5546875" style="202" customWidth="1"/>
    <col min="2824" max="2824" width="5.5546875" style="202" customWidth="1"/>
    <col min="2825" max="2825" width="6.6640625" style="202" bestFit="1" customWidth="1"/>
    <col min="2826" max="2826" width="6.88671875" style="202" customWidth="1"/>
    <col min="2827" max="2827" width="8.33203125" style="202" customWidth="1"/>
    <col min="2828" max="2828" width="9.44140625" style="202" customWidth="1"/>
    <col min="2829" max="2829" width="4.88671875" style="202" customWidth="1"/>
    <col min="2830" max="2838" width="8.88671875" style="202"/>
    <col min="2839" max="2839" width="9.44140625" style="202" customWidth="1"/>
    <col min="2840" max="3072" width="8.88671875" style="202"/>
    <col min="3073" max="3073" width="3" style="202" customWidth="1"/>
    <col min="3074" max="3074" width="4.88671875" style="202" customWidth="1"/>
    <col min="3075" max="3075" width="7.6640625" style="202" customWidth="1"/>
    <col min="3076" max="3076" width="7.44140625" style="202" customWidth="1"/>
    <col min="3077" max="3077" width="5.5546875" style="202" customWidth="1"/>
    <col min="3078" max="3078" width="4.5546875" style="202" customWidth="1"/>
    <col min="3079" max="3079" width="8.5546875" style="202" customWidth="1"/>
    <col min="3080" max="3080" width="5.5546875" style="202" customWidth="1"/>
    <col min="3081" max="3081" width="6.6640625" style="202" bestFit="1" customWidth="1"/>
    <col min="3082" max="3082" width="6.88671875" style="202" customWidth="1"/>
    <col min="3083" max="3083" width="8.33203125" style="202" customWidth="1"/>
    <col min="3084" max="3084" width="9.44140625" style="202" customWidth="1"/>
    <col min="3085" max="3085" width="4.88671875" style="202" customWidth="1"/>
    <col min="3086" max="3094" width="8.88671875" style="202"/>
    <col min="3095" max="3095" width="9.44140625" style="202" customWidth="1"/>
    <col min="3096" max="3328" width="8.88671875" style="202"/>
    <col min="3329" max="3329" width="3" style="202" customWidth="1"/>
    <col min="3330" max="3330" width="4.88671875" style="202" customWidth="1"/>
    <col min="3331" max="3331" width="7.6640625" style="202" customWidth="1"/>
    <col min="3332" max="3332" width="7.44140625" style="202" customWidth="1"/>
    <col min="3333" max="3333" width="5.5546875" style="202" customWidth="1"/>
    <col min="3334" max="3334" width="4.5546875" style="202" customWidth="1"/>
    <col min="3335" max="3335" width="8.5546875" style="202" customWidth="1"/>
    <col min="3336" max="3336" width="5.5546875" style="202" customWidth="1"/>
    <col min="3337" max="3337" width="6.6640625" style="202" bestFit="1" customWidth="1"/>
    <col min="3338" max="3338" width="6.88671875" style="202" customWidth="1"/>
    <col min="3339" max="3339" width="8.33203125" style="202" customWidth="1"/>
    <col min="3340" max="3340" width="9.44140625" style="202" customWidth="1"/>
    <col min="3341" max="3341" width="4.88671875" style="202" customWidth="1"/>
    <col min="3342" max="3350" width="8.88671875" style="202"/>
    <col min="3351" max="3351" width="9.44140625" style="202" customWidth="1"/>
    <col min="3352" max="3584" width="8.88671875" style="202"/>
    <col min="3585" max="3585" width="3" style="202" customWidth="1"/>
    <col min="3586" max="3586" width="4.88671875" style="202" customWidth="1"/>
    <col min="3587" max="3587" width="7.6640625" style="202" customWidth="1"/>
    <col min="3588" max="3588" width="7.44140625" style="202" customWidth="1"/>
    <col min="3589" max="3589" width="5.5546875" style="202" customWidth="1"/>
    <col min="3590" max="3590" width="4.5546875" style="202" customWidth="1"/>
    <col min="3591" max="3591" width="8.5546875" style="202" customWidth="1"/>
    <col min="3592" max="3592" width="5.5546875" style="202" customWidth="1"/>
    <col min="3593" max="3593" width="6.6640625" style="202" bestFit="1" customWidth="1"/>
    <col min="3594" max="3594" width="6.88671875" style="202" customWidth="1"/>
    <col min="3595" max="3595" width="8.33203125" style="202" customWidth="1"/>
    <col min="3596" max="3596" width="9.44140625" style="202" customWidth="1"/>
    <col min="3597" max="3597" width="4.88671875" style="202" customWidth="1"/>
    <col min="3598" max="3606" width="8.88671875" style="202"/>
    <col min="3607" max="3607" width="9.44140625" style="202" customWidth="1"/>
    <col min="3608" max="3840" width="8.88671875" style="202"/>
    <col min="3841" max="3841" width="3" style="202" customWidth="1"/>
    <col min="3842" max="3842" width="4.88671875" style="202" customWidth="1"/>
    <col min="3843" max="3843" width="7.6640625" style="202" customWidth="1"/>
    <col min="3844" max="3844" width="7.44140625" style="202" customWidth="1"/>
    <col min="3845" max="3845" width="5.5546875" style="202" customWidth="1"/>
    <col min="3846" max="3846" width="4.5546875" style="202" customWidth="1"/>
    <col min="3847" max="3847" width="8.5546875" style="202" customWidth="1"/>
    <col min="3848" max="3848" width="5.5546875" style="202" customWidth="1"/>
    <col min="3849" max="3849" width="6.6640625" style="202" bestFit="1" customWidth="1"/>
    <col min="3850" max="3850" width="6.88671875" style="202" customWidth="1"/>
    <col min="3851" max="3851" width="8.33203125" style="202" customWidth="1"/>
    <col min="3852" max="3852" width="9.44140625" style="202" customWidth="1"/>
    <col min="3853" max="3853" width="4.88671875" style="202" customWidth="1"/>
    <col min="3854" max="3862" width="8.88671875" style="202"/>
    <col min="3863" max="3863" width="9.44140625" style="202" customWidth="1"/>
    <col min="3864" max="4096" width="8.88671875" style="202"/>
    <col min="4097" max="4097" width="3" style="202" customWidth="1"/>
    <col min="4098" max="4098" width="4.88671875" style="202" customWidth="1"/>
    <col min="4099" max="4099" width="7.6640625" style="202" customWidth="1"/>
    <col min="4100" max="4100" width="7.44140625" style="202" customWidth="1"/>
    <col min="4101" max="4101" width="5.5546875" style="202" customWidth="1"/>
    <col min="4102" max="4102" width="4.5546875" style="202" customWidth="1"/>
    <col min="4103" max="4103" width="8.5546875" style="202" customWidth="1"/>
    <col min="4104" max="4104" width="5.5546875" style="202" customWidth="1"/>
    <col min="4105" max="4105" width="6.6640625" style="202" bestFit="1" customWidth="1"/>
    <col min="4106" max="4106" width="6.88671875" style="202" customWidth="1"/>
    <col min="4107" max="4107" width="8.33203125" style="202" customWidth="1"/>
    <col min="4108" max="4108" width="9.44140625" style="202" customWidth="1"/>
    <col min="4109" max="4109" width="4.88671875" style="202" customWidth="1"/>
    <col min="4110" max="4118" width="8.88671875" style="202"/>
    <col min="4119" max="4119" width="9.44140625" style="202" customWidth="1"/>
    <col min="4120" max="4352" width="8.88671875" style="202"/>
    <col min="4353" max="4353" width="3" style="202" customWidth="1"/>
    <col min="4354" max="4354" width="4.88671875" style="202" customWidth="1"/>
    <col min="4355" max="4355" width="7.6640625" style="202" customWidth="1"/>
    <col min="4356" max="4356" width="7.44140625" style="202" customWidth="1"/>
    <col min="4357" max="4357" width="5.5546875" style="202" customWidth="1"/>
    <col min="4358" max="4358" width="4.5546875" style="202" customWidth="1"/>
    <col min="4359" max="4359" width="8.5546875" style="202" customWidth="1"/>
    <col min="4360" max="4360" width="5.5546875" style="202" customWidth="1"/>
    <col min="4361" max="4361" width="6.6640625" style="202" bestFit="1" customWidth="1"/>
    <col min="4362" max="4362" width="6.88671875" style="202" customWidth="1"/>
    <col min="4363" max="4363" width="8.33203125" style="202" customWidth="1"/>
    <col min="4364" max="4364" width="9.44140625" style="202" customWidth="1"/>
    <col min="4365" max="4365" width="4.88671875" style="202" customWidth="1"/>
    <col min="4366" max="4374" width="8.88671875" style="202"/>
    <col min="4375" max="4375" width="9.44140625" style="202" customWidth="1"/>
    <col min="4376" max="4608" width="8.88671875" style="202"/>
    <col min="4609" max="4609" width="3" style="202" customWidth="1"/>
    <col min="4610" max="4610" width="4.88671875" style="202" customWidth="1"/>
    <col min="4611" max="4611" width="7.6640625" style="202" customWidth="1"/>
    <col min="4612" max="4612" width="7.44140625" style="202" customWidth="1"/>
    <col min="4613" max="4613" width="5.5546875" style="202" customWidth="1"/>
    <col min="4614" max="4614" width="4.5546875" style="202" customWidth="1"/>
    <col min="4615" max="4615" width="8.5546875" style="202" customWidth="1"/>
    <col min="4616" max="4616" width="5.5546875" style="202" customWidth="1"/>
    <col min="4617" max="4617" width="6.6640625" style="202" bestFit="1" customWidth="1"/>
    <col min="4618" max="4618" width="6.88671875" style="202" customWidth="1"/>
    <col min="4619" max="4619" width="8.33203125" style="202" customWidth="1"/>
    <col min="4620" max="4620" width="9.44140625" style="202" customWidth="1"/>
    <col min="4621" max="4621" width="4.88671875" style="202" customWidth="1"/>
    <col min="4622" max="4630" width="8.88671875" style="202"/>
    <col min="4631" max="4631" width="9.44140625" style="202" customWidth="1"/>
    <col min="4632" max="4864" width="8.88671875" style="202"/>
    <col min="4865" max="4865" width="3" style="202" customWidth="1"/>
    <col min="4866" max="4866" width="4.88671875" style="202" customWidth="1"/>
    <col min="4867" max="4867" width="7.6640625" style="202" customWidth="1"/>
    <col min="4868" max="4868" width="7.44140625" style="202" customWidth="1"/>
    <col min="4869" max="4869" width="5.5546875" style="202" customWidth="1"/>
    <col min="4870" max="4870" width="4.5546875" style="202" customWidth="1"/>
    <col min="4871" max="4871" width="8.5546875" style="202" customWidth="1"/>
    <col min="4872" max="4872" width="5.5546875" style="202" customWidth="1"/>
    <col min="4873" max="4873" width="6.6640625" style="202" bestFit="1" customWidth="1"/>
    <col min="4874" max="4874" width="6.88671875" style="202" customWidth="1"/>
    <col min="4875" max="4875" width="8.33203125" style="202" customWidth="1"/>
    <col min="4876" max="4876" width="9.44140625" style="202" customWidth="1"/>
    <col min="4877" max="4877" width="4.88671875" style="202" customWidth="1"/>
    <col min="4878" max="4886" width="8.88671875" style="202"/>
    <col min="4887" max="4887" width="9.44140625" style="202" customWidth="1"/>
    <col min="4888" max="5120" width="8.88671875" style="202"/>
    <col min="5121" max="5121" width="3" style="202" customWidth="1"/>
    <col min="5122" max="5122" width="4.88671875" style="202" customWidth="1"/>
    <col min="5123" max="5123" width="7.6640625" style="202" customWidth="1"/>
    <col min="5124" max="5124" width="7.44140625" style="202" customWidth="1"/>
    <col min="5125" max="5125" width="5.5546875" style="202" customWidth="1"/>
    <col min="5126" max="5126" width="4.5546875" style="202" customWidth="1"/>
    <col min="5127" max="5127" width="8.5546875" style="202" customWidth="1"/>
    <col min="5128" max="5128" width="5.5546875" style="202" customWidth="1"/>
    <col min="5129" max="5129" width="6.6640625" style="202" bestFit="1" customWidth="1"/>
    <col min="5130" max="5130" width="6.88671875" style="202" customWidth="1"/>
    <col min="5131" max="5131" width="8.33203125" style="202" customWidth="1"/>
    <col min="5132" max="5132" width="9.44140625" style="202" customWidth="1"/>
    <col min="5133" max="5133" width="4.88671875" style="202" customWidth="1"/>
    <col min="5134" max="5142" width="8.88671875" style="202"/>
    <col min="5143" max="5143" width="9.44140625" style="202" customWidth="1"/>
    <col min="5144" max="5376" width="8.88671875" style="202"/>
    <col min="5377" max="5377" width="3" style="202" customWidth="1"/>
    <col min="5378" max="5378" width="4.88671875" style="202" customWidth="1"/>
    <col min="5379" max="5379" width="7.6640625" style="202" customWidth="1"/>
    <col min="5380" max="5380" width="7.44140625" style="202" customWidth="1"/>
    <col min="5381" max="5381" width="5.5546875" style="202" customWidth="1"/>
    <col min="5382" max="5382" width="4.5546875" style="202" customWidth="1"/>
    <col min="5383" max="5383" width="8.5546875" style="202" customWidth="1"/>
    <col min="5384" max="5384" width="5.5546875" style="202" customWidth="1"/>
    <col min="5385" max="5385" width="6.6640625" style="202" bestFit="1" customWidth="1"/>
    <col min="5386" max="5386" width="6.88671875" style="202" customWidth="1"/>
    <col min="5387" max="5387" width="8.33203125" style="202" customWidth="1"/>
    <col min="5388" max="5388" width="9.44140625" style="202" customWidth="1"/>
    <col min="5389" max="5389" width="4.88671875" style="202" customWidth="1"/>
    <col min="5390" max="5398" width="8.88671875" style="202"/>
    <col min="5399" max="5399" width="9.44140625" style="202" customWidth="1"/>
    <col min="5400" max="5632" width="8.88671875" style="202"/>
    <col min="5633" max="5633" width="3" style="202" customWidth="1"/>
    <col min="5634" max="5634" width="4.88671875" style="202" customWidth="1"/>
    <col min="5635" max="5635" width="7.6640625" style="202" customWidth="1"/>
    <col min="5636" max="5636" width="7.44140625" style="202" customWidth="1"/>
    <col min="5637" max="5637" width="5.5546875" style="202" customWidth="1"/>
    <col min="5638" max="5638" width="4.5546875" style="202" customWidth="1"/>
    <col min="5639" max="5639" width="8.5546875" style="202" customWidth="1"/>
    <col min="5640" max="5640" width="5.5546875" style="202" customWidth="1"/>
    <col min="5641" max="5641" width="6.6640625" style="202" bestFit="1" customWidth="1"/>
    <col min="5642" max="5642" width="6.88671875" style="202" customWidth="1"/>
    <col min="5643" max="5643" width="8.33203125" style="202" customWidth="1"/>
    <col min="5644" max="5644" width="9.44140625" style="202" customWidth="1"/>
    <col min="5645" max="5645" width="4.88671875" style="202" customWidth="1"/>
    <col min="5646" max="5654" width="8.88671875" style="202"/>
    <col min="5655" max="5655" width="9.44140625" style="202" customWidth="1"/>
    <col min="5656" max="5888" width="8.88671875" style="202"/>
    <col min="5889" max="5889" width="3" style="202" customWidth="1"/>
    <col min="5890" max="5890" width="4.88671875" style="202" customWidth="1"/>
    <col min="5891" max="5891" width="7.6640625" style="202" customWidth="1"/>
    <col min="5892" max="5892" width="7.44140625" style="202" customWidth="1"/>
    <col min="5893" max="5893" width="5.5546875" style="202" customWidth="1"/>
    <col min="5894" max="5894" width="4.5546875" style="202" customWidth="1"/>
    <col min="5895" max="5895" width="8.5546875" style="202" customWidth="1"/>
    <col min="5896" max="5896" width="5.5546875" style="202" customWidth="1"/>
    <col min="5897" max="5897" width="6.6640625" style="202" bestFit="1" customWidth="1"/>
    <col min="5898" max="5898" width="6.88671875" style="202" customWidth="1"/>
    <col min="5899" max="5899" width="8.33203125" style="202" customWidth="1"/>
    <col min="5900" max="5900" width="9.44140625" style="202" customWidth="1"/>
    <col min="5901" max="5901" width="4.88671875" style="202" customWidth="1"/>
    <col min="5902" max="5910" width="8.88671875" style="202"/>
    <col min="5911" max="5911" width="9.44140625" style="202" customWidth="1"/>
    <col min="5912" max="6144" width="8.88671875" style="202"/>
    <col min="6145" max="6145" width="3" style="202" customWidth="1"/>
    <col min="6146" max="6146" width="4.88671875" style="202" customWidth="1"/>
    <col min="6147" max="6147" width="7.6640625" style="202" customWidth="1"/>
    <col min="6148" max="6148" width="7.44140625" style="202" customWidth="1"/>
    <col min="6149" max="6149" width="5.5546875" style="202" customWidth="1"/>
    <col min="6150" max="6150" width="4.5546875" style="202" customWidth="1"/>
    <col min="6151" max="6151" width="8.5546875" style="202" customWidth="1"/>
    <col min="6152" max="6152" width="5.5546875" style="202" customWidth="1"/>
    <col min="6153" max="6153" width="6.6640625" style="202" bestFit="1" customWidth="1"/>
    <col min="6154" max="6154" width="6.88671875" style="202" customWidth="1"/>
    <col min="6155" max="6155" width="8.33203125" style="202" customWidth="1"/>
    <col min="6156" max="6156" width="9.44140625" style="202" customWidth="1"/>
    <col min="6157" max="6157" width="4.88671875" style="202" customWidth="1"/>
    <col min="6158" max="6166" width="8.88671875" style="202"/>
    <col min="6167" max="6167" width="9.44140625" style="202" customWidth="1"/>
    <col min="6168" max="6400" width="8.88671875" style="202"/>
    <col min="6401" max="6401" width="3" style="202" customWidth="1"/>
    <col min="6402" max="6402" width="4.88671875" style="202" customWidth="1"/>
    <col min="6403" max="6403" width="7.6640625" style="202" customWidth="1"/>
    <col min="6404" max="6404" width="7.44140625" style="202" customWidth="1"/>
    <col min="6405" max="6405" width="5.5546875" style="202" customWidth="1"/>
    <col min="6406" max="6406" width="4.5546875" style="202" customWidth="1"/>
    <col min="6407" max="6407" width="8.5546875" style="202" customWidth="1"/>
    <col min="6408" max="6408" width="5.5546875" style="202" customWidth="1"/>
    <col min="6409" max="6409" width="6.6640625" style="202" bestFit="1" customWidth="1"/>
    <col min="6410" max="6410" width="6.88671875" style="202" customWidth="1"/>
    <col min="6411" max="6411" width="8.33203125" style="202" customWidth="1"/>
    <col min="6412" max="6412" width="9.44140625" style="202" customWidth="1"/>
    <col min="6413" max="6413" width="4.88671875" style="202" customWidth="1"/>
    <col min="6414" max="6422" width="8.88671875" style="202"/>
    <col min="6423" max="6423" width="9.44140625" style="202" customWidth="1"/>
    <col min="6424" max="6656" width="8.88671875" style="202"/>
    <col min="6657" max="6657" width="3" style="202" customWidth="1"/>
    <col min="6658" max="6658" width="4.88671875" style="202" customWidth="1"/>
    <col min="6659" max="6659" width="7.6640625" style="202" customWidth="1"/>
    <col min="6660" max="6660" width="7.44140625" style="202" customWidth="1"/>
    <col min="6661" max="6661" width="5.5546875" style="202" customWidth="1"/>
    <col min="6662" max="6662" width="4.5546875" style="202" customWidth="1"/>
    <col min="6663" max="6663" width="8.5546875" style="202" customWidth="1"/>
    <col min="6664" max="6664" width="5.5546875" style="202" customWidth="1"/>
    <col min="6665" max="6665" width="6.6640625" style="202" bestFit="1" customWidth="1"/>
    <col min="6666" max="6666" width="6.88671875" style="202" customWidth="1"/>
    <col min="6667" max="6667" width="8.33203125" style="202" customWidth="1"/>
    <col min="6668" max="6668" width="9.44140625" style="202" customWidth="1"/>
    <col min="6669" max="6669" width="4.88671875" style="202" customWidth="1"/>
    <col min="6670" max="6678" width="8.88671875" style="202"/>
    <col min="6679" max="6679" width="9.44140625" style="202" customWidth="1"/>
    <col min="6680" max="6912" width="8.88671875" style="202"/>
    <col min="6913" max="6913" width="3" style="202" customWidth="1"/>
    <col min="6914" max="6914" width="4.88671875" style="202" customWidth="1"/>
    <col min="6915" max="6915" width="7.6640625" style="202" customWidth="1"/>
    <col min="6916" max="6916" width="7.44140625" style="202" customWidth="1"/>
    <col min="6917" max="6917" width="5.5546875" style="202" customWidth="1"/>
    <col min="6918" max="6918" width="4.5546875" style="202" customWidth="1"/>
    <col min="6919" max="6919" width="8.5546875" style="202" customWidth="1"/>
    <col min="6920" max="6920" width="5.5546875" style="202" customWidth="1"/>
    <col min="6921" max="6921" width="6.6640625" style="202" bestFit="1" customWidth="1"/>
    <col min="6922" max="6922" width="6.88671875" style="202" customWidth="1"/>
    <col min="6923" max="6923" width="8.33203125" style="202" customWidth="1"/>
    <col min="6924" max="6924" width="9.44140625" style="202" customWidth="1"/>
    <col min="6925" max="6925" width="4.88671875" style="202" customWidth="1"/>
    <col min="6926" max="6934" width="8.88671875" style="202"/>
    <col min="6935" max="6935" width="9.44140625" style="202" customWidth="1"/>
    <col min="6936" max="7168" width="8.88671875" style="202"/>
    <col min="7169" max="7169" width="3" style="202" customWidth="1"/>
    <col min="7170" max="7170" width="4.88671875" style="202" customWidth="1"/>
    <col min="7171" max="7171" width="7.6640625" style="202" customWidth="1"/>
    <col min="7172" max="7172" width="7.44140625" style="202" customWidth="1"/>
    <col min="7173" max="7173" width="5.5546875" style="202" customWidth="1"/>
    <col min="7174" max="7174" width="4.5546875" style="202" customWidth="1"/>
    <col min="7175" max="7175" width="8.5546875" style="202" customWidth="1"/>
    <col min="7176" max="7176" width="5.5546875" style="202" customWidth="1"/>
    <col min="7177" max="7177" width="6.6640625" style="202" bestFit="1" customWidth="1"/>
    <col min="7178" max="7178" width="6.88671875" style="202" customWidth="1"/>
    <col min="7179" max="7179" width="8.33203125" style="202" customWidth="1"/>
    <col min="7180" max="7180" width="9.44140625" style="202" customWidth="1"/>
    <col min="7181" max="7181" width="4.88671875" style="202" customWidth="1"/>
    <col min="7182" max="7190" width="8.88671875" style="202"/>
    <col min="7191" max="7191" width="9.44140625" style="202" customWidth="1"/>
    <col min="7192" max="7424" width="8.88671875" style="202"/>
    <col min="7425" max="7425" width="3" style="202" customWidth="1"/>
    <col min="7426" max="7426" width="4.88671875" style="202" customWidth="1"/>
    <col min="7427" max="7427" width="7.6640625" style="202" customWidth="1"/>
    <col min="7428" max="7428" width="7.44140625" style="202" customWidth="1"/>
    <col min="7429" max="7429" width="5.5546875" style="202" customWidth="1"/>
    <col min="7430" max="7430" width="4.5546875" style="202" customWidth="1"/>
    <col min="7431" max="7431" width="8.5546875" style="202" customWidth="1"/>
    <col min="7432" max="7432" width="5.5546875" style="202" customWidth="1"/>
    <col min="7433" max="7433" width="6.6640625" style="202" bestFit="1" customWidth="1"/>
    <col min="7434" max="7434" width="6.88671875" style="202" customWidth="1"/>
    <col min="7435" max="7435" width="8.33203125" style="202" customWidth="1"/>
    <col min="7436" max="7436" width="9.44140625" style="202" customWidth="1"/>
    <col min="7437" max="7437" width="4.88671875" style="202" customWidth="1"/>
    <col min="7438" max="7446" width="8.88671875" style="202"/>
    <col min="7447" max="7447" width="9.44140625" style="202" customWidth="1"/>
    <col min="7448" max="7680" width="8.88671875" style="202"/>
    <col min="7681" max="7681" width="3" style="202" customWidth="1"/>
    <col min="7682" max="7682" width="4.88671875" style="202" customWidth="1"/>
    <col min="7683" max="7683" width="7.6640625" style="202" customWidth="1"/>
    <col min="7684" max="7684" width="7.44140625" style="202" customWidth="1"/>
    <col min="7685" max="7685" width="5.5546875" style="202" customWidth="1"/>
    <col min="7686" max="7686" width="4.5546875" style="202" customWidth="1"/>
    <col min="7687" max="7687" width="8.5546875" style="202" customWidth="1"/>
    <col min="7688" max="7688" width="5.5546875" style="202" customWidth="1"/>
    <col min="7689" max="7689" width="6.6640625" style="202" bestFit="1" customWidth="1"/>
    <col min="7690" max="7690" width="6.88671875" style="202" customWidth="1"/>
    <col min="7691" max="7691" width="8.33203125" style="202" customWidth="1"/>
    <col min="7692" max="7692" width="9.44140625" style="202" customWidth="1"/>
    <col min="7693" max="7693" width="4.88671875" style="202" customWidth="1"/>
    <col min="7694" max="7702" width="8.88671875" style="202"/>
    <col min="7703" max="7703" width="9.44140625" style="202" customWidth="1"/>
    <col min="7704" max="7936" width="8.88671875" style="202"/>
    <col min="7937" max="7937" width="3" style="202" customWidth="1"/>
    <col min="7938" max="7938" width="4.88671875" style="202" customWidth="1"/>
    <col min="7939" max="7939" width="7.6640625" style="202" customWidth="1"/>
    <col min="7940" max="7940" width="7.44140625" style="202" customWidth="1"/>
    <col min="7941" max="7941" width="5.5546875" style="202" customWidth="1"/>
    <col min="7942" max="7942" width="4.5546875" style="202" customWidth="1"/>
    <col min="7943" max="7943" width="8.5546875" style="202" customWidth="1"/>
    <col min="7944" max="7944" width="5.5546875" style="202" customWidth="1"/>
    <col min="7945" max="7945" width="6.6640625" style="202" bestFit="1" customWidth="1"/>
    <col min="7946" max="7946" width="6.88671875" style="202" customWidth="1"/>
    <col min="7947" max="7947" width="8.33203125" style="202" customWidth="1"/>
    <col min="7948" max="7948" width="9.44140625" style="202" customWidth="1"/>
    <col min="7949" max="7949" width="4.88671875" style="202" customWidth="1"/>
    <col min="7950" max="7958" width="8.88671875" style="202"/>
    <col min="7959" max="7959" width="9.44140625" style="202" customWidth="1"/>
    <col min="7960" max="8192" width="8.88671875" style="202"/>
    <col min="8193" max="8193" width="3" style="202" customWidth="1"/>
    <col min="8194" max="8194" width="4.88671875" style="202" customWidth="1"/>
    <col min="8195" max="8195" width="7.6640625" style="202" customWidth="1"/>
    <col min="8196" max="8196" width="7.44140625" style="202" customWidth="1"/>
    <col min="8197" max="8197" width="5.5546875" style="202" customWidth="1"/>
    <col min="8198" max="8198" width="4.5546875" style="202" customWidth="1"/>
    <col min="8199" max="8199" width="8.5546875" style="202" customWidth="1"/>
    <col min="8200" max="8200" width="5.5546875" style="202" customWidth="1"/>
    <col min="8201" max="8201" width="6.6640625" style="202" bestFit="1" customWidth="1"/>
    <col min="8202" max="8202" width="6.88671875" style="202" customWidth="1"/>
    <col min="8203" max="8203" width="8.33203125" style="202" customWidth="1"/>
    <col min="8204" max="8204" width="9.44140625" style="202" customWidth="1"/>
    <col min="8205" max="8205" width="4.88671875" style="202" customWidth="1"/>
    <col min="8206" max="8214" width="8.88671875" style="202"/>
    <col min="8215" max="8215" width="9.44140625" style="202" customWidth="1"/>
    <col min="8216" max="8448" width="8.88671875" style="202"/>
    <col min="8449" max="8449" width="3" style="202" customWidth="1"/>
    <col min="8450" max="8450" width="4.88671875" style="202" customWidth="1"/>
    <col min="8451" max="8451" width="7.6640625" style="202" customWidth="1"/>
    <col min="8452" max="8452" width="7.44140625" style="202" customWidth="1"/>
    <col min="8453" max="8453" width="5.5546875" style="202" customWidth="1"/>
    <col min="8454" max="8454" width="4.5546875" style="202" customWidth="1"/>
    <col min="8455" max="8455" width="8.5546875" style="202" customWidth="1"/>
    <col min="8456" max="8456" width="5.5546875" style="202" customWidth="1"/>
    <col min="8457" max="8457" width="6.6640625" style="202" bestFit="1" customWidth="1"/>
    <col min="8458" max="8458" width="6.88671875" style="202" customWidth="1"/>
    <col min="8459" max="8459" width="8.33203125" style="202" customWidth="1"/>
    <col min="8460" max="8460" width="9.44140625" style="202" customWidth="1"/>
    <col min="8461" max="8461" width="4.88671875" style="202" customWidth="1"/>
    <col min="8462" max="8470" width="8.88671875" style="202"/>
    <col min="8471" max="8471" width="9.44140625" style="202" customWidth="1"/>
    <col min="8472" max="8704" width="8.88671875" style="202"/>
    <col min="8705" max="8705" width="3" style="202" customWidth="1"/>
    <col min="8706" max="8706" width="4.88671875" style="202" customWidth="1"/>
    <col min="8707" max="8707" width="7.6640625" style="202" customWidth="1"/>
    <col min="8708" max="8708" width="7.44140625" style="202" customWidth="1"/>
    <col min="8709" max="8709" width="5.5546875" style="202" customWidth="1"/>
    <col min="8710" max="8710" width="4.5546875" style="202" customWidth="1"/>
    <col min="8711" max="8711" width="8.5546875" style="202" customWidth="1"/>
    <col min="8712" max="8712" width="5.5546875" style="202" customWidth="1"/>
    <col min="8713" max="8713" width="6.6640625" style="202" bestFit="1" customWidth="1"/>
    <col min="8714" max="8714" width="6.88671875" style="202" customWidth="1"/>
    <col min="8715" max="8715" width="8.33203125" style="202" customWidth="1"/>
    <col min="8716" max="8716" width="9.44140625" style="202" customWidth="1"/>
    <col min="8717" max="8717" width="4.88671875" style="202" customWidth="1"/>
    <col min="8718" max="8726" width="8.88671875" style="202"/>
    <col min="8727" max="8727" width="9.44140625" style="202" customWidth="1"/>
    <col min="8728" max="8960" width="8.88671875" style="202"/>
    <col min="8961" max="8961" width="3" style="202" customWidth="1"/>
    <col min="8962" max="8962" width="4.88671875" style="202" customWidth="1"/>
    <col min="8963" max="8963" width="7.6640625" style="202" customWidth="1"/>
    <col min="8964" max="8964" width="7.44140625" style="202" customWidth="1"/>
    <col min="8965" max="8965" width="5.5546875" style="202" customWidth="1"/>
    <col min="8966" max="8966" width="4.5546875" style="202" customWidth="1"/>
    <col min="8967" max="8967" width="8.5546875" style="202" customWidth="1"/>
    <col min="8968" max="8968" width="5.5546875" style="202" customWidth="1"/>
    <col min="8969" max="8969" width="6.6640625" style="202" bestFit="1" customWidth="1"/>
    <col min="8970" max="8970" width="6.88671875" style="202" customWidth="1"/>
    <col min="8971" max="8971" width="8.33203125" style="202" customWidth="1"/>
    <col min="8972" max="8972" width="9.44140625" style="202" customWidth="1"/>
    <col min="8973" max="8973" width="4.88671875" style="202" customWidth="1"/>
    <col min="8974" max="8982" width="8.88671875" style="202"/>
    <col min="8983" max="8983" width="9.44140625" style="202" customWidth="1"/>
    <col min="8984" max="9216" width="8.88671875" style="202"/>
    <col min="9217" max="9217" width="3" style="202" customWidth="1"/>
    <col min="9218" max="9218" width="4.88671875" style="202" customWidth="1"/>
    <col min="9219" max="9219" width="7.6640625" style="202" customWidth="1"/>
    <col min="9220" max="9220" width="7.44140625" style="202" customWidth="1"/>
    <col min="9221" max="9221" width="5.5546875" style="202" customWidth="1"/>
    <col min="9222" max="9222" width="4.5546875" style="202" customWidth="1"/>
    <col min="9223" max="9223" width="8.5546875" style="202" customWidth="1"/>
    <col min="9224" max="9224" width="5.5546875" style="202" customWidth="1"/>
    <col min="9225" max="9225" width="6.6640625" style="202" bestFit="1" customWidth="1"/>
    <col min="9226" max="9226" width="6.88671875" style="202" customWidth="1"/>
    <col min="9227" max="9227" width="8.33203125" style="202" customWidth="1"/>
    <col min="9228" max="9228" width="9.44140625" style="202" customWidth="1"/>
    <col min="9229" max="9229" width="4.88671875" style="202" customWidth="1"/>
    <col min="9230" max="9238" width="8.88671875" style="202"/>
    <col min="9239" max="9239" width="9.44140625" style="202" customWidth="1"/>
    <col min="9240" max="9472" width="8.88671875" style="202"/>
    <col min="9473" max="9473" width="3" style="202" customWidth="1"/>
    <col min="9474" max="9474" width="4.88671875" style="202" customWidth="1"/>
    <col min="9475" max="9475" width="7.6640625" style="202" customWidth="1"/>
    <col min="9476" max="9476" width="7.44140625" style="202" customWidth="1"/>
    <col min="9477" max="9477" width="5.5546875" style="202" customWidth="1"/>
    <col min="9478" max="9478" width="4.5546875" style="202" customWidth="1"/>
    <col min="9479" max="9479" width="8.5546875" style="202" customWidth="1"/>
    <col min="9480" max="9480" width="5.5546875" style="202" customWidth="1"/>
    <col min="9481" max="9481" width="6.6640625" style="202" bestFit="1" customWidth="1"/>
    <col min="9482" max="9482" width="6.88671875" style="202" customWidth="1"/>
    <col min="9483" max="9483" width="8.33203125" style="202" customWidth="1"/>
    <col min="9484" max="9484" width="9.44140625" style="202" customWidth="1"/>
    <col min="9485" max="9485" width="4.88671875" style="202" customWidth="1"/>
    <col min="9486" max="9494" width="8.88671875" style="202"/>
    <col min="9495" max="9495" width="9.44140625" style="202" customWidth="1"/>
    <col min="9496" max="9728" width="8.88671875" style="202"/>
    <col min="9729" max="9729" width="3" style="202" customWidth="1"/>
    <col min="9730" max="9730" width="4.88671875" style="202" customWidth="1"/>
    <col min="9731" max="9731" width="7.6640625" style="202" customWidth="1"/>
    <col min="9732" max="9732" width="7.44140625" style="202" customWidth="1"/>
    <col min="9733" max="9733" width="5.5546875" style="202" customWidth="1"/>
    <col min="9734" max="9734" width="4.5546875" style="202" customWidth="1"/>
    <col min="9735" max="9735" width="8.5546875" style="202" customWidth="1"/>
    <col min="9736" max="9736" width="5.5546875" style="202" customWidth="1"/>
    <col min="9737" max="9737" width="6.6640625" style="202" bestFit="1" customWidth="1"/>
    <col min="9738" max="9738" width="6.88671875" style="202" customWidth="1"/>
    <col min="9739" max="9739" width="8.33203125" style="202" customWidth="1"/>
    <col min="9740" max="9740" width="9.44140625" style="202" customWidth="1"/>
    <col min="9741" max="9741" width="4.88671875" style="202" customWidth="1"/>
    <col min="9742" max="9750" width="8.88671875" style="202"/>
    <col min="9751" max="9751" width="9.44140625" style="202" customWidth="1"/>
    <col min="9752" max="9984" width="8.88671875" style="202"/>
    <col min="9985" max="9985" width="3" style="202" customWidth="1"/>
    <col min="9986" max="9986" width="4.88671875" style="202" customWidth="1"/>
    <col min="9987" max="9987" width="7.6640625" style="202" customWidth="1"/>
    <col min="9988" max="9988" width="7.44140625" style="202" customWidth="1"/>
    <col min="9989" max="9989" width="5.5546875" style="202" customWidth="1"/>
    <col min="9990" max="9990" width="4.5546875" style="202" customWidth="1"/>
    <col min="9991" max="9991" width="8.5546875" style="202" customWidth="1"/>
    <col min="9992" max="9992" width="5.5546875" style="202" customWidth="1"/>
    <col min="9993" max="9993" width="6.6640625" style="202" bestFit="1" customWidth="1"/>
    <col min="9994" max="9994" width="6.88671875" style="202" customWidth="1"/>
    <col min="9995" max="9995" width="8.33203125" style="202" customWidth="1"/>
    <col min="9996" max="9996" width="9.44140625" style="202" customWidth="1"/>
    <col min="9997" max="9997" width="4.88671875" style="202" customWidth="1"/>
    <col min="9998" max="10006" width="8.88671875" style="202"/>
    <col min="10007" max="10007" width="9.44140625" style="202" customWidth="1"/>
    <col min="10008" max="10240" width="8.88671875" style="202"/>
    <col min="10241" max="10241" width="3" style="202" customWidth="1"/>
    <col min="10242" max="10242" width="4.88671875" style="202" customWidth="1"/>
    <col min="10243" max="10243" width="7.6640625" style="202" customWidth="1"/>
    <col min="10244" max="10244" width="7.44140625" style="202" customWidth="1"/>
    <col min="10245" max="10245" width="5.5546875" style="202" customWidth="1"/>
    <col min="10246" max="10246" width="4.5546875" style="202" customWidth="1"/>
    <col min="10247" max="10247" width="8.5546875" style="202" customWidth="1"/>
    <col min="10248" max="10248" width="5.5546875" style="202" customWidth="1"/>
    <col min="10249" max="10249" width="6.6640625" style="202" bestFit="1" customWidth="1"/>
    <col min="10250" max="10250" width="6.88671875" style="202" customWidth="1"/>
    <col min="10251" max="10251" width="8.33203125" style="202" customWidth="1"/>
    <col min="10252" max="10252" width="9.44140625" style="202" customWidth="1"/>
    <col min="10253" max="10253" width="4.88671875" style="202" customWidth="1"/>
    <col min="10254" max="10262" width="8.88671875" style="202"/>
    <col min="10263" max="10263" width="9.44140625" style="202" customWidth="1"/>
    <col min="10264" max="10496" width="8.88671875" style="202"/>
    <col min="10497" max="10497" width="3" style="202" customWidth="1"/>
    <col min="10498" max="10498" width="4.88671875" style="202" customWidth="1"/>
    <col min="10499" max="10499" width="7.6640625" style="202" customWidth="1"/>
    <col min="10500" max="10500" width="7.44140625" style="202" customWidth="1"/>
    <col min="10501" max="10501" width="5.5546875" style="202" customWidth="1"/>
    <col min="10502" max="10502" width="4.5546875" style="202" customWidth="1"/>
    <col min="10503" max="10503" width="8.5546875" style="202" customWidth="1"/>
    <col min="10504" max="10504" width="5.5546875" style="202" customWidth="1"/>
    <col min="10505" max="10505" width="6.6640625" style="202" bestFit="1" customWidth="1"/>
    <col min="10506" max="10506" width="6.88671875" style="202" customWidth="1"/>
    <col min="10507" max="10507" width="8.33203125" style="202" customWidth="1"/>
    <col min="10508" max="10508" width="9.44140625" style="202" customWidth="1"/>
    <col min="10509" max="10509" width="4.88671875" style="202" customWidth="1"/>
    <col min="10510" max="10518" width="8.88671875" style="202"/>
    <col min="10519" max="10519" width="9.44140625" style="202" customWidth="1"/>
    <col min="10520" max="10752" width="8.88671875" style="202"/>
    <col min="10753" max="10753" width="3" style="202" customWidth="1"/>
    <col min="10754" max="10754" width="4.88671875" style="202" customWidth="1"/>
    <col min="10755" max="10755" width="7.6640625" style="202" customWidth="1"/>
    <col min="10756" max="10756" width="7.44140625" style="202" customWidth="1"/>
    <col min="10757" max="10757" width="5.5546875" style="202" customWidth="1"/>
    <col min="10758" max="10758" width="4.5546875" style="202" customWidth="1"/>
    <col min="10759" max="10759" width="8.5546875" style="202" customWidth="1"/>
    <col min="10760" max="10760" width="5.5546875" style="202" customWidth="1"/>
    <col min="10761" max="10761" width="6.6640625" style="202" bestFit="1" customWidth="1"/>
    <col min="10762" max="10762" width="6.88671875" style="202" customWidth="1"/>
    <col min="10763" max="10763" width="8.33203125" style="202" customWidth="1"/>
    <col min="10764" max="10764" width="9.44140625" style="202" customWidth="1"/>
    <col min="10765" max="10765" width="4.88671875" style="202" customWidth="1"/>
    <col min="10766" max="10774" width="8.88671875" style="202"/>
    <col min="10775" max="10775" width="9.44140625" style="202" customWidth="1"/>
    <col min="10776" max="11008" width="8.88671875" style="202"/>
    <col min="11009" max="11009" width="3" style="202" customWidth="1"/>
    <col min="11010" max="11010" width="4.88671875" style="202" customWidth="1"/>
    <col min="11011" max="11011" width="7.6640625" style="202" customWidth="1"/>
    <col min="11012" max="11012" width="7.44140625" style="202" customWidth="1"/>
    <col min="11013" max="11013" width="5.5546875" style="202" customWidth="1"/>
    <col min="11014" max="11014" width="4.5546875" style="202" customWidth="1"/>
    <col min="11015" max="11015" width="8.5546875" style="202" customWidth="1"/>
    <col min="11016" max="11016" width="5.5546875" style="202" customWidth="1"/>
    <col min="11017" max="11017" width="6.6640625" style="202" bestFit="1" customWidth="1"/>
    <col min="11018" max="11018" width="6.88671875" style="202" customWidth="1"/>
    <col min="11019" max="11019" width="8.33203125" style="202" customWidth="1"/>
    <col min="11020" max="11020" width="9.44140625" style="202" customWidth="1"/>
    <col min="11021" max="11021" width="4.88671875" style="202" customWidth="1"/>
    <col min="11022" max="11030" width="8.88671875" style="202"/>
    <col min="11031" max="11031" width="9.44140625" style="202" customWidth="1"/>
    <col min="11032" max="11264" width="8.88671875" style="202"/>
    <col min="11265" max="11265" width="3" style="202" customWidth="1"/>
    <col min="11266" max="11266" width="4.88671875" style="202" customWidth="1"/>
    <col min="11267" max="11267" width="7.6640625" style="202" customWidth="1"/>
    <col min="11268" max="11268" width="7.44140625" style="202" customWidth="1"/>
    <col min="11269" max="11269" width="5.5546875" style="202" customWidth="1"/>
    <col min="11270" max="11270" width="4.5546875" style="202" customWidth="1"/>
    <col min="11271" max="11271" width="8.5546875" style="202" customWidth="1"/>
    <col min="11272" max="11272" width="5.5546875" style="202" customWidth="1"/>
    <col min="11273" max="11273" width="6.6640625" style="202" bestFit="1" customWidth="1"/>
    <col min="11274" max="11274" width="6.88671875" style="202" customWidth="1"/>
    <col min="11275" max="11275" width="8.33203125" style="202" customWidth="1"/>
    <col min="11276" max="11276" width="9.44140625" style="202" customWidth="1"/>
    <col min="11277" max="11277" width="4.88671875" style="202" customWidth="1"/>
    <col min="11278" max="11286" width="8.88671875" style="202"/>
    <col min="11287" max="11287" width="9.44140625" style="202" customWidth="1"/>
    <col min="11288" max="11520" width="8.88671875" style="202"/>
    <col min="11521" max="11521" width="3" style="202" customWidth="1"/>
    <col min="11522" max="11522" width="4.88671875" style="202" customWidth="1"/>
    <col min="11523" max="11523" width="7.6640625" style="202" customWidth="1"/>
    <col min="11524" max="11524" width="7.44140625" style="202" customWidth="1"/>
    <col min="11525" max="11525" width="5.5546875" style="202" customWidth="1"/>
    <col min="11526" max="11526" width="4.5546875" style="202" customWidth="1"/>
    <col min="11527" max="11527" width="8.5546875" style="202" customWidth="1"/>
    <col min="11528" max="11528" width="5.5546875" style="202" customWidth="1"/>
    <col min="11529" max="11529" width="6.6640625" style="202" bestFit="1" customWidth="1"/>
    <col min="11530" max="11530" width="6.88671875" style="202" customWidth="1"/>
    <col min="11531" max="11531" width="8.33203125" style="202" customWidth="1"/>
    <col min="11532" max="11532" width="9.44140625" style="202" customWidth="1"/>
    <col min="11533" max="11533" width="4.88671875" style="202" customWidth="1"/>
    <col min="11534" max="11542" width="8.88671875" style="202"/>
    <col min="11543" max="11543" width="9.44140625" style="202" customWidth="1"/>
    <col min="11544" max="11776" width="8.88671875" style="202"/>
    <col min="11777" max="11777" width="3" style="202" customWidth="1"/>
    <col min="11778" max="11778" width="4.88671875" style="202" customWidth="1"/>
    <col min="11779" max="11779" width="7.6640625" style="202" customWidth="1"/>
    <col min="11780" max="11780" width="7.44140625" style="202" customWidth="1"/>
    <col min="11781" max="11781" width="5.5546875" style="202" customWidth="1"/>
    <col min="11782" max="11782" width="4.5546875" style="202" customWidth="1"/>
    <col min="11783" max="11783" width="8.5546875" style="202" customWidth="1"/>
    <col min="11784" max="11784" width="5.5546875" style="202" customWidth="1"/>
    <col min="11785" max="11785" width="6.6640625" style="202" bestFit="1" customWidth="1"/>
    <col min="11786" max="11786" width="6.88671875" style="202" customWidth="1"/>
    <col min="11787" max="11787" width="8.33203125" style="202" customWidth="1"/>
    <col min="11788" max="11788" width="9.44140625" style="202" customWidth="1"/>
    <col min="11789" max="11789" width="4.88671875" style="202" customWidth="1"/>
    <col min="11790" max="11798" width="8.88671875" style="202"/>
    <col min="11799" max="11799" width="9.44140625" style="202" customWidth="1"/>
    <col min="11800" max="12032" width="8.88671875" style="202"/>
    <col min="12033" max="12033" width="3" style="202" customWidth="1"/>
    <col min="12034" max="12034" width="4.88671875" style="202" customWidth="1"/>
    <col min="12035" max="12035" width="7.6640625" style="202" customWidth="1"/>
    <col min="12036" max="12036" width="7.44140625" style="202" customWidth="1"/>
    <col min="12037" max="12037" width="5.5546875" style="202" customWidth="1"/>
    <col min="12038" max="12038" width="4.5546875" style="202" customWidth="1"/>
    <col min="12039" max="12039" width="8.5546875" style="202" customWidth="1"/>
    <col min="12040" max="12040" width="5.5546875" style="202" customWidth="1"/>
    <col min="12041" max="12041" width="6.6640625" style="202" bestFit="1" customWidth="1"/>
    <col min="12042" max="12042" width="6.88671875" style="202" customWidth="1"/>
    <col min="12043" max="12043" width="8.33203125" style="202" customWidth="1"/>
    <col min="12044" max="12044" width="9.44140625" style="202" customWidth="1"/>
    <col min="12045" max="12045" width="4.88671875" style="202" customWidth="1"/>
    <col min="12046" max="12054" width="8.88671875" style="202"/>
    <col min="12055" max="12055" width="9.44140625" style="202" customWidth="1"/>
    <col min="12056" max="12288" width="8.88671875" style="202"/>
    <col min="12289" max="12289" width="3" style="202" customWidth="1"/>
    <col min="12290" max="12290" width="4.88671875" style="202" customWidth="1"/>
    <col min="12291" max="12291" width="7.6640625" style="202" customWidth="1"/>
    <col min="12292" max="12292" width="7.44140625" style="202" customWidth="1"/>
    <col min="12293" max="12293" width="5.5546875" style="202" customWidth="1"/>
    <col min="12294" max="12294" width="4.5546875" style="202" customWidth="1"/>
    <col min="12295" max="12295" width="8.5546875" style="202" customWidth="1"/>
    <col min="12296" max="12296" width="5.5546875" style="202" customWidth="1"/>
    <col min="12297" max="12297" width="6.6640625" style="202" bestFit="1" customWidth="1"/>
    <col min="12298" max="12298" width="6.88671875" style="202" customWidth="1"/>
    <col min="12299" max="12299" width="8.33203125" style="202" customWidth="1"/>
    <col min="12300" max="12300" width="9.44140625" style="202" customWidth="1"/>
    <col min="12301" max="12301" width="4.88671875" style="202" customWidth="1"/>
    <col min="12302" max="12310" width="8.88671875" style="202"/>
    <col min="12311" max="12311" width="9.44140625" style="202" customWidth="1"/>
    <col min="12312" max="12544" width="8.88671875" style="202"/>
    <col min="12545" max="12545" width="3" style="202" customWidth="1"/>
    <col min="12546" max="12546" width="4.88671875" style="202" customWidth="1"/>
    <col min="12547" max="12547" width="7.6640625" style="202" customWidth="1"/>
    <col min="12548" max="12548" width="7.44140625" style="202" customWidth="1"/>
    <col min="12549" max="12549" width="5.5546875" style="202" customWidth="1"/>
    <col min="12550" max="12550" width="4.5546875" style="202" customWidth="1"/>
    <col min="12551" max="12551" width="8.5546875" style="202" customWidth="1"/>
    <col min="12552" max="12552" width="5.5546875" style="202" customWidth="1"/>
    <col min="12553" max="12553" width="6.6640625" style="202" bestFit="1" customWidth="1"/>
    <col min="12554" max="12554" width="6.88671875" style="202" customWidth="1"/>
    <col min="12555" max="12555" width="8.33203125" style="202" customWidth="1"/>
    <col min="12556" max="12556" width="9.44140625" style="202" customWidth="1"/>
    <col min="12557" max="12557" width="4.88671875" style="202" customWidth="1"/>
    <col min="12558" max="12566" width="8.88671875" style="202"/>
    <col min="12567" max="12567" width="9.44140625" style="202" customWidth="1"/>
    <col min="12568" max="12800" width="8.88671875" style="202"/>
    <col min="12801" max="12801" width="3" style="202" customWidth="1"/>
    <col min="12802" max="12802" width="4.88671875" style="202" customWidth="1"/>
    <col min="12803" max="12803" width="7.6640625" style="202" customWidth="1"/>
    <col min="12804" max="12804" width="7.44140625" style="202" customWidth="1"/>
    <col min="12805" max="12805" width="5.5546875" style="202" customWidth="1"/>
    <col min="12806" max="12806" width="4.5546875" style="202" customWidth="1"/>
    <col min="12807" max="12807" width="8.5546875" style="202" customWidth="1"/>
    <col min="12808" max="12808" width="5.5546875" style="202" customWidth="1"/>
    <col min="12809" max="12809" width="6.6640625" style="202" bestFit="1" customWidth="1"/>
    <col min="12810" max="12810" width="6.88671875" style="202" customWidth="1"/>
    <col min="12811" max="12811" width="8.33203125" style="202" customWidth="1"/>
    <col min="12812" max="12812" width="9.44140625" style="202" customWidth="1"/>
    <col min="12813" max="12813" width="4.88671875" style="202" customWidth="1"/>
    <col min="12814" max="12822" width="8.88671875" style="202"/>
    <col min="12823" max="12823" width="9.44140625" style="202" customWidth="1"/>
    <col min="12824" max="13056" width="8.88671875" style="202"/>
    <col min="13057" max="13057" width="3" style="202" customWidth="1"/>
    <col min="13058" max="13058" width="4.88671875" style="202" customWidth="1"/>
    <col min="13059" max="13059" width="7.6640625" style="202" customWidth="1"/>
    <col min="13060" max="13060" width="7.44140625" style="202" customWidth="1"/>
    <col min="13061" max="13061" width="5.5546875" style="202" customWidth="1"/>
    <col min="13062" max="13062" width="4.5546875" style="202" customWidth="1"/>
    <col min="13063" max="13063" width="8.5546875" style="202" customWidth="1"/>
    <col min="13064" max="13064" width="5.5546875" style="202" customWidth="1"/>
    <col min="13065" max="13065" width="6.6640625" style="202" bestFit="1" customWidth="1"/>
    <col min="13066" max="13066" width="6.88671875" style="202" customWidth="1"/>
    <col min="13067" max="13067" width="8.33203125" style="202" customWidth="1"/>
    <col min="13068" max="13068" width="9.44140625" style="202" customWidth="1"/>
    <col min="13069" max="13069" width="4.88671875" style="202" customWidth="1"/>
    <col min="13070" max="13078" width="8.88671875" style="202"/>
    <col min="13079" max="13079" width="9.44140625" style="202" customWidth="1"/>
    <col min="13080" max="13312" width="8.88671875" style="202"/>
    <col min="13313" max="13313" width="3" style="202" customWidth="1"/>
    <col min="13314" max="13314" width="4.88671875" style="202" customWidth="1"/>
    <col min="13315" max="13315" width="7.6640625" style="202" customWidth="1"/>
    <col min="13316" max="13316" width="7.44140625" style="202" customWidth="1"/>
    <col min="13317" max="13317" width="5.5546875" style="202" customWidth="1"/>
    <col min="13318" max="13318" width="4.5546875" style="202" customWidth="1"/>
    <col min="13319" max="13319" width="8.5546875" style="202" customWidth="1"/>
    <col min="13320" max="13320" width="5.5546875" style="202" customWidth="1"/>
    <col min="13321" max="13321" width="6.6640625" style="202" bestFit="1" customWidth="1"/>
    <col min="13322" max="13322" width="6.88671875" style="202" customWidth="1"/>
    <col min="13323" max="13323" width="8.33203125" style="202" customWidth="1"/>
    <col min="13324" max="13324" width="9.44140625" style="202" customWidth="1"/>
    <col min="13325" max="13325" width="4.88671875" style="202" customWidth="1"/>
    <col min="13326" max="13334" width="8.88671875" style="202"/>
    <col min="13335" max="13335" width="9.44140625" style="202" customWidth="1"/>
    <col min="13336" max="13568" width="8.88671875" style="202"/>
    <col min="13569" max="13569" width="3" style="202" customWidth="1"/>
    <col min="13570" max="13570" width="4.88671875" style="202" customWidth="1"/>
    <col min="13571" max="13571" width="7.6640625" style="202" customWidth="1"/>
    <col min="13572" max="13572" width="7.44140625" style="202" customWidth="1"/>
    <col min="13573" max="13573" width="5.5546875" style="202" customWidth="1"/>
    <col min="13574" max="13574" width="4.5546875" style="202" customWidth="1"/>
    <col min="13575" max="13575" width="8.5546875" style="202" customWidth="1"/>
    <col min="13576" max="13576" width="5.5546875" style="202" customWidth="1"/>
    <col min="13577" max="13577" width="6.6640625" style="202" bestFit="1" customWidth="1"/>
    <col min="13578" max="13578" width="6.88671875" style="202" customWidth="1"/>
    <col min="13579" max="13579" width="8.33203125" style="202" customWidth="1"/>
    <col min="13580" max="13580" width="9.44140625" style="202" customWidth="1"/>
    <col min="13581" max="13581" width="4.88671875" style="202" customWidth="1"/>
    <col min="13582" max="13590" width="8.88671875" style="202"/>
    <col min="13591" max="13591" width="9.44140625" style="202" customWidth="1"/>
    <col min="13592" max="13824" width="8.88671875" style="202"/>
    <col min="13825" max="13825" width="3" style="202" customWidth="1"/>
    <col min="13826" max="13826" width="4.88671875" style="202" customWidth="1"/>
    <col min="13827" max="13827" width="7.6640625" style="202" customWidth="1"/>
    <col min="13828" max="13828" width="7.44140625" style="202" customWidth="1"/>
    <col min="13829" max="13829" width="5.5546875" style="202" customWidth="1"/>
    <col min="13830" max="13830" width="4.5546875" style="202" customWidth="1"/>
    <col min="13831" max="13831" width="8.5546875" style="202" customWidth="1"/>
    <col min="13832" max="13832" width="5.5546875" style="202" customWidth="1"/>
    <col min="13833" max="13833" width="6.6640625" style="202" bestFit="1" customWidth="1"/>
    <col min="13834" max="13834" width="6.88671875" style="202" customWidth="1"/>
    <col min="13835" max="13835" width="8.33203125" style="202" customWidth="1"/>
    <col min="13836" max="13836" width="9.44140625" style="202" customWidth="1"/>
    <col min="13837" max="13837" width="4.88671875" style="202" customWidth="1"/>
    <col min="13838" max="13846" width="8.88671875" style="202"/>
    <col min="13847" max="13847" width="9.44140625" style="202" customWidth="1"/>
    <col min="13848" max="14080" width="8.88671875" style="202"/>
    <col min="14081" max="14081" width="3" style="202" customWidth="1"/>
    <col min="14082" max="14082" width="4.88671875" style="202" customWidth="1"/>
    <col min="14083" max="14083" width="7.6640625" style="202" customWidth="1"/>
    <col min="14084" max="14084" width="7.44140625" style="202" customWidth="1"/>
    <col min="14085" max="14085" width="5.5546875" style="202" customWidth="1"/>
    <col min="14086" max="14086" width="4.5546875" style="202" customWidth="1"/>
    <col min="14087" max="14087" width="8.5546875" style="202" customWidth="1"/>
    <col min="14088" max="14088" width="5.5546875" style="202" customWidth="1"/>
    <col min="14089" max="14089" width="6.6640625" style="202" bestFit="1" customWidth="1"/>
    <col min="14090" max="14090" width="6.88671875" style="202" customWidth="1"/>
    <col min="14091" max="14091" width="8.33203125" style="202" customWidth="1"/>
    <col min="14092" max="14092" width="9.44140625" style="202" customWidth="1"/>
    <col min="14093" max="14093" width="4.88671875" style="202" customWidth="1"/>
    <col min="14094" max="14102" width="8.88671875" style="202"/>
    <col min="14103" max="14103" width="9.44140625" style="202" customWidth="1"/>
    <col min="14104" max="14336" width="8.88671875" style="202"/>
    <col min="14337" max="14337" width="3" style="202" customWidth="1"/>
    <col min="14338" max="14338" width="4.88671875" style="202" customWidth="1"/>
    <col min="14339" max="14339" width="7.6640625" style="202" customWidth="1"/>
    <col min="14340" max="14340" width="7.44140625" style="202" customWidth="1"/>
    <col min="14341" max="14341" width="5.5546875" style="202" customWidth="1"/>
    <col min="14342" max="14342" width="4.5546875" style="202" customWidth="1"/>
    <col min="14343" max="14343" width="8.5546875" style="202" customWidth="1"/>
    <col min="14344" max="14344" width="5.5546875" style="202" customWidth="1"/>
    <col min="14345" max="14345" width="6.6640625" style="202" bestFit="1" customWidth="1"/>
    <col min="14346" max="14346" width="6.88671875" style="202" customWidth="1"/>
    <col min="14347" max="14347" width="8.33203125" style="202" customWidth="1"/>
    <col min="14348" max="14348" width="9.44140625" style="202" customWidth="1"/>
    <col min="14349" max="14349" width="4.88671875" style="202" customWidth="1"/>
    <col min="14350" max="14358" width="8.88671875" style="202"/>
    <col min="14359" max="14359" width="9.44140625" style="202" customWidth="1"/>
    <col min="14360" max="14592" width="8.88671875" style="202"/>
    <col min="14593" max="14593" width="3" style="202" customWidth="1"/>
    <col min="14594" max="14594" width="4.88671875" style="202" customWidth="1"/>
    <col min="14595" max="14595" width="7.6640625" style="202" customWidth="1"/>
    <col min="14596" max="14596" width="7.44140625" style="202" customWidth="1"/>
    <col min="14597" max="14597" width="5.5546875" style="202" customWidth="1"/>
    <col min="14598" max="14598" width="4.5546875" style="202" customWidth="1"/>
    <col min="14599" max="14599" width="8.5546875" style="202" customWidth="1"/>
    <col min="14600" max="14600" width="5.5546875" style="202" customWidth="1"/>
    <col min="14601" max="14601" width="6.6640625" style="202" bestFit="1" customWidth="1"/>
    <col min="14602" max="14602" width="6.88671875" style="202" customWidth="1"/>
    <col min="14603" max="14603" width="8.33203125" style="202" customWidth="1"/>
    <col min="14604" max="14604" width="9.44140625" style="202" customWidth="1"/>
    <col min="14605" max="14605" width="4.88671875" style="202" customWidth="1"/>
    <col min="14606" max="14614" width="8.88671875" style="202"/>
    <col min="14615" max="14615" width="9.44140625" style="202" customWidth="1"/>
    <col min="14616" max="14848" width="8.88671875" style="202"/>
    <col min="14849" max="14849" width="3" style="202" customWidth="1"/>
    <col min="14850" max="14850" width="4.88671875" style="202" customWidth="1"/>
    <col min="14851" max="14851" width="7.6640625" style="202" customWidth="1"/>
    <col min="14852" max="14852" width="7.44140625" style="202" customWidth="1"/>
    <col min="14853" max="14853" width="5.5546875" style="202" customWidth="1"/>
    <col min="14854" max="14854" width="4.5546875" style="202" customWidth="1"/>
    <col min="14855" max="14855" width="8.5546875" style="202" customWidth="1"/>
    <col min="14856" max="14856" width="5.5546875" style="202" customWidth="1"/>
    <col min="14857" max="14857" width="6.6640625" style="202" bestFit="1" customWidth="1"/>
    <col min="14858" max="14858" width="6.88671875" style="202" customWidth="1"/>
    <col min="14859" max="14859" width="8.33203125" style="202" customWidth="1"/>
    <col min="14860" max="14860" width="9.44140625" style="202" customWidth="1"/>
    <col min="14861" max="14861" width="4.88671875" style="202" customWidth="1"/>
    <col min="14862" max="14870" width="8.88671875" style="202"/>
    <col min="14871" max="14871" width="9.44140625" style="202" customWidth="1"/>
    <col min="14872" max="15104" width="8.88671875" style="202"/>
    <col min="15105" max="15105" width="3" style="202" customWidth="1"/>
    <col min="15106" max="15106" width="4.88671875" style="202" customWidth="1"/>
    <col min="15107" max="15107" width="7.6640625" style="202" customWidth="1"/>
    <col min="15108" max="15108" width="7.44140625" style="202" customWidth="1"/>
    <col min="15109" max="15109" width="5.5546875" style="202" customWidth="1"/>
    <col min="15110" max="15110" width="4.5546875" style="202" customWidth="1"/>
    <col min="15111" max="15111" width="8.5546875" style="202" customWidth="1"/>
    <col min="15112" max="15112" width="5.5546875" style="202" customWidth="1"/>
    <col min="15113" max="15113" width="6.6640625" style="202" bestFit="1" customWidth="1"/>
    <col min="15114" max="15114" width="6.88671875" style="202" customWidth="1"/>
    <col min="15115" max="15115" width="8.33203125" style="202" customWidth="1"/>
    <col min="15116" max="15116" width="9.44140625" style="202" customWidth="1"/>
    <col min="15117" max="15117" width="4.88671875" style="202" customWidth="1"/>
    <col min="15118" max="15126" width="8.88671875" style="202"/>
    <col min="15127" max="15127" width="9.44140625" style="202" customWidth="1"/>
    <col min="15128" max="15360" width="8.88671875" style="202"/>
    <col min="15361" max="15361" width="3" style="202" customWidth="1"/>
    <col min="15362" max="15362" width="4.88671875" style="202" customWidth="1"/>
    <col min="15363" max="15363" width="7.6640625" style="202" customWidth="1"/>
    <col min="15364" max="15364" width="7.44140625" style="202" customWidth="1"/>
    <col min="15365" max="15365" width="5.5546875" style="202" customWidth="1"/>
    <col min="15366" max="15366" width="4.5546875" style="202" customWidth="1"/>
    <col min="15367" max="15367" width="8.5546875" style="202" customWidth="1"/>
    <col min="15368" max="15368" width="5.5546875" style="202" customWidth="1"/>
    <col min="15369" max="15369" width="6.6640625" style="202" bestFit="1" customWidth="1"/>
    <col min="15370" max="15370" width="6.88671875" style="202" customWidth="1"/>
    <col min="15371" max="15371" width="8.33203125" style="202" customWidth="1"/>
    <col min="15372" max="15372" width="9.44140625" style="202" customWidth="1"/>
    <col min="15373" max="15373" width="4.88671875" style="202" customWidth="1"/>
    <col min="15374" max="15382" width="8.88671875" style="202"/>
    <col min="15383" max="15383" width="9.44140625" style="202" customWidth="1"/>
    <col min="15384" max="15616" width="8.88671875" style="202"/>
    <col min="15617" max="15617" width="3" style="202" customWidth="1"/>
    <col min="15618" max="15618" width="4.88671875" style="202" customWidth="1"/>
    <col min="15619" max="15619" width="7.6640625" style="202" customWidth="1"/>
    <col min="15620" max="15620" width="7.44140625" style="202" customWidth="1"/>
    <col min="15621" max="15621" width="5.5546875" style="202" customWidth="1"/>
    <col min="15622" max="15622" width="4.5546875" style="202" customWidth="1"/>
    <col min="15623" max="15623" width="8.5546875" style="202" customWidth="1"/>
    <col min="15624" max="15624" width="5.5546875" style="202" customWidth="1"/>
    <col min="15625" max="15625" width="6.6640625" style="202" bestFit="1" customWidth="1"/>
    <col min="15626" max="15626" width="6.88671875" style="202" customWidth="1"/>
    <col min="15627" max="15627" width="8.33203125" style="202" customWidth="1"/>
    <col min="15628" max="15628" width="9.44140625" style="202" customWidth="1"/>
    <col min="15629" max="15629" width="4.88671875" style="202" customWidth="1"/>
    <col min="15630" max="15638" width="8.88671875" style="202"/>
    <col min="15639" max="15639" width="9.44140625" style="202" customWidth="1"/>
    <col min="15640" max="15872" width="8.88671875" style="202"/>
    <col min="15873" max="15873" width="3" style="202" customWidth="1"/>
    <col min="15874" max="15874" width="4.88671875" style="202" customWidth="1"/>
    <col min="15875" max="15875" width="7.6640625" style="202" customWidth="1"/>
    <col min="15876" max="15876" width="7.44140625" style="202" customWidth="1"/>
    <col min="15877" max="15877" width="5.5546875" style="202" customWidth="1"/>
    <col min="15878" max="15878" width="4.5546875" style="202" customWidth="1"/>
    <col min="15879" max="15879" width="8.5546875" style="202" customWidth="1"/>
    <col min="15880" max="15880" width="5.5546875" style="202" customWidth="1"/>
    <col min="15881" max="15881" width="6.6640625" style="202" bestFit="1" customWidth="1"/>
    <col min="15882" max="15882" width="6.88671875" style="202" customWidth="1"/>
    <col min="15883" max="15883" width="8.33203125" style="202" customWidth="1"/>
    <col min="15884" max="15884" width="9.44140625" style="202" customWidth="1"/>
    <col min="15885" max="15885" width="4.88671875" style="202" customWidth="1"/>
    <col min="15886" max="15894" width="8.88671875" style="202"/>
    <col min="15895" max="15895" width="9.44140625" style="202" customWidth="1"/>
    <col min="15896" max="16128" width="8.88671875" style="202"/>
    <col min="16129" max="16129" width="3" style="202" customWidth="1"/>
    <col min="16130" max="16130" width="4.88671875" style="202" customWidth="1"/>
    <col min="16131" max="16131" width="7.6640625" style="202" customWidth="1"/>
    <col min="16132" max="16132" width="7.44140625" style="202" customWidth="1"/>
    <col min="16133" max="16133" width="5.5546875" style="202" customWidth="1"/>
    <col min="16134" max="16134" width="4.5546875" style="202" customWidth="1"/>
    <col min="16135" max="16135" width="8.5546875" style="202" customWidth="1"/>
    <col min="16136" max="16136" width="5.5546875" style="202" customWidth="1"/>
    <col min="16137" max="16137" width="6.6640625" style="202" bestFit="1" customWidth="1"/>
    <col min="16138" max="16138" width="6.88671875" style="202" customWidth="1"/>
    <col min="16139" max="16139" width="8.33203125" style="202" customWidth="1"/>
    <col min="16140" max="16140" width="9.44140625" style="202" customWidth="1"/>
    <col min="16141" max="16141" width="4.88671875" style="202" customWidth="1"/>
    <col min="16142" max="16150" width="8.88671875" style="202"/>
    <col min="16151" max="16151" width="9.44140625" style="202" customWidth="1"/>
    <col min="16152" max="16380" width="8.88671875" style="202"/>
    <col min="16381" max="16384" width="8.77734375" style="202" customWidth="1"/>
  </cols>
  <sheetData>
    <row r="1" spans="1:22" ht="20.25">
      <c r="A1" s="991" t="str">
        <f>IFERROR(MID(VLOOKUP($N$2,LIST_bbkt_bt!$A$6:$H$700,8,0),1,FIND("/",VLOOKUP($N$2,LIST_bbkt_bt!$A$6:$H$700,8,0))-1),"")</f>
        <v>BT.png</v>
      </c>
      <c r="B1" s="991" t="str">
        <f ca="1">SUBSTITUTE(CELL("address",F43),"$","")</f>
        <v>F43</v>
      </c>
      <c r="C1" s="991"/>
      <c r="D1" s="227"/>
      <c r="E1" s="1623" t="str">
        <f>E10</f>
        <v>BIÊN BẢN KIỂM TRA CAO ĐỘ, KÍCH THƯỚC HÌNH HỌC BÊ TÔNG</v>
      </c>
      <c r="F1" s="1623"/>
      <c r="G1" s="1623"/>
      <c r="H1" s="1623"/>
      <c r="I1" s="1623"/>
      <c r="J1" s="1623"/>
      <c r="K1" s="1623"/>
      <c r="L1" s="1623"/>
      <c r="M1" s="227"/>
      <c r="N1" s="227"/>
      <c r="O1" s="227"/>
      <c r="P1" s="227"/>
      <c r="Q1" s="227"/>
      <c r="R1" s="227"/>
      <c r="S1" s="227"/>
      <c r="T1" s="227"/>
      <c r="U1" s="227"/>
      <c r="V1" s="227"/>
    </row>
    <row r="2" spans="1:22" ht="16.5">
      <c r="A2" s="991" t="str">
        <f>IFERROR(MID(VLOOKUP($N$2,LIST_bbkt_bt!$A$6:$H$700,8,0),FIND("/",VLOOKUP($N$2,LIST_bbkt_bt!$A$6:$H$700,8,0))+1,100),"")</f>
        <v>BT.1003</v>
      </c>
      <c r="B2" s="991" t="str">
        <f ca="1">SUBSTITUTE(CELL("address",F55),"$","")</f>
        <v>F55</v>
      </c>
      <c r="C2" s="991">
        <f>ROW(E443)</f>
        <v>443</v>
      </c>
      <c r="D2" s="227"/>
      <c r="E2" s="1624" t="str">
        <f>"     "&amp;Tieude1&amp;": "&amp;NDtieude1</f>
        <v xml:space="preserve">     Công trình: Gia cố nâng cấp kênh Bà Xoài từ K0+300÷K0+600 - Hệ thống thủy lợi Nha Trinh, huyện Ninh Hải, tỉnh Ninh Thuận</v>
      </c>
      <c r="F2" s="1624"/>
      <c r="G2" s="1624"/>
      <c r="H2" s="1624"/>
      <c r="I2" s="1624"/>
      <c r="J2" s="1624"/>
      <c r="K2" s="1624"/>
      <c r="L2" s="1624"/>
      <c r="M2" s="227"/>
      <c r="N2" s="294">
        <v>3</v>
      </c>
      <c r="O2" s="227"/>
      <c r="P2" s="227"/>
      <c r="Q2" s="227"/>
      <c r="R2" s="227"/>
      <c r="S2" s="227"/>
      <c r="T2" s="227"/>
      <c r="U2" s="227"/>
      <c r="V2" s="227"/>
    </row>
    <row r="3" spans="1:22" ht="16.5">
      <c r="A3" s="985" t="str">
        <f ca="1">SUBSTITUTE(CELL("address",F45),"$","")</f>
        <v>F45</v>
      </c>
      <c r="B3" s="991" t="str">
        <f ca="1">SUBSTITUTE(CELL("address",F440),"$","")</f>
        <v>F440</v>
      </c>
      <c r="C3" s="991">
        <f>+ROW(E450)</f>
        <v>450</v>
      </c>
      <c r="D3" s="227"/>
      <c r="E3" s="1624" t="str">
        <f>"     Địa điểm XD: "&amp;DDXD</f>
        <v xml:space="preserve">     Địa điểm XD: Huyện Ninh Hải - Tỉnh Ninh Thuận</v>
      </c>
      <c r="F3" s="1624"/>
      <c r="G3" s="1624"/>
      <c r="H3" s="1624"/>
      <c r="I3" s="1624"/>
      <c r="J3" s="1624"/>
      <c r="K3" s="1624"/>
      <c r="L3" s="1624"/>
      <c r="M3" s="227"/>
      <c r="N3" s="227"/>
      <c r="O3" s="227"/>
      <c r="P3" s="227"/>
      <c r="Q3" s="227"/>
      <c r="R3" s="227"/>
      <c r="S3" s="227"/>
      <c r="T3" s="227"/>
      <c r="U3" s="227"/>
      <c r="V3" s="227"/>
    </row>
    <row r="4" spans="1:22" ht="13.5" customHeight="1">
      <c r="A4" s="309"/>
      <c r="B4" s="227"/>
      <c r="C4" s="227"/>
      <c r="D4" s="227"/>
      <c r="E4" s="227"/>
      <c r="F4" s="227"/>
      <c r="G4" s="227"/>
      <c r="H4" s="227"/>
      <c r="I4" s="227"/>
      <c r="J4" s="227"/>
      <c r="K4" s="227"/>
      <c r="L4" s="227"/>
      <c r="M4" s="227"/>
      <c r="N4" s="227"/>
      <c r="O4" s="227"/>
      <c r="P4" s="227"/>
      <c r="Q4" s="227"/>
      <c r="R4" s="227"/>
      <c r="S4" s="227"/>
      <c r="T4" s="227"/>
      <c r="U4" s="227"/>
      <c r="V4" s="227"/>
    </row>
    <row r="5" spans="1:22" ht="16.5">
      <c r="A5" s="227"/>
      <c r="B5" s="227"/>
      <c r="C5" s="227"/>
      <c r="D5" s="227"/>
      <c r="E5" s="1625" t="s">
        <v>158</v>
      </c>
      <c r="F5" s="1625"/>
      <c r="G5" s="1625"/>
      <c r="H5" s="1625"/>
      <c r="I5" s="1625"/>
      <c r="J5" s="1625"/>
      <c r="K5" s="1625"/>
      <c r="L5" s="1625"/>
      <c r="M5" s="227"/>
      <c r="N5" s="227"/>
      <c r="O5" s="227"/>
      <c r="P5" s="227"/>
      <c r="Q5" s="227"/>
      <c r="R5" s="227"/>
      <c r="S5" s="227"/>
      <c r="T5" s="227"/>
      <c r="U5" s="227"/>
      <c r="V5" s="227"/>
    </row>
    <row r="6" spans="1:22" ht="15" customHeight="1">
      <c r="A6" s="227"/>
      <c r="B6" s="227"/>
      <c r="C6" s="227"/>
      <c r="D6" s="227"/>
      <c r="E6" s="1626" t="s">
        <v>161</v>
      </c>
      <c r="F6" s="1626"/>
      <c r="G6" s="1626"/>
      <c r="H6" s="1626"/>
      <c r="I6" s="1626"/>
      <c r="J6" s="1626"/>
      <c r="K6" s="1626"/>
      <c r="L6" s="1626"/>
      <c r="M6" s="227"/>
      <c r="N6" s="227"/>
      <c r="O6" s="227"/>
      <c r="P6" s="227"/>
      <c r="Q6" s="227"/>
      <c r="R6" s="227"/>
      <c r="S6" s="227"/>
      <c r="T6" s="227"/>
      <c r="U6" s="227"/>
      <c r="V6" s="227"/>
    </row>
    <row r="7" spans="1:22" ht="6.75" customHeight="1">
      <c r="A7" s="227"/>
      <c r="B7" s="227"/>
      <c r="C7" s="227"/>
      <c r="D7" s="227"/>
      <c r="E7" s="1627"/>
      <c r="F7" s="1627"/>
      <c r="G7" s="1627"/>
      <c r="H7" s="1627"/>
      <c r="I7" s="1627"/>
      <c r="J7" s="1627"/>
      <c r="K7" s="1627"/>
      <c r="L7" s="1627"/>
      <c r="M7" s="227"/>
      <c r="N7" s="227"/>
      <c r="O7" s="227"/>
      <c r="P7" s="227"/>
      <c r="Q7" s="227"/>
      <c r="R7" s="227"/>
      <c r="S7" s="227"/>
      <c r="T7" s="227"/>
      <c r="U7" s="227"/>
      <c r="V7" s="227"/>
    </row>
    <row r="8" spans="1:22" ht="16.5">
      <c r="A8" s="227"/>
      <c r="B8" s="227"/>
      <c r="C8" s="227"/>
      <c r="D8" s="227"/>
      <c r="E8" s="1622" t="str">
        <f>Diadanh&amp;", "&amp;IFERROR(Doingay(VLOOKUP($N$2,LIST_bbkt_bt!$A$6:$H$700,6,0))," ngày ….. tháng ….. năm …..")</f>
        <v>Ninh Hải,  ngày 31 tháng 5 năm 2020</v>
      </c>
      <c r="F8" s="1622"/>
      <c r="G8" s="1622"/>
      <c r="H8" s="1622"/>
      <c r="I8" s="1622"/>
      <c r="J8" s="1622"/>
      <c r="K8" s="1622"/>
      <c r="L8" s="1622"/>
      <c r="M8" s="227"/>
      <c r="N8" s="227"/>
      <c r="O8" s="227"/>
      <c r="P8" s="227"/>
      <c r="Q8" s="227"/>
      <c r="R8" s="227"/>
      <c r="S8" s="227"/>
      <c r="T8" s="227"/>
      <c r="U8" s="227"/>
      <c r="V8" s="227"/>
    </row>
    <row r="9" spans="1:22" ht="13.5" customHeight="1">
      <c r="A9" s="227"/>
      <c r="B9" s="227"/>
      <c r="C9" s="227"/>
      <c r="D9" s="227"/>
      <c r="E9" s="717"/>
      <c r="F9" s="717"/>
      <c r="G9" s="717"/>
      <c r="H9" s="717"/>
      <c r="I9" s="717"/>
      <c r="J9" s="717"/>
      <c r="K9" s="717"/>
      <c r="L9" s="717"/>
      <c r="M9" s="227"/>
      <c r="N9" s="227"/>
      <c r="O9" s="227"/>
      <c r="P9" s="227"/>
      <c r="Q9" s="227"/>
      <c r="R9" s="227"/>
      <c r="S9" s="227"/>
      <c r="T9" s="227"/>
      <c r="U9" s="227"/>
      <c r="V9" s="227"/>
    </row>
    <row r="10" spans="1:22" ht="18.75">
      <c r="A10" s="227"/>
      <c r="B10" s="227"/>
      <c r="C10" s="227"/>
      <c r="D10" s="227"/>
      <c r="E10" s="1629" t="s">
        <v>4321</v>
      </c>
      <c r="F10" s="1629"/>
      <c r="G10" s="1629"/>
      <c r="H10" s="1629"/>
      <c r="I10" s="1629"/>
      <c r="J10" s="1629"/>
      <c r="K10" s="1629"/>
      <c r="L10" s="1629"/>
      <c r="M10" s="227"/>
      <c r="N10" s="227"/>
      <c r="O10" s="227"/>
      <c r="P10" s="227"/>
      <c r="Q10" s="227"/>
      <c r="R10" s="227"/>
      <c r="S10" s="227"/>
      <c r="T10" s="227"/>
      <c r="U10" s="227"/>
      <c r="V10" s="227"/>
    </row>
    <row r="11" spans="1:22" ht="18" customHeight="1">
      <c r="A11" s="227"/>
      <c r="B11" s="227"/>
      <c r="C11" s="227"/>
      <c r="D11" s="227"/>
      <c r="E11" s="716"/>
      <c r="F11" s="716"/>
      <c r="G11" s="716"/>
      <c r="H11" s="716"/>
      <c r="I11" s="716"/>
      <c r="J11" s="716"/>
      <c r="K11" s="716"/>
      <c r="L11" s="716"/>
      <c r="M11" s="227"/>
      <c r="N11" s="227"/>
      <c r="O11" s="227"/>
      <c r="P11" s="227"/>
      <c r="Q11" s="227"/>
      <c r="R11" s="227"/>
      <c r="S11" s="227"/>
      <c r="T11" s="227"/>
      <c r="U11" s="227"/>
      <c r="V11" s="227"/>
    </row>
    <row r="12" spans="1:22" ht="36.6" customHeight="1">
      <c r="A12" s="227"/>
      <c r="B12" s="227"/>
      <c r="C12" s="227"/>
      <c r="D12" s="227"/>
      <c r="E12" s="1630" t="str">
        <f>IF(NDtieude1&lt;&gt;"",Tieude1&amp;": "&amp;NDtieude1,"")</f>
        <v>Công trình: Gia cố nâng cấp kênh Bà Xoài từ K0+300÷K0+600 - Hệ thống thủy lợi Nha Trinh, huyện Ninh Hải, tỉnh Ninh Thuận</v>
      </c>
      <c r="F12" s="1630"/>
      <c r="G12" s="1630"/>
      <c r="H12" s="1630"/>
      <c r="I12" s="1630"/>
      <c r="J12" s="1630"/>
      <c r="K12" s="1630"/>
      <c r="L12" s="1630"/>
      <c r="M12" s="227"/>
      <c r="N12" s="227"/>
      <c r="O12" s="227"/>
      <c r="P12" s="227"/>
      <c r="Q12" s="227"/>
      <c r="R12" s="227"/>
      <c r="S12" s="227"/>
      <c r="T12" s="227"/>
      <c r="U12" s="227">
        <f>ROW(E12)</f>
        <v>12</v>
      </c>
      <c r="V12" s="227"/>
    </row>
    <row r="13" spans="1:22" ht="20.100000000000001" hidden="1" customHeight="1">
      <c r="A13" s="227"/>
      <c r="B13" s="227"/>
      <c r="C13" s="227"/>
      <c r="D13" s="227"/>
      <c r="E13" s="1630" t="str">
        <f>IF(NDtieude2&lt;&gt;"",Tieude2&amp;": "&amp;NDtieude2,"")</f>
        <v/>
      </c>
      <c r="F13" s="1630"/>
      <c r="G13" s="1630"/>
      <c r="H13" s="1630"/>
      <c r="I13" s="1630"/>
      <c r="J13" s="1630"/>
      <c r="K13" s="1630"/>
      <c r="L13" s="1630"/>
      <c r="M13" s="227"/>
      <c r="N13" s="227"/>
      <c r="O13" s="227"/>
      <c r="P13" s="227"/>
      <c r="Q13" s="227"/>
      <c r="R13" s="227"/>
      <c r="S13" s="227"/>
      <c r="T13" s="227"/>
      <c r="U13" s="227">
        <f>ROW(E13)</f>
        <v>13</v>
      </c>
      <c r="V13" s="227"/>
    </row>
    <row r="14" spans="1:22" ht="20.100000000000001" customHeight="1">
      <c r="A14" s="227"/>
      <c r="B14" s="227"/>
      <c r="C14" s="227"/>
      <c r="D14" s="227"/>
      <c r="E14" s="1630" t="str">
        <f>IF(NDtieude3&lt;&gt;"",Tieude3&amp;": "&amp;NDtieude3,"")</f>
        <v>Hạng mục: Kênh và Công trình trên kênh</v>
      </c>
      <c r="F14" s="1630"/>
      <c r="G14" s="1630"/>
      <c r="H14" s="1630"/>
      <c r="I14" s="1630"/>
      <c r="J14" s="1630"/>
      <c r="K14" s="1630"/>
      <c r="L14" s="1630"/>
      <c r="M14" s="227"/>
      <c r="N14" s="227"/>
      <c r="O14" s="227"/>
      <c r="P14" s="227"/>
      <c r="Q14" s="227"/>
      <c r="R14" s="227"/>
      <c r="S14" s="227"/>
      <c r="T14" s="227"/>
      <c r="U14" s="227">
        <f>ROW(E14)</f>
        <v>14</v>
      </c>
      <c r="V14" s="227"/>
    </row>
    <row r="15" spans="1:22" ht="20.100000000000001" customHeight="1">
      <c r="A15" s="227"/>
      <c r="B15" s="227"/>
      <c r="C15" s="227"/>
      <c r="D15" s="227"/>
      <c r="E15" s="1630" t="str">
        <f>IF(DDXD&lt;&gt;"","Địa điểm xây dựng : "&amp;DDXD,"")</f>
        <v>Địa điểm xây dựng : Huyện Ninh Hải - Tỉnh Ninh Thuận</v>
      </c>
      <c r="F15" s="1630"/>
      <c r="G15" s="1630"/>
      <c r="H15" s="1630"/>
      <c r="I15" s="1630"/>
      <c r="J15" s="1630"/>
      <c r="K15" s="1630"/>
      <c r="L15" s="1630"/>
      <c r="M15" s="227"/>
      <c r="N15" s="227"/>
      <c r="O15" s="227"/>
      <c r="P15" s="227"/>
      <c r="Q15" s="227"/>
      <c r="R15" s="227"/>
      <c r="S15" s="227"/>
      <c r="T15" s="227"/>
      <c r="U15" s="227">
        <f>ROW(E15)</f>
        <v>15</v>
      </c>
      <c r="V15" s="227"/>
    </row>
    <row r="16" spans="1:22" ht="11.25" customHeight="1">
      <c r="A16" s="227"/>
      <c r="B16" s="227"/>
      <c r="C16" s="227"/>
      <c r="D16" s="227"/>
      <c r="E16" s="201"/>
      <c r="H16" s="201"/>
      <c r="I16" s="201"/>
      <c r="J16" s="201"/>
      <c r="K16" s="201"/>
      <c r="L16" s="201"/>
      <c r="M16" s="227"/>
      <c r="N16" s="227"/>
      <c r="O16" s="227"/>
      <c r="P16" s="227"/>
      <c r="Q16" s="227"/>
      <c r="R16" s="227"/>
      <c r="S16" s="227"/>
      <c r="T16" s="227"/>
      <c r="U16" s="227"/>
      <c r="V16" s="227"/>
    </row>
    <row r="17" spans="1:22 16381:16381" ht="20.100000000000001" customHeight="1">
      <c r="A17" s="227"/>
      <c r="B17" s="227"/>
      <c r="C17" s="227"/>
      <c r="D17" s="227"/>
      <c r="E17" s="204" t="s">
        <v>3889</v>
      </c>
      <c r="F17" s="205" t="s">
        <v>3890</v>
      </c>
      <c r="G17" s="201"/>
      <c r="H17" s="201"/>
      <c r="I17" s="206"/>
      <c r="J17" s="206"/>
      <c r="K17" s="207"/>
      <c r="L17" s="207"/>
      <c r="M17" s="227"/>
      <c r="N17" s="227"/>
      <c r="O17" s="227"/>
      <c r="P17" s="227"/>
      <c r="Q17" s="227"/>
      <c r="R17" s="227"/>
      <c r="S17" s="227"/>
      <c r="T17" s="227">
        <f>ROW()</f>
        <v>17</v>
      </c>
      <c r="U17" s="227"/>
      <c r="V17" s="227"/>
    </row>
    <row r="18" spans="1:22 16381:16381" ht="20.100000000000001" customHeight="1">
      <c r="A18" s="227"/>
      <c r="B18" s="227"/>
      <c r="C18" s="227"/>
      <c r="D18" s="227"/>
      <c r="E18" s="1633" t="str">
        <f>"+ Đối tượng kiểm tra: "&amp;IFERROR(VLOOKUP($N$2,LIST_bbkt_bt!$A$6:$H$700,4,0),"")</f>
        <v>+ Đối tượng kiểm tra: Kiểm tra cao độ, kích thước hình học bê tông kênh</v>
      </c>
      <c r="F18" s="1633"/>
      <c r="G18" s="1633"/>
      <c r="H18" s="1633"/>
      <c r="I18" s="1633"/>
      <c r="J18" s="1633"/>
      <c r="K18" s="1633"/>
      <c r="L18" s="1633"/>
      <c r="M18" s="227"/>
      <c r="N18" s="227"/>
      <c r="O18" s="227"/>
      <c r="P18" s="227"/>
      <c r="Q18" s="227"/>
      <c r="R18" s="227"/>
      <c r="S18" s="227"/>
      <c r="T18" s="227">
        <f>ROW()</f>
        <v>18</v>
      </c>
      <c r="U18" s="227"/>
      <c r="V18" s="227"/>
      <c r="XFA18"/>
    </row>
    <row r="19" spans="1:22 16381:16381" ht="16.5">
      <c r="A19" s="227"/>
      <c r="B19" s="227"/>
      <c r="C19" s="227"/>
      <c r="D19" s="227"/>
      <c r="E19" s="1633" t="str">
        <f>"+ Vị trí xây dựng trên công trình: "&amp;IFERROR(VLOOKUP($N$2,LIST_bbkt_bt!$A$6:$H$700,5,0),"")</f>
        <v>+ Vị trí xây dựng trên công trình: Đoạn Km0+500 đến Km0+600</v>
      </c>
      <c r="F19" s="1633"/>
      <c r="G19" s="1633"/>
      <c r="H19" s="1633"/>
      <c r="I19" s="1633"/>
      <c r="J19" s="1633"/>
      <c r="K19" s="1633"/>
      <c r="L19" s="1633"/>
      <c r="M19" s="227"/>
      <c r="N19" s="227"/>
      <c r="O19" s="227"/>
      <c r="P19" s="227"/>
      <c r="Q19" s="227"/>
      <c r="R19" s="227"/>
      <c r="S19" s="227"/>
      <c r="T19" s="227"/>
      <c r="U19" s="227"/>
      <c r="V19" s="227"/>
      <c r="XFA19"/>
    </row>
    <row r="20" spans="1:22 16381:16381" ht="7.5" customHeight="1">
      <c r="A20" s="227"/>
      <c r="B20" s="227"/>
      <c r="C20" s="227"/>
      <c r="D20" s="227"/>
      <c r="E20" s="204"/>
      <c r="F20" s="205"/>
      <c r="G20" s="205"/>
      <c r="H20" s="201"/>
      <c r="I20" s="201"/>
      <c r="J20" s="201"/>
      <c r="K20" s="201"/>
      <c r="L20" s="201"/>
      <c r="M20" s="227"/>
      <c r="N20" s="227"/>
      <c r="O20" s="227"/>
      <c r="P20" s="227"/>
      <c r="Q20" s="227"/>
      <c r="R20" s="227"/>
      <c r="S20" s="227"/>
      <c r="T20" s="227"/>
      <c r="U20" s="227"/>
      <c r="V20" s="227"/>
    </row>
    <row r="21" spans="1:22 16381:16381" ht="17.25" customHeight="1">
      <c r="A21" s="227"/>
      <c r="B21" s="227"/>
      <c r="C21" s="227"/>
      <c r="D21" s="227"/>
      <c r="E21" s="1632"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227"/>
      <c r="N21" s="227"/>
      <c r="O21" s="227"/>
      <c r="P21" s="227"/>
      <c r="Q21" s="227"/>
      <c r="R21" s="227"/>
      <c r="S21" s="227"/>
      <c r="T21" s="227"/>
      <c r="U21" s="227">
        <f>ROW(E21)</f>
        <v>21</v>
      </c>
      <c r="V21" s="227"/>
    </row>
    <row r="22" spans="1:22 16381:16381" ht="18" customHeight="1">
      <c r="A22" s="227"/>
      <c r="B22" s="227"/>
      <c r="C22" s="227"/>
      <c r="D22" s="227"/>
      <c r="E22" s="201"/>
      <c r="F22" s="246" t="str">
        <f>GT_GS1&amp;CBGS1</f>
        <v>Ông: Trần Trọng Liêm</v>
      </c>
      <c r="G22" s="39"/>
      <c r="I22" s="435" t="str">
        <f>"Chức vụ: "&amp;CV_CBGS1</f>
        <v>Chức vụ: Giám sát trưởng</v>
      </c>
      <c r="K22" s="201"/>
      <c r="L22" s="201"/>
      <c r="M22" s="227"/>
      <c r="N22" s="227"/>
      <c r="O22" s="227"/>
      <c r="P22" s="227"/>
      <c r="Q22" s="227"/>
      <c r="R22" s="227"/>
      <c r="S22" s="227"/>
      <c r="T22" s="227"/>
      <c r="U22" s="227"/>
      <c r="V22" s="227"/>
    </row>
    <row r="23" spans="1:22 16381:16381" ht="18" customHeight="1">
      <c r="A23" s="227"/>
      <c r="B23" s="227"/>
      <c r="C23" s="227"/>
      <c r="D23" s="227"/>
      <c r="E23" s="201"/>
      <c r="F23" s="246" t="str">
        <f>GT_GS2&amp;CBGS2</f>
        <v>Bà  : Nguyễn Thị Minh</v>
      </c>
      <c r="G23" s="39"/>
      <c r="I23" s="1078" t="str">
        <f>"Chức vụ: "&amp;CV_CBGS2</f>
        <v>Chức vụ: Giám sát viên</v>
      </c>
      <c r="K23" s="201"/>
      <c r="L23" s="201"/>
      <c r="M23" s="227"/>
      <c r="N23" s="227"/>
      <c r="O23" s="227"/>
      <c r="P23" s="227"/>
      <c r="Q23" s="227"/>
      <c r="R23" s="227"/>
      <c r="S23" s="227"/>
      <c r="T23" s="227"/>
      <c r="U23" s="227"/>
      <c r="V23" s="227"/>
    </row>
    <row r="24" spans="1:22 16381:16381" ht="18" customHeight="1">
      <c r="A24" s="227"/>
      <c r="B24" s="227"/>
      <c r="C24" s="227"/>
      <c r="D24" s="227"/>
      <c r="E24" s="201"/>
      <c r="F24" s="246" t="str">
        <f>GT_GS3&amp;CBGS3</f>
        <v>Ông: ………………………..</v>
      </c>
      <c r="G24" s="39"/>
      <c r="I24" s="1078" t="str">
        <f>"Chức vụ: "&amp;CV_CBGS3</f>
        <v>Chức vụ:  …………………</v>
      </c>
      <c r="K24" s="201"/>
      <c r="L24" s="201"/>
      <c r="M24" s="227"/>
      <c r="N24" s="227"/>
      <c r="O24" s="227"/>
      <c r="P24" s="227"/>
      <c r="Q24" s="227"/>
      <c r="R24" s="227"/>
      <c r="S24" s="227"/>
      <c r="T24" s="227"/>
      <c r="U24" s="227"/>
      <c r="V24" s="227"/>
    </row>
    <row r="25" spans="1:22 16381:16381" ht="17.25" customHeight="1">
      <c r="A25" s="227"/>
      <c r="B25" s="227"/>
      <c r="C25" s="227"/>
      <c r="D25" s="227"/>
      <c r="E25" s="1632" t="str">
        <f>"b. Đại diện "&amp;LOWER(MID(Td_DVTC,1,1))&amp;MID(Td_DVTC,2,LEN(Td_DVTC))&amp;": "&amp;DVTC</f>
        <v>b. Đại diện đơn vị thi công: Công ty TNHH Xây dựng Thịnh Dũng</v>
      </c>
      <c r="F25" s="1524"/>
      <c r="G25" s="1524"/>
      <c r="H25" s="1524"/>
      <c r="I25" s="1524"/>
      <c r="J25" s="1524"/>
      <c r="K25" s="1524"/>
      <c r="L25" s="1524"/>
      <c r="M25" s="227"/>
      <c r="N25" s="227"/>
      <c r="O25" s="227"/>
      <c r="P25" s="227"/>
      <c r="Q25" s="227"/>
      <c r="R25" s="227"/>
      <c r="S25" s="227"/>
      <c r="T25" s="227"/>
      <c r="U25" s="227">
        <f>ROW(E25)</f>
        <v>25</v>
      </c>
      <c r="V25" s="227"/>
    </row>
    <row r="26" spans="1:22 16381:16381" ht="18" customHeight="1">
      <c r="A26" s="227"/>
      <c r="B26" s="227"/>
      <c r="C26" s="227"/>
      <c r="D26" s="227"/>
      <c r="E26" s="201"/>
      <c r="F26" s="62" t="str">
        <f>GT_CDT1&amp;CBKT1</f>
        <v>Ông: Hoàng Đình Tảng</v>
      </c>
      <c r="H26" s="63"/>
      <c r="I26" s="51" t="str">
        <f>"Chức vụ: "&amp;CV_CBKT1</f>
        <v>Chức vụ: Chỉ huy công trường</v>
      </c>
      <c r="K26" s="201"/>
      <c r="L26" s="201"/>
      <c r="M26" s="227"/>
      <c r="N26" s="227"/>
      <c r="O26" s="227"/>
      <c r="P26" s="227"/>
      <c r="Q26" s="227"/>
      <c r="R26" s="227"/>
      <c r="S26" s="227"/>
      <c r="T26" s="227"/>
      <c r="U26" s="227"/>
      <c r="V26" s="227"/>
    </row>
    <row r="27" spans="1:22 16381:16381" ht="18" customHeight="1">
      <c r="A27" s="227"/>
      <c r="B27" s="227"/>
      <c r="C27" s="227"/>
      <c r="D27" s="227"/>
      <c r="E27" s="201"/>
      <c r="F27" s="62" t="str">
        <f>GT_CDT2&amp;CBKT2</f>
        <v>Ông: Lê Thiên Phương</v>
      </c>
      <c r="H27" s="63"/>
      <c r="I27" s="51" t="str">
        <f>"Chức vụ: "&amp;CV_CBKT2</f>
        <v>Chức vụ: Kỹ thuật thi công</v>
      </c>
      <c r="K27" s="201"/>
      <c r="L27" s="201"/>
      <c r="M27" s="227"/>
      <c r="N27" s="227"/>
      <c r="O27" s="227"/>
      <c r="P27" s="227"/>
      <c r="Q27" s="227"/>
      <c r="R27" s="227"/>
      <c r="S27" s="227"/>
      <c r="T27" s="227"/>
      <c r="U27" s="227"/>
      <c r="V27" s="227"/>
    </row>
    <row r="28" spans="1:22 16381:16381" ht="18" customHeight="1">
      <c r="A28" s="227"/>
      <c r="B28" s="227"/>
      <c r="C28" s="227"/>
      <c r="D28" s="227"/>
      <c r="E28" s="201"/>
      <c r="F28" s="62" t="str">
        <f>GT_CDT3&amp;CBKT3</f>
        <v>Ông: ………………………..</v>
      </c>
      <c r="H28" s="63"/>
      <c r="I28" s="51" t="str">
        <f>"Chức vụ: "&amp;CV_CBKT3</f>
        <v>Chức vụ: ………………………..</v>
      </c>
      <c r="K28" s="201"/>
      <c r="L28" s="201"/>
      <c r="M28" s="227"/>
      <c r="N28" s="227"/>
      <c r="O28" s="227"/>
      <c r="P28" s="227"/>
      <c r="Q28" s="227"/>
      <c r="R28" s="227"/>
      <c r="S28" s="227"/>
      <c r="T28" s="227"/>
      <c r="U28" s="227"/>
      <c r="V28" s="227"/>
    </row>
    <row r="29" spans="1:22 16381:16381" ht="18" customHeight="1">
      <c r="A29" s="227"/>
      <c r="B29" s="227"/>
      <c r="C29" s="227"/>
      <c r="D29" s="227"/>
      <c r="E29" s="204" t="s">
        <v>3893</v>
      </c>
      <c r="F29" s="205" t="s">
        <v>3894</v>
      </c>
      <c r="G29" s="201"/>
      <c r="H29" s="201"/>
      <c r="I29" s="209"/>
      <c r="J29" s="209"/>
      <c r="K29" s="209"/>
      <c r="L29" s="201"/>
      <c r="M29" s="227"/>
      <c r="N29" s="227"/>
      <c r="O29" s="227"/>
      <c r="P29" s="227"/>
      <c r="Q29" s="227"/>
      <c r="R29" s="227"/>
      <c r="S29" s="227"/>
      <c r="T29" s="227"/>
      <c r="U29" s="227"/>
      <c r="V29" s="227"/>
    </row>
    <row r="30" spans="1:22 16381:16381" s="211" customFormat="1" ht="18" customHeight="1">
      <c r="A30" s="227"/>
      <c r="B30" s="227"/>
      <c r="C30" s="227"/>
      <c r="D30" s="227"/>
      <c r="E30" s="210"/>
      <c r="F30" s="1631" t="str">
        <f>" + Bắt đấu: ……. giờ ….. phút, "&amp;IFERROR(Doingay(VLOOKUP($N$2,LIST_bbkt_bt!$A$6:$H$700,6,0))," ngày ….. tháng ….. năm …..")</f>
        <v xml:space="preserve"> + Bắt đấu: ……. giờ ….. phút,  ngày 31 tháng 5 năm 2020</v>
      </c>
      <c r="G30" s="1631"/>
      <c r="H30" s="1631"/>
      <c r="I30" s="1631"/>
      <c r="J30" s="1631"/>
      <c r="K30" s="1631"/>
      <c r="L30" s="1631"/>
      <c r="M30" s="227"/>
      <c r="N30" s="227"/>
      <c r="O30" s="227"/>
      <c r="P30" s="227"/>
      <c r="Q30" s="227"/>
      <c r="R30" s="227"/>
      <c r="S30" s="227"/>
      <c r="T30" s="227"/>
      <c r="U30" s="227"/>
      <c r="V30" s="227"/>
    </row>
    <row r="31" spans="1:22 16381:16381" s="211" customFormat="1" ht="18" customHeight="1">
      <c r="A31" s="227"/>
      <c r="B31" s="227"/>
      <c r="C31" s="227"/>
      <c r="D31" s="227"/>
      <c r="E31" s="210"/>
      <c r="F31" s="1628" t="str">
        <f>" + Kết thúc: ……. giờ ….. phút, "&amp;IFERROR(Doingay(VLOOKUP($N$2,LIST_bbkt_bt!$A$6:$H$700,6,0))," ngày ….. tháng ….. năm …..")</f>
        <v xml:space="preserve"> + Kết thúc: ……. giờ ….. phút,  ngày 31 tháng 5 năm 2020</v>
      </c>
      <c r="G31" s="1628"/>
      <c r="H31" s="1628"/>
      <c r="I31" s="1628"/>
      <c r="J31" s="1628"/>
      <c r="K31" s="1628"/>
      <c r="L31" s="1628"/>
      <c r="M31" s="227"/>
      <c r="N31" s="227"/>
      <c r="O31" s="227"/>
      <c r="P31" s="227"/>
      <c r="Q31" s="227"/>
      <c r="R31" s="227"/>
      <c r="S31" s="227"/>
      <c r="T31" s="227"/>
      <c r="U31" s="227"/>
      <c r="V31" s="227"/>
    </row>
    <row r="32" spans="1:22 16381:16381" ht="18" customHeight="1">
      <c r="A32" s="227"/>
      <c r="B32" s="227"/>
      <c r="C32" s="227"/>
      <c r="D32" s="227"/>
      <c r="E32" s="204" t="s">
        <v>3895</v>
      </c>
      <c r="F32" s="205" t="s">
        <v>4296</v>
      </c>
      <c r="G32" s="201"/>
      <c r="H32" s="201"/>
      <c r="I32" s="201"/>
      <c r="J32" s="201"/>
      <c r="K32" s="201"/>
      <c r="L32" s="201"/>
      <c r="M32" s="227"/>
      <c r="N32" s="227"/>
      <c r="O32" s="227"/>
      <c r="P32" s="227"/>
      <c r="Q32" s="227"/>
      <c r="R32" s="227"/>
      <c r="S32" s="227"/>
      <c r="T32" s="227"/>
      <c r="U32" s="227"/>
      <c r="V32" s="227"/>
    </row>
    <row r="33" spans="1:25" ht="35.25" customHeight="1">
      <c r="A33" s="227"/>
      <c r="B33" s="227"/>
      <c r="C33" s="227"/>
      <c r="D33" s="227"/>
      <c r="E33" s="1620" t="str">
        <f>IFERROR("- Hồ sơ lập dự toán thi công: Hồ sơ lập dự toán thi công do "&amp;DVTK&amp;" lập và được cấp có thẩm quyền phê duyệt.","b) - Hồ sơ thiết kế bản vẽ thi công: Hồ sơ thiết kế bản vẽ thi công đã được phê duyệt.")</f>
        <v>- Hồ sơ lập dự toán thi công: Hồ sơ lập dự toán thi công do Công ty TNHH Tư vấn Xây dựng Hưng Thịnh lập và được cấp có thẩm quyền phê duyệt.</v>
      </c>
      <c r="F33" s="1620"/>
      <c r="G33" s="1620"/>
      <c r="H33" s="1620"/>
      <c r="I33" s="1620"/>
      <c r="J33" s="1620"/>
      <c r="K33" s="1620"/>
      <c r="L33" s="1620"/>
      <c r="M33" s="227"/>
      <c r="N33" s="227"/>
      <c r="O33" s="227"/>
      <c r="P33" s="227"/>
      <c r="Q33" s="227"/>
      <c r="R33" s="227"/>
      <c r="S33" s="227"/>
      <c r="T33" s="227"/>
      <c r="U33" s="227"/>
      <c r="V33" s="227"/>
    </row>
    <row r="34" spans="1:25" ht="17.25" customHeight="1">
      <c r="A34" s="227"/>
      <c r="B34" s="227"/>
      <c r="C34" s="227"/>
      <c r="D34" s="227"/>
      <c r="E34" s="1621" t="s">
        <v>4298</v>
      </c>
      <c r="F34" s="1621"/>
      <c r="G34" s="1621"/>
      <c r="H34" s="1621"/>
      <c r="I34" s="1621"/>
      <c r="J34" s="1621"/>
      <c r="K34" s="1621"/>
      <c r="L34" s="1621"/>
      <c r="M34" s="227"/>
      <c r="N34" s="227"/>
      <c r="O34" s="227"/>
      <c r="P34" s="227"/>
      <c r="Q34" s="227"/>
      <c r="R34" s="227"/>
      <c r="S34" s="227"/>
      <c r="T34" s="227"/>
      <c r="U34" s="227"/>
      <c r="V34" s="227"/>
    </row>
    <row r="35" spans="1:25" ht="52.5" customHeight="1">
      <c r="A35" s="227"/>
      <c r="B35" s="227"/>
      <c r="C35" s="227"/>
      <c r="D35" s="227"/>
      <c r="E35" s="1621" t="str">
        <f>"- Tài liệu chỉ dẫn kỹ thuật có liên quan: Hợp đồng số: "&amp;Hopdong&amp;" giữa "&amp;CĐT&amp;" và "&amp;DVTC</f>
        <v>- Tài liệu chỉ dẫn kỹ thuật có liên quan: Hợp đồng số: 01/2020/HĐXD-TD ngày 28 tháng 04 năm 2020 giữa Công ty TNHH MTV khai thác công trình thủy lợi Ninh Thuận và Công ty TNHH Xây dựng Thịnh Dũng</v>
      </c>
      <c r="F35" s="1621"/>
      <c r="G35" s="1621"/>
      <c r="H35" s="1621"/>
      <c r="I35" s="1621"/>
      <c r="J35" s="1621"/>
      <c r="K35" s="1621"/>
      <c r="L35" s="1621"/>
      <c r="M35" s="227"/>
      <c r="N35" s="227"/>
      <c r="O35" s="227"/>
      <c r="P35" s="227"/>
      <c r="Q35" s="227"/>
      <c r="R35" s="227"/>
      <c r="S35" s="227"/>
      <c r="T35" s="227"/>
      <c r="U35" s="227"/>
      <c r="V35" s="227"/>
    </row>
    <row r="36" spans="1:25" ht="15" customHeight="1">
      <c r="A36" s="227"/>
      <c r="B36" s="227"/>
      <c r="C36" s="227"/>
      <c r="D36" s="227"/>
      <c r="E36" s="204" t="s">
        <v>3896</v>
      </c>
      <c r="F36" s="1636" t="s">
        <v>3897</v>
      </c>
      <c r="G36" s="1636"/>
      <c r="H36" s="212"/>
      <c r="I36" s="212"/>
      <c r="J36" s="212"/>
      <c r="K36" s="212"/>
      <c r="L36" s="212"/>
      <c r="M36" s="227"/>
      <c r="N36" s="227"/>
      <c r="O36" s="227"/>
      <c r="P36" s="227"/>
      <c r="Q36" s="227"/>
      <c r="R36" s="227"/>
      <c r="S36" s="227"/>
      <c r="T36" s="227"/>
      <c r="U36" s="227"/>
      <c r="V36" s="227"/>
      <c r="W36" s="213"/>
      <c r="X36" s="213"/>
      <c r="Y36" s="213"/>
    </row>
    <row r="37" spans="1:25" ht="15" customHeight="1">
      <c r="A37" s="227"/>
      <c r="B37" s="227"/>
      <c r="C37" s="227"/>
      <c r="D37" s="227"/>
      <c r="E37" s="204"/>
      <c r="F37" s="1650"/>
      <c r="G37" s="1650"/>
      <c r="H37" s="1650"/>
      <c r="I37" s="1650"/>
      <c r="J37" s="1650"/>
      <c r="K37" s="1650"/>
      <c r="L37" s="212"/>
      <c r="M37" s="227"/>
      <c r="N37" s="227"/>
      <c r="O37" s="227"/>
      <c r="P37" s="227"/>
      <c r="Q37" s="227"/>
      <c r="R37" s="227"/>
      <c r="S37" s="227"/>
      <c r="T37" s="227"/>
      <c r="U37" s="227"/>
      <c r="V37" s="227"/>
      <c r="W37" s="213"/>
      <c r="X37" s="213"/>
      <c r="Y37" s="213"/>
    </row>
    <row r="38" spans="1:25" s="211" customFormat="1" ht="16.5">
      <c r="A38" s="227"/>
      <c r="B38" s="227"/>
      <c r="C38" s="227"/>
      <c r="D38" s="227"/>
      <c r="E38" s="210"/>
      <c r="F38" s="1646" t="s">
        <v>21</v>
      </c>
      <c r="G38" s="1639" t="s">
        <v>3897</v>
      </c>
      <c r="H38" s="1640"/>
      <c r="I38" s="1647" t="s">
        <v>4303</v>
      </c>
      <c r="J38" s="1648"/>
      <c r="K38" s="1644" t="s">
        <v>20</v>
      </c>
      <c r="L38" s="210"/>
      <c r="M38" s="227"/>
      <c r="N38" s="227"/>
      <c r="O38" s="227"/>
      <c r="P38" s="227"/>
      <c r="Q38" s="227"/>
      <c r="R38" s="227"/>
      <c r="S38" s="227"/>
      <c r="T38" s="227"/>
      <c r="U38" s="227"/>
      <c r="V38" s="227"/>
    </row>
    <row r="39" spans="1:25" s="211" customFormat="1" ht="16.5">
      <c r="A39" s="227"/>
      <c r="B39" s="227"/>
      <c r="C39" s="227"/>
      <c r="D39" s="227"/>
      <c r="E39" s="210"/>
      <c r="F39" s="1646"/>
      <c r="G39" s="1641"/>
      <c r="H39" s="1642"/>
      <c r="I39" s="431" t="s">
        <v>3899</v>
      </c>
      <c r="J39" s="430" t="s">
        <v>4307</v>
      </c>
      <c r="K39" s="1645"/>
      <c r="L39" s="210"/>
      <c r="M39" s="227"/>
      <c r="N39" s="227"/>
      <c r="O39" s="227"/>
      <c r="P39" s="227"/>
      <c r="Q39" s="227"/>
      <c r="R39" s="227"/>
      <c r="S39" s="227"/>
      <c r="T39" s="227"/>
      <c r="U39" s="227"/>
      <c r="V39" s="227"/>
    </row>
    <row r="40" spans="1:25" s="211" customFormat="1" ht="43.5" customHeight="1">
      <c r="A40" s="227"/>
      <c r="B40" s="227"/>
      <c r="C40" s="227"/>
      <c r="D40" s="227"/>
      <c r="E40" s="210"/>
      <c r="F40" s="624">
        <v>1</v>
      </c>
      <c r="G40" s="1643" t="s">
        <v>4322</v>
      </c>
      <c r="H40" s="1643"/>
      <c r="I40" s="630" t="s">
        <v>3900</v>
      </c>
      <c r="J40" s="628" t="s">
        <v>3901</v>
      </c>
      <c r="K40" s="628"/>
      <c r="L40" s="210"/>
      <c r="M40" s="227"/>
      <c r="N40" s="227"/>
      <c r="O40" s="227"/>
      <c r="P40" s="227"/>
      <c r="Q40" s="227"/>
      <c r="R40" s="227"/>
      <c r="S40" s="227"/>
      <c r="T40" s="227"/>
      <c r="U40" s="227"/>
      <c r="V40" s="227"/>
    </row>
    <row r="41" spans="1:25" s="211" customFormat="1" ht="41.25" customHeight="1">
      <c r="A41" s="227"/>
      <c r="B41" s="227"/>
      <c r="C41" s="227"/>
      <c r="D41" s="227"/>
      <c r="E41" s="210"/>
      <c r="F41" s="624">
        <v>2</v>
      </c>
      <c r="G41" s="1643" t="s">
        <v>4323</v>
      </c>
      <c r="H41" s="1643"/>
      <c r="I41" s="630" t="s">
        <v>3900</v>
      </c>
      <c r="J41" s="628" t="s">
        <v>3901</v>
      </c>
      <c r="K41" s="628"/>
      <c r="L41" s="201"/>
      <c r="M41" s="227"/>
      <c r="N41" s="227"/>
      <c r="O41" s="227"/>
      <c r="P41" s="227"/>
      <c r="Q41" s="227"/>
      <c r="R41" s="227"/>
      <c r="S41" s="227"/>
      <c r="T41" s="227"/>
      <c r="U41" s="227"/>
      <c r="V41" s="227"/>
    </row>
    <row r="42" spans="1:25" s="211" customFormat="1" ht="30" customHeight="1">
      <c r="A42" s="227"/>
      <c r="B42" s="227"/>
      <c r="C42" s="227"/>
      <c r="D42" s="227"/>
      <c r="E42" s="210"/>
      <c r="F42" s="624">
        <v>3</v>
      </c>
      <c r="G42" s="1643" t="s">
        <v>4324</v>
      </c>
      <c r="H42" s="1643"/>
      <c r="I42" s="630" t="s">
        <v>3900</v>
      </c>
      <c r="J42" s="628" t="s">
        <v>3901</v>
      </c>
      <c r="K42" s="628"/>
      <c r="L42" s="201"/>
      <c r="M42" s="227"/>
      <c r="N42" s="227"/>
      <c r="O42" s="227"/>
      <c r="P42" s="227"/>
      <c r="Q42" s="227"/>
      <c r="R42" s="227"/>
      <c r="S42" s="227"/>
      <c r="T42" s="227"/>
      <c r="U42" s="227"/>
      <c r="V42" s="227"/>
    </row>
    <row r="43" spans="1:25" s="211" customFormat="1" ht="16.5">
      <c r="A43" s="227"/>
      <c r="B43" s="227"/>
      <c r="C43" s="227"/>
      <c r="D43" s="227"/>
      <c r="E43" s="204" t="str">
        <f>IF(A2&lt;&gt;"","6/","")</f>
        <v>6/</v>
      </c>
      <c r="F43" s="629" t="str">
        <f>IF(A2&lt;&gt;"","Kết quả kiểm tra","")</f>
        <v>Kết quả kiểm tra</v>
      </c>
      <c r="G43" s="310"/>
      <c r="H43" s="313"/>
      <c r="I43" s="311"/>
      <c r="J43" s="312"/>
      <c r="K43" s="312"/>
      <c r="L43" s="201"/>
      <c r="M43" s="227"/>
      <c r="N43" s="227"/>
      <c r="O43" s="227"/>
      <c r="P43" s="227"/>
      <c r="Q43" s="227"/>
      <c r="R43" s="227"/>
      <c r="S43" s="227"/>
      <c r="T43" s="227"/>
      <c r="U43" s="227"/>
      <c r="V43" s="227"/>
    </row>
    <row r="44" spans="1:25" s="211" customFormat="1" ht="16.5">
      <c r="A44" s="227"/>
      <c r="B44" s="227"/>
      <c r="C44" s="227"/>
      <c r="D44" s="227"/>
      <c r="E44" s="204"/>
      <c r="F44" s="1730" t="s">
        <v>4297</v>
      </c>
      <c r="G44" s="1730"/>
      <c r="H44" s="1730"/>
      <c r="I44" s="1730"/>
      <c r="J44" s="1730"/>
      <c r="K44" s="1730"/>
      <c r="L44" s="201"/>
      <c r="M44" s="227"/>
      <c r="N44" s="227"/>
      <c r="O44" s="227"/>
      <c r="P44" s="227"/>
      <c r="Q44" s="227"/>
      <c r="R44" s="227"/>
      <c r="S44" s="227"/>
      <c r="T44" s="227"/>
      <c r="U44" s="227"/>
      <c r="V44" s="227"/>
    </row>
    <row r="45" spans="1:25" s="211" customFormat="1" ht="16.5">
      <c r="A45" s="227"/>
      <c r="B45" s="227"/>
      <c r="C45" s="227"/>
      <c r="D45" s="227"/>
      <c r="E45" s="204"/>
      <c r="F45" s="1730"/>
      <c r="G45" s="1730"/>
      <c r="H45" s="1730"/>
      <c r="I45" s="1730"/>
      <c r="J45" s="1730"/>
      <c r="K45" s="1730"/>
      <c r="L45" s="201"/>
      <c r="M45" s="227"/>
      <c r="N45" s="227"/>
      <c r="O45" s="227"/>
      <c r="P45" s="227"/>
      <c r="Q45" s="227"/>
      <c r="R45" s="227"/>
      <c r="S45" s="227"/>
      <c r="T45" s="227"/>
      <c r="U45" s="227"/>
      <c r="V45" s="227"/>
    </row>
    <row r="46" spans="1:25" s="211" customFormat="1" ht="16.5">
      <c r="A46" s="227"/>
      <c r="B46" s="227"/>
      <c r="C46" s="227"/>
      <c r="D46" s="227"/>
      <c r="E46" s="204"/>
      <c r="F46" s="1730"/>
      <c r="G46" s="1730"/>
      <c r="H46" s="1730"/>
      <c r="I46" s="1730"/>
      <c r="J46" s="1730"/>
      <c r="K46" s="1730"/>
      <c r="L46" s="201"/>
      <c r="M46" s="227"/>
      <c r="N46" s="227"/>
      <c r="O46" s="227"/>
      <c r="P46" s="227"/>
      <c r="Q46" s="227"/>
      <c r="R46" s="227"/>
      <c r="S46" s="227"/>
      <c r="T46" s="227"/>
      <c r="U46" s="227"/>
      <c r="V46" s="227"/>
    </row>
    <row r="47" spans="1:25" s="211" customFormat="1" ht="16.5">
      <c r="A47" s="227"/>
      <c r="B47" s="227"/>
      <c r="C47" s="227"/>
      <c r="D47" s="227"/>
      <c r="E47" s="204"/>
      <c r="F47" s="1730"/>
      <c r="G47" s="1730"/>
      <c r="H47" s="1730"/>
      <c r="I47" s="1730"/>
      <c r="J47" s="1730"/>
      <c r="K47" s="1730"/>
      <c r="L47" s="201"/>
      <c r="M47" s="227"/>
      <c r="N47" s="227"/>
      <c r="O47" s="227"/>
      <c r="P47" s="227"/>
      <c r="Q47" s="227"/>
      <c r="R47" s="227"/>
      <c r="S47" s="227"/>
      <c r="T47" s="227"/>
      <c r="U47" s="227"/>
      <c r="V47" s="227"/>
    </row>
    <row r="48" spans="1:25" s="211" customFormat="1" ht="16.5">
      <c r="A48" s="227"/>
      <c r="B48" s="227"/>
      <c r="C48" s="227"/>
      <c r="D48" s="227"/>
      <c r="E48" s="204"/>
      <c r="F48" s="1730"/>
      <c r="G48" s="1730"/>
      <c r="H48" s="1730"/>
      <c r="I48" s="1730"/>
      <c r="J48" s="1730"/>
      <c r="K48" s="1730"/>
      <c r="L48" s="201"/>
      <c r="M48" s="227"/>
      <c r="N48" s="227"/>
      <c r="O48" s="227"/>
      <c r="P48" s="227"/>
      <c r="Q48" s="227"/>
      <c r="R48" s="227"/>
      <c r="S48" s="227"/>
      <c r="T48" s="227"/>
      <c r="U48" s="227"/>
      <c r="V48" s="227"/>
    </row>
    <row r="49" spans="1:22" s="211" customFormat="1" ht="16.5">
      <c r="A49" s="227"/>
      <c r="B49" s="227"/>
      <c r="C49" s="227"/>
      <c r="D49" s="227"/>
      <c r="E49" s="204"/>
      <c r="F49" s="1730"/>
      <c r="G49" s="1730"/>
      <c r="H49" s="1730"/>
      <c r="I49" s="1730"/>
      <c r="J49" s="1730"/>
      <c r="K49" s="1730"/>
      <c r="L49" s="201"/>
      <c r="M49" s="227"/>
      <c r="N49" s="227"/>
      <c r="O49" s="227"/>
      <c r="P49" s="227"/>
      <c r="Q49" s="227"/>
      <c r="R49" s="227"/>
      <c r="S49" s="227"/>
      <c r="T49" s="227"/>
      <c r="U49" s="227"/>
      <c r="V49" s="227"/>
    </row>
    <row r="50" spans="1:22" s="211" customFormat="1" ht="16.5">
      <c r="A50" s="227"/>
      <c r="B50" s="227"/>
      <c r="C50" s="227"/>
      <c r="D50" s="227"/>
      <c r="E50" s="204"/>
      <c r="F50" s="1730"/>
      <c r="G50" s="1730"/>
      <c r="H50" s="1730"/>
      <c r="I50" s="1730"/>
      <c r="J50" s="1730"/>
      <c r="K50" s="1730"/>
      <c r="L50" s="201"/>
      <c r="M50" s="227"/>
      <c r="N50" s="227"/>
      <c r="O50" s="227"/>
      <c r="P50" s="227"/>
      <c r="Q50" s="227"/>
      <c r="R50" s="227"/>
      <c r="S50" s="227"/>
      <c r="T50" s="227"/>
      <c r="U50" s="227"/>
      <c r="V50" s="227"/>
    </row>
    <row r="51" spans="1:22" s="211" customFormat="1" ht="16.5">
      <c r="A51" s="227"/>
      <c r="B51" s="227"/>
      <c r="C51" s="227"/>
      <c r="D51" s="227"/>
      <c r="E51" s="204"/>
      <c r="F51" s="1730"/>
      <c r="G51" s="1730"/>
      <c r="H51" s="1730"/>
      <c r="I51" s="1730"/>
      <c r="J51" s="1730"/>
      <c r="K51" s="1730"/>
      <c r="L51" s="201"/>
      <c r="M51" s="227"/>
      <c r="N51" s="227"/>
      <c r="O51" s="227"/>
      <c r="P51" s="227"/>
      <c r="Q51" s="227"/>
      <c r="R51" s="227"/>
      <c r="S51" s="227"/>
      <c r="T51" s="227"/>
      <c r="U51" s="227"/>
      <c r="V51" s="227"/>
    </row>
    <row r="52" spans="1:22" s="211" customFormat="1" ht="16.5">
      <c r="A52" s="227"/>
      <c r="B52" s="227"/>
      <c r="C52" s="227"/>
      <c r="D52" s="227"/>
      <c r="E52" s="204"/>
      <c r="F52" s="1730"/>
      <c r="G52" s="1730"/>
      <c r="H52" s="1730"/>
      <c r="I52" s="1730"/>
      <c r="J52" s="1730"/>
      <c r="K52" s="1730"/>
      <c r="L52" s="201"/>
      <c r="M52" s="227"/>
      <c r="N52" s="227"/>
      <c r="O52" s="227"/>
      <c r="P52" s="227"/>
      <c r="Q52" s="227"/>
      <c r="R52" s="227"/>
      <c r="S52" s="227"/>
      <c r="T52" s="227"/>
      <c r="U52" s="227"/>
      <c r="V52" s="227"/>
    </row>
    <row r="53" spans="1:22" s="211" customFormat="1" ht="16.5">
      <c r="A53" s="227"/>
      <c r="B53" s="227"/>
      <c r="C53" s="227"/>
      <c r="D53" s="227"/>
      <c r="E53" s="204"/>
      <c r="F53" s="629"/>
      <c r="G53" s="310"/>
      <c r="H53" s="313"/>
      <c r="I53" s="311"/>
      <c r="J53" s="312"/>
      <c r="K53" s="312"/>
      <c r="L53" s="201"/>
      <c r="M53" s="227"/>
      <c r="N53" s="227"/>
      <c r="O53" s="227"/>
      <c r="P53" s="227"/>
      <c r="Q53" s="227"/>
      <c r="R53" s="227"/>
      <c r="S53" s="227"/>
      <c r="T53" s="227"/>
      <c r="U53" s="227"/>
      <c r="V53" s="227"/>
    </row>
    <row r="54" spans="1:22" s="211" customFormat="1" ht="33" customHeight="1">
      <c r="A54" s="227"/>
      <c r="B54" s="227"/>
      <c r="C54" s="227"/>
      <c r="D54" s="227"/>
      <c r="E54" s="210"/>
      <c r="F54" s="623" t="s">
        <v>21</v>
      </c>
      <c r="G54" s="623" t="s">
        <v>23</v>
      </c>
      <c r="H54" s="623" t="s">
        <v>3932</v>
      </c>
      <c r="I54" s="623" t="s">
        <v>159</v>
      </c>
      <c r="J54" s="623" t="s">
        <v>3906</v>
      </c>
      <c r="K54" s="623" t="s">
        <v>4256</v>
      </c>
      <c r="L54" s="201"/>
      <c r="M54" s="227"/>
      <c r="N54" s="227"/>
      <c r="O54" s="227"/>
      <c r="P54" s="227"/>
      <c r="Q54" s="227"/>
      <c r="R54" s="227"/>
      <c r="S54" s="227"/>
      <c r="T54" s="227"/>
      <c r="U54" s="227"/>
      <c r="V54" s="227"/>
    </row>
    <row r="55" spans="1:22" s="211" customFormat="1" ht="16.5">
      <c r="A55" s="227"/>
      <c r="B55" s="227"/>
      <c r="C55" s="227"/>
      <c r="D55" s="227"/>
      <c r="E55" s="210"/>
      <c r="F55" s="646">
        <v>1</v>
      </c>
      <c r="G55" s="652" t="s">
        <v>5752</v>
      </c>
      <c r="H55" s="646"/>
      <c r="I55" s="653"/>
      <c r="J55" s="653"/>
      <c r="K55" s="653"/>
      <c r="L55" s="201"/>
      <c r="M55" s="227"/>
      <c r="N55" s="227"/>
      <c r="O55" s="227"/>
      <c r="P55" s="227"/>
      <c r="Q55" s="227"/>
      <c r="R55" s="227"/>
      <c r="S55" s="227"/>
      <c r="T55" s="227"/>
      <c r="U55" s="227"/>
      <c r="V55" s="227"/>
    </row>
    <row r="56" spans="1:22" s="211" customFormat="1" ht="16.5">
      <c r="A56" s="227"/>
      <c r="B56" s="227"/>
      <c r="C56" s="227"/>
      <c r="D56" s="227"/>
      <c r="E56" s="210"/>
      <c r="F56" s="646"/>
      <c r="G56" s="652" t="s">
        <v>5734</v>
      </c>
      <c r="H56" s="646" t="s">
        <v>3514</v>
      </c>
      <c r="I56" s="653"/>
      <c r="J56" s="653"/>
      <c r="K56" s="653"/>
      <c r="L56" s="201"/>
      <c r="M56" s="227"/>
      <c r="N56" s="227"/>
      <c r="O56" s="227"/>
      <c r="P56" s="227"/>
      <c r="Q56" s="227"/>
      <c r="R56" s="227"/>
      <c r="S56" s="227"/>
      <c r="T56" s="227"/>
      <c r="U56" s="227"/>
      <c r="V56" s="227"/>
    </row>
    <row r="57" spans="1:22" s="211" customFormat="1" ht="16.5">
      <c r="A57" s="227"/>
      <c r="B57" s="227"/>
      <c r="C57" s="227"/>
      <c r="D57" s="227"/>
      <c r="E57" s="210"/>
      <c r="F57" s="646"/>
      <c r="G57" s="652" t="s">
        <v>5735</v>
      </c>
      <c r="H57" s="646"/>
      <c r="I57" s="653">
        <v>8.0299999999999994</v>
      </c>
      <c r="J57" s="653">
        <v>8.0350000000000001</v>
      </c>
      <c r="K57" s="653">
        <v>5.0000000000007816E-3</v>
      </c>
      <c r="L57" s="201"/>
      <c r="M57" s="227"/>
      <c r="N57" s="227"/>
      <c r="O57" s="227"/>
      <c r="P57" s="227"/>
      <c r="Q57" s="227"/>
      <c r="R57" s="227"/>
      <c r="S57" s="227"/>
      <c r="T57" s="227"/>
      <c r="U57" s="227"/>
      <c r="V57" s="227"/>
    </row>
    <row r="58" spans="1:22" s="211" customFormat="1" ht="16.5">
      <c r="A58" s="227"/>
      <c r="B58" s="227"/>
      <c r="C58" s="227"/>
      <c r="D58" s="227"/>
      <c r="E58" s="210"/>
      <c r="F58" s="646"/>
      <c r="G58" s="652" t="s">
        <v>5736</v>
      </c>
      <c r="H58" s="646"/>
      <c r="I58" s="653">
        <v>8.83</v>
      </c>
      <c r="J58" s="653">
        <v>8.8330000000000002</v>
      </c>
      <c r="K58" s="653">
        <v>3.0000000000001137E-3</v>
      </c>
      <c r="L58" s="201"/>
      <c r="M58" s="227"/>
      <c r="N58" s="227"/>
      <c r="O58" s="227"/>
      <c r="P58" s="227"/>
      <c r="Q58" s="227"/>
      <c r="R58" s="227"/>
      <c r="S58" s="227"/>
      <c r="T58" s="227"/>
      <c r="U58" s="227"/>
      <c r="V58" s="227"/>
    </row>
    <row r="59" spans="1:22" s="211" customFormat="1" ht="16.5">
      <c r="A59" s="227"/>
      <c r="B59" s="227"/>
      <c r="C59" s="227"/>
      <c r="D59" s="227"/>
      <c r="E59" s="210"/>
      <c r="F59" s="646"/>
      <c r="G59" s="652" t="s">
        <v>5737</v>
      </c>
      <c r="H59" s="646"/>
      <c r="I59" s="653">
        <v>8.83</v>
      </c>
      <c r="J59" s="653">
        <v>8.8330000000000002</v>
      </c>
      <c r="K59" s="653">
        <v>3.0000000000001137E-3</v>
      </c>
      <c r="L59" s="201"/>
      <c r="M59" s="227"/>
      <c r="N59" s="227"/>
      <c r="O59" s="227"/>
      <c r="P59" s="227"/>
      <c r="Q59" s="227"/>
      <c r="R59" s="227"/>
      <c r="S59" s="227"/>
      <c r="T59" s="227"/>
      <c r="U59" s="227"/>
      <c r="V59" s="227"/>
    </row>
    <row r="60" spans="1:22" s="211" customFormat="1" ht="16.5">
      <c r="A60" s="227"/>
      <c r="B60" s="227"/>
      <c r="C60" s="227"/>
      <c r="D60" s="227"/>
      <c r="E60" s="210"/>
      <c r="F60" s="646"/>
      <c r="G60" s="652" t="s">
        <v>5738</v>
      </c>
      <c r="H60" s="646" t="s">
        <v>3514</v>
      </c>
      <c r="I60" s="653"/>
      <c r="J60" s="653"/>
      <c r="K60" s="653"/>
      <c r="L60" s="201"/>
      <c r="M60" s="227"/>
      <c r="N60" s="227"/>
      <c r="O60" s="227"/>
      <c r="P60" s="227"/>
      <c r="Q60" s="227"/>
      <c r="R60" s="227"/>
      <c r="S60" s="227"/>
      <c r="T60" s="227"/>
      <c r="U60" s="227"/>
      <c r="V60" s="227"/>
    </row>
    <row r="61" spans="1:22" s="211" customFormat="1" ht="16.5">
      <c r="A61" s="227"/>
      <c r="B61" s="227"/>
      <c r="C61" s="227"/>
      <c r="D61" s="227"/>
      <c r="E61" s="210"/>
      <c r="F61" s="646"/>
      <c r="G61" s="652" t="s">
        <v>5739</v>
      </c>
      <c r="H61" s="646"/>
      <c r="I61" s="653">
        <v>0.7</v>
      </c>
      <c r="J61" s="653">
        <v>0.7</v>
      </c>
      <c r="K61" s="653">
        <v>0</v>
      </c>
      <c r="L61" s="201"/>
      <c r="M61" s="227"/>
      <c r="N61" s="227"/>
      <c r="O61" s="227"/>
      <c r="P61" s="227"/>
      <c r="Q61" s="227"/>
      <c r="R61" s="227"/>
      <c r="S61" s="227"/>
      <c r="T61" s="227"/>
      <c r="U61" s="227"/>
      <c r="V61" s="227"/>
    </row>
    <row r="62" spans="1:22" s="211" customFormat="1" ht="16.5">
      <c r="A62" s="227"/>
      <c r="B62" s="227"/>
      <c r="C62" s="227"/>
      <c r="D62" s="227"/>
      <c r="E62" s="210"/>
      <c r="F62" s="646"/>
      <c r="G62" s="652" t="s">
        <v>5740</v>
      </c>
      <c r="H62" s="646"/>
      <c r="I62" s="653">
        <v>0.12</v>
      </c>
      <c r="J62" s="653">
        <v>0.13</v>
      </c>
      <c r="K62" s="653">
        <v>1.0000000000000009E-2</v>
      </c>
      <c r="L62" s="201"/>
      <c r="M62" s="227"/>
      <c r="N62" s="227"/>
      <c r="O62" s="227"/>
      <c r="P62" s="227"/>
      <c r="Q62" s="227"/>
      <c r="R62" s="227"/>
      <c r="S62" s="227"/>
      <c r="T62" s="227"/>
      <c r="U62" s="227"/>
      <c r="V62" s="227"/>
    </row>
    <row r="63" spans="1:22" s="211" customFormat="1" ht="16.5">
      <c r="A63" s="227"/>
      <c r="B63" s="227"/>
      <c r="C63" s="227"/>
      <c r="D63" s="227"/>
      <c r="E63" s="210"/>
      <c r="F63" s="646"/>
      <c r="G63" s="652" t="s">
        <v>5741</v>
      </c>
      <c r="H63" s="646"/>
      <c r="I63" s="653">
        <v>0.12</v>
      </c>
      <c r="J63" s="653">
        <v>0.12</v>
      </c>
      <c r="K63" s="653">
        <v>0</v>
      </c>
      <c r="L63" s="201"/>
      <c r="M63" s="227"/>
      <c r="N63" s="227"/>
      <c r="O63" s="227"/>
      <c r="P63" s="227"/>
      <c r="Q63" s="227"/>
      <c r="R63" s="227"/>
      <c r="S63" s="227"/>
      <c r="T63" s="227"/>
      <c r="U63" s="227"/>
      <c r="V63" s="227"/>
    </row>
    <row r="64" spans="1:22" s="211" customFormat="1" ht="16.5">
      <c r="A64" s="227"/>
      <c r="B64" s="227"/>
      <c r="C64" s="227"/>
      <c r="D64" s="227"/>
      <c r="E64" s="210"/>
      <c r="F64" s="646">
        <v>2</v>
      </c>
      <c r="G64" s="652" t="s">
        <v>5753</v>
      </c>
      <c r="H64" s="646"/>
      <c r="I64" s="653"/>
      <c r="J64" s="653"/>
      <c r="K64" s="653"/>
      <c r="L64" s="201"/>
      <c r="M64" s="227"/>
      <c r="N64" s="227"/>
      <c r="O64" s="227"/>
      <c r="P64" s="227"/>
      <c r="Q64" s="227"/>
      <c r="R64" s="227"/>
      <c r="S64" s="227"/>
      <c r="T64" s="227"/>
      <c r="U64" s="227"/>
      <c r="V64" s="227"/>
    </row>
    <row r="65" spans="1:22" s="211" customFormat="1" ht="16.5">
      <c r="A65" s="227"/>
      <c r="B65" s="227"/>
      <c r="C65" s="227"/>
      <c r="D65" s="227"/>
      <c r="E65" s="210"/>
      <c r="F65" s="646"/>
      <c r="G65" s="652" t="s">
        <v>5734</v>
      </c>
      <c r="H65" s="646" t="s">
        <v>3514</v>
      </c>
      <c r="I65" s="653"/>
      <c r="J65" s="653"/>
      <c r="K65" s="653"/>
      <c r="L65" s="201"/>
      <c r="M65" s="227"/>
      <c r="N65" s="227"/>
      <c r="O65" s="227"/>
      <c r="P65" s="227"/>
      <c r="Q65" s="227"/>
      <c r="R65" s="227"/>
      <c r="S65" s="227"/>
      <c r="T65" s="227"/>
      <c r="U65" s="227"/>
      <c r="V65" s="227"/>
    </row>
    <row r="66" spans="1:22" s="211" customFormat="1" ht="16.5">
      <c r="A66" s="227"/>
      <c r="B66" s="227"/>
      <c r="C66" s="227"/>
      <c r="D66" s="227"/>
      <c r="E66" s="210"/>
      <c r="F66" s="646"/>
      <c r="G66" s="652" t="s">
        <v>5735</v>
      </c>
      <c r="H66" s="646"/>
      <c r="I66" s="653">
        <v>8.02</v>
      </c>
      <c r="J66" s="653">
        <v>8.0220000000000002</v>
      </c>
      <c r="K66" s="653">
        <v>2.0000000000006679E-3</v>
      </c>
      <c r="L66" s="201"/>
      <c r="M66" s="227"/>
      <c r="N66" s="227"/>
      <c r="O66" s="227"/>
      <c r="P66" s="227"/>
      <c r="Q66" s="227"/>
      <c r="R66" s="227"/>
      <c r="S66" s="227"/>
      <c r="T66" s="227"/>
      <c r="U66" s="227"/>
      <c r="V66" s="227"/>
    </row>
    <row r="67" spans="1:22" s="211" customFormat="1" ht="16.5">
      <c r="A67" s="227"/>
      <c r="B67" s="227"/>
      <c r="C67" s="227"/>
      <c r="D67" s="227"/>
      <c r="E67" s="210"/>
      <c r="F67" s="646"/>
      <c r="G67" s="652" t="s">
        <v>5736</v>
      </c>
      <c r="H67" s="646"/>
      <c r="I67" s="653">
        <v>8.82</v>
      </c>
      <c r="J67" s="653">
        <v>8.8239999999999998</v>
      </c>
      <c r="K67" s="653">
        <v>3.9999999999995595E-3</v>
      </c>
      <c r="L67" s="201"/>
      <c r="M67" s="227"/>
      <c r="N67" s="227"/>
      <c r="O67" s="227"/>
      <c r="P67" s="227"/>
      <c r="Q67" s="227"/>
      <c r="R67" s="227"/>
      <c r="S67" s="227"/>
      <c r="T67" s="227"/>
      <c r="U67" s="227"/>
      <c r="V67" s="227"/>
    </row>
    <row r="68" spans="1:22" s="211" customFormat="1" ht="16.5">
      <c r="A68" s="227"/>
      <c r="B68" s="227"/>
      <c r="C68" s="227"/>
      <c r="D68" s="227"/>
      <c r="E68" s="210"/>
      <c r="F68" s="646"/>
      <c r="G68" s="652" t="s">
        <v>5737</v>
      </c>
      <c r="H68" s="646"/>
      <c r="I68" s="653">
        <v>8.82</v>
      </c>
      <c r="J68" s="653">
        <v>8.8249999999999993</v>
      </c>
      <c r="K68" s="653">
        <v>4.9999999999990052E-3</v>
      </c>
      <c r="L68" s="201"/>
      <c r="M68" s="227"/>
      <c r="N68" s="227"/>
      <c r="O68" s="227"/>
      <c r="P68" s="227"/>
      <c r="Q68" s="227"/>
      <c r="R68" s="227"/>
      <c r="S68" s="227"/>
      <c r="T68" s="227"/>
      <c r="U68" s="227"/>
      <c r="V68" s="227"/>
    </row>
    <row r="69" spans="1:22" s="211" customFormat="1" ht="16.5">
      <c r="A69" s="227"/>
      <c r="B69" s="227"/>
      <c r="C69" s="227"/>
      <c r="D69" s="227"/>
      <c r="E69" s="210"/>
      <c r="F69" s="748"/>
      <c r="G69" s="752" t="s">
        <v>5738</v>
      </c>
      <c r="H69" s="748" t="s">
        <v>3514</v>
      </c>
      <c r="I69" s="753"/>
      <c r="J69" s="753"/>
      <c r="K69" s="753"/>
      <c r="L69" s="201"/>
      <c r="M69" s="227"/>
      <c r="N69" s="227"/>
      <c r="O69" s="227"/>
      <c r="P69" s="227"/>
      <c r="Q69" s="227"/>
      <c r="R69" s="227"/>
      <c r="S69" s="227"/>
      <c r="T69" s="227"/>
      <c r="U69" s="227"/>
      <c r="V69" s="227"/>
    </row>
    <row r="70" spans="1:22" s="211" customFormat="1" ht="16.5">
      <c r="A70" s="227"/>
      <c r="B70" s="227"/>
      <c r="C70" s="227"/>
      <c r="D70" s="227"/>
      <c r="E70" s="210"/>
      <c r="F70" s="748"/>
      <c r="G70" s="752" t="s">
        <v>5739</v>
      </c>
      <c r="H70" s="748"/>
      <c r="I70" s="753">
        <v>0.7</v>
      </c>
      <c r="J70" s="753">
        <v>0.71</v>
      </c>
      <c r="K70" s="753">
        <v>1.0000000000000009E-2</v>
      </c>
      <c r="L70" s="201"/>
      <c r="M70" s="227"/>
      <c r="N70" s="227"/>
      <c r="O70" s="227"/>
      <c r="P70" s="227"/>
      <c r="Q70" s="227"/>
      <c r="R70" s="227"/>
      <c r="S70" s="227"/>
      <c r="T70" s="227"/>
      <c r="U70" s="227"/>
      <c r="V70" s="227"/>
    </row>
    <row r="71" spans="1:22" s="211" customFormat="1" ht="16.5">
      <c r="A71" s="227"/>
      <c r="B71" s="227"/>
      <c r="C71" s="227"/>
      <c r="D71" s="227"/>
      <c r="E71" s="210"/>
      <c r="F71" s="748"/>
      <c r="G71" s="752" t="s">
        <v>5740</v>
      </c>
      <c r="H71" s="748"/>
      <c r="I71" s="753">
        <v>0.12</v>
      </c>
      <c r="J71" s="753">
        <v>0.13</v>
      </c>
      <c r="K71" s="753">
        <v>1.0000000000000009E-2</v>
      </c>
      <c r="L71" s="201"/>
      <c r="M71" s="227"/>
      <c r="N71" s="227"/>
      <c r="O71" s="227"/>
      <c r="P71" s="227"/>
      <c r="Q71" s="227"/>
      <c r="R71" s="227"/>
      <c r="S71" s="227"/>
      <c r="T71" s="227"/>
      <c r="U71" s="227"/>
      <c r="V71" s="227"/>
    </row>
    <row r="72" spans="1:22" s="211" customFormat="1" ht="16.5">
      <c r="A72" s="227"/>
      <c r="B72" s="227"/>
      <c r="C72" s="227"/>
      <c r="D72" s="227"/>
      <c r="E72" s="210"/>
      <c r="F72" s="748"/>
      <c r="G72" s="752" t="s">
        <v>5741</v>
      </c>
      <c r="H72" s="748"/>
      <c r="I72" s="753">
        <v>0.12</v>
      </c>
      <c r="J72" s="753">
        <v>0.13</v>
      </c>
      <c r="K72" s="753">
        <v>1.0000000000000009E-2</v>
      </c>
      <c r="L72" s="201"/>
      <c r="M72" s="227"/>
      <c r="N72" s="227"/>
      <c r="O72" s="227"/>
      <c r="P72" s="227"/>
      <c r="Q72" s="227"/>
      <c r="R72" s="227"/>
      <c r="S72" s="227"/>
      <c r="T72" s="227"/>
      <c r="U72" s="227"/>
      <c r="V72" s="227"/>
    </row>
    <row r="73" spans="1:22" s="211" customFormat="1" ht="16.5">
      <c r="A73" s="227"/>
      <c r="B73" s="227"/>
      <c r="C73" s="227"/>
      <c r="D73" s="227"/>
      <c r="E73" s="210"/>
      <c r="F73" s="748">
        <v>3</v>
      </c>
      <c r="G73" s="752" t="s">
        <v>5754</v>
      </c>
      <c r="H73" s="748"/>
      <c r="I73" s="753"/>
      <c r="J73" s="753"/>
      <c r="K73" s="753"/>
      <c r="L73" s="201"/>
      <c r="M73" s="227"/>
      <c r="N73" s="227"/>
      <c r="O73" s="227"/>
      <c r="P73" s="227"/>
      <c r="Q73" s="227"/>
      <c r="R73" s="227"/>
      <c r="S73" s="227"/>
      <c r="T73" s="227"/>
      <c r="U73" s="227"/>
      <c r="V73" s="227"/>
    </row>
    <row r="74" spans="1:22" s="211" customFormat="1" ht="16.5">
      <c r="A74" s="227"/>
      <c r="B74" s="227"/>
      <c r="C74" s="227"/>
      <c r="D74" s="227"/>
      <c r="E74" s="210"/>
      <c r="F74" s="748"/>
      <c r="G74" s="752" t="s">
        <v>5734</v>
      </c>
      <c r="H74" s="748" t="s">
        <v>3514</v>
      </c>
      <c r="I74" s="753"/>
      <c r="J74" s="753"/>
      <c r="K74" s="753"/>
      <c r="L74" s="201"/>
      <c r="M74" s="227"/>
      <c r="N74" s="227"/>
      <c r="O74" s="227"/>
      <c r="P74" s="227"/>
      <c r="Q74" s="227"/>
      <c r="R74" s="227"/>
      <c r="S74" s="227"/>
      <c r="T74" s="227"/>
      <c r="U74" s="227"/>
      <c r="V74" s="227"/>
    </row>
    <row r="75" spans="1:22" s="211" customFormat="1" ht="16.5">
      <c r="A75" s="227"/>
      <c r="B75" s="227"/>
      <c r="C75" s="227"/>
      <c r="D75" s="227"/>
      <c r="E75" s="210"/>
      <c r="F75" s="748"/>
      <c r="G75" s="752" t="s">
        <v>5735</v>
      </c>
      <c r="H75" s="748"/>
      <c r="I75" s="753">
        <v>8</v>
      </c>
      <c r="J75" s="753">
        <v>8.0039999999999996</v>
      </c>
      <c r="K75" s="753">
        <v>3.9999999999995595E-3</v>
      </c>
      <c r="L75" s="201"/>
      <c r="M75" s="227"/>
      <c r="N75" s="227"/>
      <c r="O75" s="227"/>
      <c r="P75" s="227"/>
      <c r="Q75" s="227"/>
      <c r="R75" s="227"/>
      <c r="S75" s="227"/>
      <c r="T75" s="227"/>
      <c r="U75" s="227"/>
      <c r="V75" s="227"/>
    </row>
    <row r="76" spans="1:22" s="211" customFormat="1" ht="16.5">
      <c r="A76" s="227"/>
      <c r="B76" s="227"/>
      <c r="C76" s="227"/>
      <c r="D76" s="227"/>
      <c r="E76" s="210"/>
      <c r="F76" s="748"/>
      <c r="G76" s="752" t="s">
        <v>5736</v>
      </c>
      <c r="H76" s="748"/>
      <c r="I76" s="753">
        <v>8.8000000000000007</v>
      </c>
      <c r="J76" s="753">
        <v>8.8000000000000007</v>
      </c>
      <c r="K76" s="753">
        <v>0</v>
      </c>
      <c r="L76" s="201"/>
      <c r="M76" s="227"/>
      <c r="N76" s="227"/>
      <c r="O76" s="227"/>
      <c r="P76" s="227"/>
      <c r="Q76" s="227"/>
      <c r="R76" s="227"/>
      <c r="S76" s="227"/>
      <c r="T76" s="227"/>
      <c r="U76" s="227"/>
      <c r="V76" s="227"/>
    </row>
    <row r="77" spans="1:22" s="211" customFormat="1" ht="16.5">
      <c r="A77" s="227"/>
      <c r="B77" s="227"/>
      <c r="C77" s="227"/>
      <c r="D77" s="227"/>
      <c r="E77" s="210"/>
      <c r="F77" s="748"/>
      <c r="G77" s="752" t="s">
        <v>5737</v>
      </c>
      <c r="H77" s="748"/>
      <c r="I77" s="753">
        <v>8.8000000000000007</v>
      </c>
      <c r="J77" s="753">
        <v>8.8040000000000003</v>
      </c>
      <c r="K77" s="753">
        <v>3.9999999999995595E-3</v>
      </c>
      <c r="L77" s="201"/>
      <c r="M77" s="227"/>
      <c r="N77" s="227"/>
      <c r="O77" s="227"/>
      <c r="P77" s="227"/>
      <c r="Q77" s="227"/>
      <c r="R77" s="227"/>
      <c r="S77" s="227"/>
      <c r="T77" s="227"/>
      <c r="U77" s="227"/>
      <c r="V77" s="227"/>
    </row>
    <row r="78" spans="1:22" s="211" customFormat="1" ht="16.5">
      <c r="A78" s="227"/>
      <c r="B78" s="227"/>
      <c r="C78" s="227"/>
      <c r="D78" s="227"/>
      <c r="E78" s="210"/>
      <c r="F78" s="748"/>
      <c r="G78" s="752" t="s">
        <v>5738</v>
      </c>
      <c r="H78" s="748" t="s">
        <v>3514</v>
      </c>
      <c r="I78" s="753"/>
      <c r="J78" s="753"/>
      <c r="K78" s="753"/>
      <c r="L78" s="201"/>
      <c r="M78" s="227"/>
      <c r="N78" s="227"/>
      <c r="O78" s="227"/>
      <c r="P78" s="227"/>
      <c r="Q78" s="227"/>
      <c r="R78" s="227"/>
      <c r="S78" s="227"/>
      <c r="T78" s="227"/>
      <c r="U78" s="227"/>
      <c r="V78" s="227"/>
    </row>
    <row r="79" spans="1:22" s="211" customFormat="1" ht="16.5">
      <c r="A79" s="227"/>
      <c r="B79" s="227"/>
      <c r="C79" s="227"/>
      <c r="D79" s="227"/>
      <c r="E79" s="210"/>
      <c r="F79" s="748"/>
      <c r="G79" s="752" t="s">
        <v>5739</v>
      </c>
      <c r="H79" s="748"/>
      <c r="I79" s="753">
        <v>0.7</v>
      </c>
      <c r="J79" s="753">
        <v>0.71</v>
      </c>
      <c r="K79" s="753">
        <v>1.0000000000000009E-2</v>
      </c>
      <c r="L79" s="201"/>
      <c r="M79" s="227"/>
      <c r="N79" s="227"/>
      <c r="O79" s="227"/>
      <c r="P79" s="227"/>
      <c r="Q79" s="227"/>
      <c r="R79" s="227"/>
      <c r="S79" s="227"/>
      <c r="T79" s="227"/>
      <c r="U79" s="227"/>
      <c r="V79" s="227"/>
    </row>
    <row r="80" spans="1:22" s="211" customFormat="1" ht="16.5">
      <c r="A80" s="227"/>
      <c r="B80" s="227"/>
      <c r="C80" s="227"/>
      <c r="D80" s="227"/>
      <c r="E80" s="210"/>
      <c r="F80" s="748"/>
      <c r="G80" s="752" t="s">
        <v>5740</v>
      </c>
      <c r="H80" s="748"/>
      <c r="I80" s="753">
        <v>0.12</v>
      </c>
      <c r="J80" s="753">
        <v>0.13</v>
      </c>
      <c r="K80" s="753">
        <v>1.0000000000000009E-2</v>
      </c>
      <c r="L80" s="201"/>
      <c r="M80" s="227"/>
      <c r="N80" s="227"/>
      <c r="O80" s="227"/>
      <c r="P80" s="227"/>
      <c r="Q80" s="227"/>
      <c r="R80" s="227"/>
      <c r="S80" s="227"/>
      <c r="T80" s="227"/>
      <c r="U80" s="227"/>
      <c r="V80" s="227"/>
    </row>
    <row r="81" spans="1:22" s="211" customFormat="1" ht="16.5">
      <c r="A81" s="227"/>
      <c r="B81" s="227"/>
      <c r="C81" s="227"/>
      <c r="D81" s="227"/>
      <c r="E81" s="210"/>
      <c r="F81" s="748"/>
      <c r="G81" s="752" t="s">
        <v>5741</v>
      </c>
      <c r="H81" s="748"/>
      <c r="I81" s="753">
        <v>0.12</v>
      </c>
      <c r="J81" s="753">
        <v>0.12</v>
      </c>
      <c r="K81" s="753">
        <v>0</v>
      </c>
      <c r="L81" s="201"/>
      <c r="M81" s="227"/>
      <c r="N81" s="227"/>
      <c r="O81" s="227"/>
      <c r="P81" s="227"/>
      <c r="Q81" s="227"/>
      <c r="R81" s="227"/>
      <c r="S81" s="227"/>
      <c r="T81" s="227"/>
      <c r="U81" s="227"/>
      <c r="V81" s="227"/>
    </row>
    <row r="82" spans="1:22" s="211" customFormat="1" ht="16.5">
      <c r="A82" s="227"/>
      <c r="B82" s="227"/>
      <c r="C82" s="227"/>
      <c r="D82" s="227"/>
      <c r="E82" s="210"/>
      <c r="F82" s="748">
        <v>4</v>
      </c>
      <c r="G82" s="752" t="s">
        <v>5755</v>
      </c>
      <c r="H82" s="748"/>
      <c r="I82" s="753"/>
      <c r="J82" s="753"/>
      <c r="K82" s="753"/>
      <c r="L82" s="201"/>
      <c r="M82" s="227"/>
      <c r="N82" s="227"/>
      <c r="O82" s="227"/>
      <c r="P82" s="227"/>
      <c r="Q82" s="227"/>
      <c r="R82" s="227"/>
      <c r="S82" s="227"/>
      <c r="T82" s="227"/>
      <c r="U82" s="227"/>
      <c r="V82" s="227"/>
    </row>
    <row r="83" spans="1:22" s="211" customFormat="1" ht="16.5">
      <c r="A83" s="227"/>
      <c r="B83" s="227"/>
      <c r="C83" s="227"/>
      <c r="D83" s="227"/>
      <c r="E83" s="210"/>
      <c r="F83" s="748"/>
      <c r="G83" s="752" t="s">
        <v>5734</v>
      </c>
      <c r="H83" s="748" t="s">
        <v>3514</v>
      </c>
      <c r="I83" s="753"/>
      <c r="J83" s="753"/>
      <c r="K83" s="753"/>
      <c r="L83" s="201"/>
      <c r="M83" s="227"/>
      <c r="N83" s="227"/>
      <c r="O83" s="227"/>
      <c r="P83" s="227"/>
      <c r="Q83" s="227"/>
      <c r="R83" s="227"/>
      <c r="S83" s="227"/>
      <c r="T83" s="227"/>
      <c r="U83" s="227"/>
      <c r="V83" s="227"/>
    </row>
    <row r="84" spans="1:22" s="211" customFormat="1" ht="16.5">
      <c r="A84" s="227"/>
      <c r="B84" s="227"/>
      <c r="C84" s="227"/>
      <c r="D84" s="227"/>
      <c r="E84" s="210"/>
      <c r="F84" s="748"/>
      <c r="G84" s="752" t="s">
        <v>5735</v>
      </c>
      <c r="H84" s="748"/>
      <c r="I84" s="753">
        <v>7.99</v>
      </c>
      <c r="J84" s="753">
        <v>7.99</v>
      </c>
      <c r="K84" s="753">
        <v>0</v>
      </c>
      <c r="L84" s="201"/>
      <c r="M84" s="227"/>
      <c r="N84" s="227"/>
      <c r="O84" s="227"/>
      <c r="P84" s="227"/>
      <c r="Q84" s="227"/>
      <c r="R84" s="227"/>
      <c r="S84" s="227"/>
      <c r="T84" s="227"/>
      <c r="U84" s="227"/>
      <c r="V84" s="227"/>
    </row>
    <row r="85" spans="1:22" s="211" customFormat="1" ht="16.5">
      <c r="A85" s="227"/>
      <c r="B85" s="227"/>
      <c r="C85" s="227"/>
      <c r="D85" s="227"/>
      <c r="E85" s="210"/>
      <c r="F85" s="748"/>
      <c r="G85" s="752" t="s">
        <v>5736</v>
      </c>
      <c r="H85" s="748"/>
      <c r="I85" s="753">
        <v>8.7900000000000009</v>
      </c>
      <c r="J85" s="753">
        <v>8.7919999999999998</v>
      </c>
      <c r="K85" s="753">
        <v>1.9999999999988916E-3</v>
      </c>
      <c r="L85" s="201"/>
      <c r="M85" s="227"/>
      <c r="N85" s="227"/>
      <c r="O85" s="227"/>
      <c r="P85" s="227"/>
      <c r="Q85" s="227"/>
      <c r="R85" s="227"/>
      <c r="S85" s="227"/>
      <c r="T85" s="227"/>
      <c r="U85" s="227"/>
      <c r="V85" s="227"/>
    </row>
    <row r="86" spans="1:22" s="211" customFormat="1" ht="16.5">
      <c r="A86" s="227"/>
      <c r="B86" s="227"/>
      <c r="C86" s="227"/>
      <c r="D86" s="227"/>
      <c r="E86" s="210"/>
      <c r="F86" s="748"/>
      <c r="G86" s="752" t="s">
        <v>5737</v>
      </c>
      <c r="H86" s="748"/>
      <c r="I86" s="753">
        <v>8.7900000000000009</v>
      </c>
      <c r="J86" s="753">
        <v>8.7940000000000005</v>
      </c>
      <c r="K86" s="753">
        <v>3.9999999999995595E-3</v>
      </c>
      <c r="L86" s="201"/>
      <c r="M86" s="227"/>
      <c r="N86" s="227"/>
      <c r="O86" s="227"/>
      <c r="P86" s="227"/>
      <c r="Q86" s="227"/>
      <c r="R86" s="227"/>
      <c r="S86" s="227"/>
      <c r="T86" s="227"/>
      <c r="U86" s="227"/>
      <c r="V86" s="227"/>
    </row>
    <row r="87" spans="1:22" s="211" customFormat="1" ht="16.5">
      <c r="A87" s="227"/>
      <c r="B87" s="227"/>
      <c r="C87" s="227"/>
      <c r="D87" s="227"/>
      <c r="E87" s="210"/>
      <c r="F87" s="748"/>
      <c r="G87" s="752" t="s">
        <v>5738</v>
      </c>
      <c r="H87" s="748" t="s">
        <v>3514</v>
      </c>
      <c r="I87" s="753"/>
      <c r="J87" s="753"/>
      <c r="K87" s="753"/>
      <c r="L87" s="201"/>
      <c r="M87" s="227"/>
      <c r="N87" s="227"/>
      <c r="O87" s="227"/>
      <c r="P87" s="227"/>
      <c r="Q87" s="227"/>
      <c r="R87" s="227"/>
      <c r="S87" s="227"/>
      <c r="T87" s="227"/>
      <c r="U87" s="227"/>
      <c r="V87" s="227"/>
    </row>
    <row r="88" spans="1:22" s="211" customFormat="1" ht="16.5">
      <c r="A88" s="227"/>
      <c r="B88" s="227"/>
      <c r="C88" s="227"/>
      <c r="D88" s="227"/>
      <c r="E88" s="210"/>
      <c r="F88" s="748"/>
      <c r="G88" s="752" t="s">
        <v>5739</v>
      </c>
      <c r="H88" s="748"/>
      <c r="I88" s="753">
        <v>0.7</v>
      </c>
      <c r="J88" s="753">
        <v>0.71</v>
      </c>
      <c r="K88" s="753">
        <v>1.0000000000000009E-2</v>
      </c>
      <c r="L88" s="201"/>
      <c r="M88" s="227"/>
      <c r="N88" s="227"/>
      <c r="O88" s="227"/>
      <c r="P88" s="227"/>
      <c r="Q88" s="227"/>
      <c r="R88" s="227"/>
      <c r="S88" s="227"/>
      <c r="T88" s="227"/>
      <c r="U88" s="227"/>
      <c r="V88" s="227"/>
    </row>
    <row r="89" spans="1:22" s="211" customFormat="1" ht="16.5">
      <c r="A89" s="227"/>
      <c r="B89" s="227"/>
      <c r="C89" s="227"/>
      <c r="D89" s="227"/>
      <c r="E89" s="210"/>
      <c r="F89" s="748"/>
      <c r="G89" s="752" t="s">
        <v>5740</v>
      </c>
      <c r="H89" s="748"/>
      <c r="I89" s="753">
        <v>0.12</v>
      </c>
      <c r="J89" s="753">
        <v>0.13</v>
      </c>
      <c r="K89" s="753">
        <v>1.0000000000000009E-2</v>
      </c>
      <c r="L89" s="201"/>
      <c r="M89" s="227"/>
      <c r="N89" s="227"/>
      <c r="O89" s="227"/>
      <c r="P89" s="227"/>
      <c r="Q89" s="227"/>
      <c r="R89" s="227"/>
      <c r="S89" s="227"/>
      <c r="T89" s="227"/>
      <c r="U89" s="227"/>
      <c r="V89" s="227"/>
    </row>
    <row r="90" spans="1:22" s="211" customFormat="1" ht="16.5">
      <c r="A90" s="227"/>
      <c r="B90" s="227"/>
      <c r="C90" s="227"/>
      <c r="D90" s="227"/>
      <c r="E90" s="210"/>
      <c r="F90" s="748"/>
      <c r="G90" s="752" t="s">
        <v>5741</v>
      </c>
      <c r="H90" s="748"/>
      <c r="I90" s="753">
        <v>0.12</v>
      </c>
      <c r="J90" s="753">
        <v>0.13</v>
      </c>
      <c r="K90" s="753">
        <v>1.0000000000000009E-2</v>
      </c>
      <c r="L90" s="201"/>
      <c r="M90" s="227"/>
      <c r="N90" s="227"/>
      <c r="O90" s="227"/>
      <c r="P90" s="227"/>
      <c r="Q90" s="227"/>
      <c r="R90" s="227"/>
      <c r="S90" s="227"/>
      <c r="T90" s="227"/>
      <c r="U90" s="227"/>
      <c r="V90" s="227"/>
    </row>
    <row r="91" spans="1:22" s="211" customFormat="1" ht="16.5">
      <c r="A91" s="227"/>
      <c r="B91" s="227"/>
      <c r="C91" s="227"/>
      <c r="D91" s="227"/>
      <c r="E91" s="210"/>
      <c r="F91" s="748">
        <v>5</v>
      </c>
      <c r="G91" s="752" t="s">
        <v>5756</v>
      </c>
      <c r="H91" s="748"/>
      <c r="I91" s="753"/>
      <c r="J91" s="753"/>
      <c r="K91" s="753"/>
      <c r="L91" s="201"/>
      <c r="M91" s="227"/>
      <c r="N91" s="227"/>
      <c r="O91" s="227"/>
      <c r="P91" s="227"/>
      <c r="Q91" s="227"/>
      <c r="R91" s="227"/>
      <c r="S91" s="227"/>
      <c r="T91" s="227"/>
      <c r="U91" s="227"/>
      <c r="V91" s="227"/>
    </row>
    <row r="92" spans="1:22" s="211" customFormat="1" ht="16.5">
      <c r="A92" s="227"/>
      <c r="B92" s="227"/>
      <c r="C92" s="227"/>
      <c r="D92" s="227"/>
      <c r="E92" s="210"/>
      <c r="F92" s="748"/>
      <c r="G92" s="752" t="s">
        <v>5734</v>
      </c>
      <c r="H92" s="748" t="s">
        <v>3514</v>
      </c>
      <c r="I92" s="753"/>
      <c r="J92" s="753"/>
      <c r="K92" s="753"/>
      <c r="L92" s="201"/>
      <c r="M92" s="227"/>
      <c r="N92" s="227"/>
      <c r="O92" s="227"/>
      <c r="P92" s="227"/>
      <c r="Q92" s="227"/>
      <c r="R92" s="227"/>
      <c r="S92" s="227"/>
      <c r="T92" s="227"/>
      <c r="U92" s="227"/>
      <c r="V92" s="227"/>
    </row>
    <row r="93" spans="1:22" s="211" customFormat="1" ht="16.5">
      <c r="A93" s="227"/>
      <c r="B93" s="227"/>
      <c r="C93" s="227"/>
      <c r="D93" s="227"/>
      <c r="E93" s="210"/>
      <c r="F93" s="748"/>
      <c r="G93" s="752" t="s">
        <v>5735</v>
      </c>
      <c r="H93" s="748"/>
      <c r="I93" s="753">
        <v>7.99</v>
      </c>
      <c r="J93" s="753">
        <v>7.9909999999999997</v>
      </c>
      <c r="K93" s="753">
        <v>9.9999999999944578E-4</v>
      </c>
      <c r="L93" s="201"/>
      <c r="M93" s="227"/>
      <c r="N93" s="227"/>
      <c r="O93" s="227"/>
      <c r="P93" s="227"/>
      <c r="Q93" s="227"/>
      <c r="R93" s="227"/>
      <c r="S93" s="227"/>
      <c r="T93" s="227"/>
      <c r="U93" s="227"/>
      <c r="V93" s="227"/>
    </row>
    <row r="94" spans="1:22" s="211" customFormat="1" ht="16.5">
      <c r="A94" s="227"/>
      <c r="B94" s="227"/>
      <c r="C94" s="227"/>
      <c r="D94" s="227"/>
      <c r="E94" s="210"/>
      <c r="F94" s="748"/>
      <c r="G94" s="752" t="s">
        <v>5736</v>
      </c>
      <c r="H94" s="748"/>
      <c r="I94" s="753">
        <v>8.7900000000000009</v>
      </c>
      <c r="J94" s="753">
        <v>8.7899999999999991</v>
      </c>
      <c r="K94" s="753">
        <v>0</v>
      </c>
      <c r="L94" s="201"/>
      <c r="M94" s="227"/>
      <c r="N94" s="227"/>
      <c r="O94" s="227"/>
      <c r="P94" s="227"/>
      <c r="Q94" s="227"/>
      <c r="R94" s="227"/>
      <c r="S94" s="227"/>
      <c r="T94" s="227"/>
      <c r="U94" s="227"/>
      <c r="V94" s="227"/>
    </row>
    <row r="95" spans="1:22" s="211" customFormat="1" ht="16.5">
      <c r="A95" s="227"/>
      <c r="B95" s="227"/>
      <c r="C95" s="227"/>
      <c r="D95" s="227"/>
      <c r="E95" s="210"/>
      <c r="F95" s="748"/>
      <c r="G95" s="752" t="s">
        <v>5737</v>
      </c>
      <c r="H95" s="748"/>
      <c r="I95" s="753">
        <v>8.7900000000000009</v>
      </c>
      <c r="J95" s="753">
        <v>8.7940000000000005</v>
      </c>
      <c r="K95" s="753">
        <v>3.9999999999995595E-3</v>
      </c>
      <c r="L95" s="201"/>
      <c r="M95" s="227"/>
      <c r="N95" s="227"/>
      <c r="O95" s="227"/>
      <c r="P95" s="227"/>
      <c r="Q95" s="227"/>
      <c r="R95" s="227"/>
      <c r="S95" s="227"/>
      <c r="T95" s="227"/>
      <c r="U95" s="227"/>
      <c r="V95" s="227"/>
    </row>
    <row r="96" spans="1:22" s="211" customFormat="1" ht="16.5">
      <c r="A96" s="227"/>
      <c r="B96" s="227"/>
      <c r="C96" s="227"/>
      <c r="D96" s="227"/>
      <c r="E96" s="210"/>
      <c r="F96" s="748"/>
      <c r="G96" s="752" t="s">
        <v>5738</v>
      </c>
      <c r="H96" s="748" t="s">
        <v>3514</v>
      </c>
      <c r="I96" s="753"/>
      <c r="J96" s="753"/>
      <c r="K96" s="753"/>
      <c r="L96" s="201"/>
      <c r="M96" s="227"/>
      <c r="N96" s="227"/>
      <c r="O96" s="227"/>
      <c r="P96" s="227"/>
      <c r="Q96" s="227"/>
      <c r="R96" s="227"/>
      <c r="S96" s="227"/>
      <c r="T96" s="227"/>
      <c r="U96" s="227"/>
      <c r="V96" s="227"/>
    </row>
    <row r="97" spans="1:22" s="211" customFormat="1" ht="16.5">
      <c r="A97" s="227"/>
      <c r="B97" s="227"/>
      <c r="C97" s="227"/>
      <c r="D97" s="227"/>
      <c r="E97" s="210"/>
      <c r="F97" s="748"/>
      <c r="G97" s="752" t="s">
        <v>5739</v>
      </c>
      <c r="H97" s="748"/>
      <c r="I97" s="753">
        <v>0.7</v>
      </c>
      <c r="J97" s="753">
        <v>0.72</v>
      </c>
      <c r="K97" s="753">
        <v>2.0000000000000018E-2</v>
      </c>
      <c r="L97" s="201"/>
      <c r="M97" s="227"/>
      <c r="N97" s="227"/>
      <c r="O97" s="227"/>
      <c r="P97" s="227"/>
      <c r="Q97" s="227"/>
      <c r="R97" s="227"/>
      <c r="S97" s="227"/>
      <c r="T97" s="227"/>
      <c r="U97" s="227"/>
      <c r="V97" s="227"/>
    </row>
    <row r="98" spans="1:22" s="211" customFormat="1" ht="16.5">
      <c r="A98" s="227"/>
      <c r="B98" s="227"/>
      <c r="C98" s="227"/>
      <c r="D98" s="227"/>
      <c r="E98" s="210"/>
      <c r="F98" s="748"/>
      <c r="G98" s="752" t="s">
        <v>5740</v>
      </c>
      <c r="H98" s="748"/>
      <c r="I98" s="753">
        <v>0.12</v>
      </c>
      <c r="J98" s="753">
        <v>0.14000000000000001</v>
      </c>
      <c r="K98" s="753">
        <v>2.0000000000000018E-2</v>
      </c>
      <c r="L98" s="201"/>
      <c r="M98" s="227"/>
      <c r="N98" s="227"/>
      <c r="O98" s="227"/>
      <c r="P98" s="227"/>
      <c r="Q98" s="227"/>
      <c r="R98" s="227"/>
      <c r="S98" s="227"/>
      <c r="T98" s="227"/>
      <c r="U98" s="227"/>
      <c r="V98" s="227"/>
    </row>
    <row r="99" spans="1:22" s="211" customFormat="1" ht="16.5">
      <c r="A99" s="227"/>
      <c r="B99" s="227"/>
      <c r="C99" s="227"/>
      <c r="D99" s="227"/>
      <c r="E99" s="210"/>
      <c r="F99" s="748"/>
      <c r="G99" s="752" t="s">
        <v>5741</v>
      </c>
      <c r="H99" s="748"/>
      <c r="I99" s="753">
        <v>0.12</v>
      </c>
      <c r="J99" s="753">
        <v>0.14000000000000001</v>
      </c>
      <c r="K99" s="753">
        <v>2.0000000000000018E-2</v>
      </c>
      <c r="L99" s="201"/>
      <c r="M99" s="227"/>
      <c r="N99" s="227"/>
      <c r="O99" s="227"/>
      <c r="P99" s="227"/>
      <c r="Q99" s="227"/>
      <c r="R99" s="227"/>
      <c r="S99" s="227"/>
      <c r="T99" s="227"/>
      <c r="U99" s="227"/>
      <c r="V99" s="227"/>
    </row>
    <row r="100" spans="1:22" s="211" customFormat="1" ht="16.5">
      <c r="A100" s="227"/>
      <c r="B100" s="227"/>
      <c r="C100" s="227"/>
      <c r="D100" s="227"/>
      <c r="E100" s="210"/>
      <c r="F100" s="748">
        <v>6</v>
      </c>
      <c r="G100" s="752" t="s">
        <v>5757</v>
      </c>
      <c r="H100" s="748"/>
      <c r="I100" s="753"/>
      <c r="J100" s="753"/>
      <c r="K100" s="753"/>
      <c r="L100" s="201"/>
      <c r="M100" s="227"/>
      <c r="N100" s="227"/>
      <c r="O100" s="227"/>
      <c r="P100" s="227"/>
      <c r="Q100" s="227"/>
      <c r="R100" s="227"/>
      <c r="S100" s="227"/>
      <c r="T100" s="227"/>
      <c r="U100" s="227"/>
      <c r="V100" s="227"/>
    </row>
    <row r="101" spans="1:22" s="211" customFormat="1" ht="16.5">
      <c r="A101" s="227"/>
      <c r="B101" s="227"/>
      <c r="C101" s="227"/>
      <c r="D101" s="227"/>
      <c r="E101" s="210"/>
      <c r="F101" s="748"/>
      <c r="G101" s="752" t="s">
        <v>5734</v>
      </c>
      <c r="H101" s="748" t="s">
        <v>3514</v>
      </c>
      <c r="I101" s="753"/>
      <c r="J101" s="753"/>
      <c r="K101" s="753"/>
      <c r="L101" s="201"/>
      <c r="M101" s="227"/>
      <c r="N101" s="227"/>
      <c r="O101" s="227"/>
      <c r="P101" s="227"/>
      <c r="Q101" s="227"/>
      <c r="R101" s="227"/>
      <c r="S101" s="227"/>
      <c r="T101" s="227"/>
      <c r="U101" s="227"/>
      <c r="V101" s="227"/>
    </row>
    <row r="102" spans="1:22" s="211" customFormat="1" ht="16.5">
      <c r="A102" s="227"/>
      <c r="B102" s="227"/>
      <c r="C102" s="227"/>
      <c r="D102" s="227"/>
      <c r="E102" s="210"/>
      <c r="F102" s="748"/>
      <c r="G102" s="752" t="s">
        <v>5735</v>
      </c>
      <c r="H102" s="748"/>
      <c r="I102" s="753">
        <v>7.98</v>
      </c>
      <c r="J102" s="753">
        <v>7.9820000000000002</v>
      </c>
      <c r="K102" s="753">
        <v>1.9999999999997797E-3</v>
      </c>
      <c r="L102" s="201"/>
      <c r="M102" s="227"/>
      <c r="N102" s="227"/>
      <c r="O102" s="227"/>
      <c r="P102" s="227"/>
      <c r="Q102" s="227"/>
      <c r="R102" s="227"/>
      <c r="S102" s="227"/>
      <c r="T102" s="227"/>
      <c r="U102" s="227"/>
      <c r="V102" s="227"/>
    </row>
    <row r="103" spans="1:22" s="211" customFormat="1" ht="16.5">
      <c r="A103" s="227"/>
      <c r="B103" s="227"/>
      <c r="C103" s="227"/>
      <c r="D103" s="227"/>
      <c r="E103" s="210"/>
      <c r="F103" s="748"/>
      <c r="G103" s="752" t="s">
        <v>5736</v>
      </c>
      <c r="H103" s="748"/>
      <c r="I103" s="753">
        <v>8.7800000000000011</v>
      </c>
      <c r="J103" s="753">
        <v>8.7810000000000006</v>
      </c>
      <c r="K103" s="753">
        <v>9.9999999999944578E-4</v>
      </c>
      <c r="L103" s="201"/>
      <c r="M103" s="227"/>
      <c r="N103" s="227"/>
      <c r="O103" s="227"/>
      <c r="P103" s="227"/>
      <c r="Q103" s="227"/>
      <c r="R103" s="227"/>
      <c r="S103" s="227"/>
      <c r="T103" s="227"/>
      <c r="U103" s="227"/>
      <c r="V103" s="227"/>
    </row>
    <row r="104" spans="1:22" s="211" customFormat="1" ht="16.5">
      <c r="A104" s="227"/>
      <c r="B104" s="227"/>
      <c r="C104" s="227"/>
      <c r="D104" s="227"/>
      <c r="E104" s="210"/>
      <c r="F104" s="748"/>
      <c r="G104" s="752" t="s">
        <v>5737</v>
      </c>
      <c r="H104" s="748"/>
      <c r="I104" s="753">
        <v>8.7800000000000011</v>
      </c>
      <c r="J104" s="753">
        <v>8.7829999999999995</v>
      </c>
      <c r="K104" s="753">
        <v>2.9999999999983373E-3</v>
      </c>
      <c r="L104" s="201"/>
      <c r="M104" s="227"/>
      <c r="N104" s="227"/>
      <c r="O104" s="227"/>
      <c r="P104" s="227"/>
      <c r="Q104" s="227"/>
      <c r="R104" s="227"/>
      <c r="S104" s="227"/>
      <c r="T104" s="227"/>
      <c r="U104" s="227"/>
      <c r="V104" s="227"/>
    </row>
    <row r="105" spans="1:22" s="211" customFormat="1" ht="16.5">
      <c r="A105" s="227"/>
      <c r="B105" s="227"/>
      <c r="C105" s="227"/>
      <c r="D105" s="227"/>
      <c r="E105" s="210"/>
      <c r="F105" s="748"/>
      <c r="G105" s="752" t="s">
        <v>5738</v>
      </c>
      <c r="H105" s="748" t="s">
        <v>3514</v>
      </c>
      <c r="I105" s="753"/>
      <c r="J105" s="753"/>
      <c r="K105" s="753"/>
      <c r="L105" s="201"/>
      <c r="M105" s="227"/>
      <c r="N105" s="227"/>
      <c r="O105" s="227"/>
      <c r="P105" s="227"/>
      <c r="Q105" s="227"/>
      <c r="R105" s="227"/>
      <c r="S105" s="227"/>
      <c r="T105" s="227"/>
      <c r="U105" s="227"/>
      <c r="V105" s="227"/>
    </row>
    <row r="106" spans="1:22" s="211" customFormat="1" ht="16.5">
      <c r="A106" s="227"/>
      <c r="B106" s="227"/>
      <c r="C106" s="227"/>
      <c r="D106" s="227"/>
      <c r="E106" s="210"/>
      <c r="F106" s="748"/>
      <c r="G106" s="752" t="s">
        <v>5739</v>
      </c>
      <c r="H106" s="748"/>
      <c r="I106" s="753">
        <v>0.7</v>
      </c>
      <c r="J106" s="753">
        <v>0.7</v>
      </c>
      <c r="K106" s="753">
        <v>0</v>
      </c>
      <c r="L106" s="201"/>
      <c r="M106" s="227"/>
      <c r="N106" s="227"/>
      <c r="O106" s="227"/>
      <c r="P106" s="227"/>
      <c r="Q106" s="227"/>
      <c r="R106" s="227"/>
      <c r="S106" s="227"/>
      <c r="T106" s="227"/>
      <c r="U106" s="227"/>
      <c r="V106" s="227"/>
    </row>
    <row r="107" spans="1:22" s="211" customFormat="1" ht="16.5">
      <c r="A107" s="227"/>
      <c r="B107" s="227"/>
      <c r="C107" s="227"/>
      <c r="D107" s="227"/>
      <c r="E107" s="210"/>
      <c r="F107" s="748"/>
      <c r="G107" s="752" t="s">
        <v>5740</v>
      </c>
      <c r="H107" s="748"/>
      <c r="I107" s="753">
        <v>0.12</v>
      </c>
      <c r="J107" s="753">
        <v>0.13</v>
      </c>
      <c r="K107" s="753">
        <v>1.0000000000000009E-2</v>
      </c>
      <c r="L107" s="201"/>
      <c r="M107" s="227"/>
      <c r="N107" s="227"/>
      <c r="O107" s="227"/>
      <c r="P107" s="227"/>
      <c r="Q107" s="227"/>
      <c r="R107" s="227"/>
      <c r="S107" s="227"/>
      <c r="T107" s="227"/>
      <c r="U107" s="227"/>
      <c r="V107" s="227"/>
    </row>
    <row r="108" spans="1:22" s="211" customFormat="1" ht="16.5">
      <c r="A108" s="227"/>
      <c r="B108" s="227"/>
      <c r="C108" s="227"/>
      <c r="D108" s="227"/>
      <c r="E108" s="210"/>
      <c r="F108" s="748"/>
      <c r="G108" s="752" t="s">
        <v>5741</v>
      </c>
      <c r="H108" s="748"/>
      <c r="I108" s="753">
        <v>0.12</v>
      </c>
      <c r="J108" s="753">
        <v>0.12</v>
      </c>
      <c r="K108" s="753">
        <v>0</v>
      </c>
      <c r="L108" s="201"/>
      <c r="M108" s="227"/>
      <c r="N108" s="227"/>
      <c r="O108" s="227"/>
      <c r="P108" s="227"/>
      <c r="Q108" s="227"/>
      <c r="R108" s="227"/>
      <c r="S108" s="227"/>
      <c r="T108" s="227"/>
      <c r="U108" s="227"/>
      <c r="V108" s="227"/>
    </row>
    <row r="109" spans="1:22" s="211" customFormat="1" ht="16.5" hidden="1">
      <c r="A109" s="227"/>
      <c r="B109" s="227"/>
      <c r="C109" s="227"/>
      <c r="D109" s="227"/>
      <c r="E109" s="210"/>
      <c r="F109" s="748"/>
      <c r="G109" s="752"/>
      <c r="H109" s="748"/>
      <c r="I109" s="753"/>
      <c r="J109" s="753"/>
      <c r="K109" s="753"/>
      <c r="L109" s="201"/>
      <c r="M109" s="227"/>
      <c r="N109" s="227"/>
      <c r="O109" s="227"/>
      <c r="P109" s="227"/>
      <c r="Q109" s="227"/>
      <c r="R109" s="227"/>
      <c r="S109" s="227"/>
      <c r="T109" s="227"/>
      <c r="U109" s="227"/>
      <c r="V109" s="227"/>
    </row>
    <row r="110" spans="1:22" s="211" customFormat="1" ht="16.5" hidden="1">
      <c r="A110" s="227"/>
      <c r="B110" s="227"/>
      <c r="C110" s="227"/>
      <c r="D110" s="227"/>
      <c r="E110" s="210"/>
      <c r="F110" s="748"/>
      <c r="G110" s="752"/>
      <c r="H110" s="748"/>
      <c r="I110" s="753"/>
      <c r="J110" s="753"/>
      <c r="K110" s="753"/>
      <c r="L110" s="201"/>
      <c r="M110" s="227"/>
      <c r="N110" s="227"/>
      <c r="O110" s="227"/>
      <c r="P110" s="227"/>
      <c r="Q110" s="227"/>
      <c r="R110" s="227"/>
      <c r="S110" s="227"/>
      <c r="T110" s="227"/>
      <c r="U110" s="227"/>
      <c r="V110" s="227"/>
    </row>
    <row r="111" spans="1:22" s="211" customFormat="1" ht="16.5" hidden="1">
      <c r="A111" s="227"/>
      <c r="B111" s="227"/>
      <c r="C111" s="227"/>
      <c r="D111" s="227"/>
      <c r="E111" s="210"/>
      <c r="F111" s="748"/>
      <c r="G111" s="752"/>
      <c r="H111" s="748"/>
      <c r="I111" s="753"/>
      <c r="J111" s="753"/>
      <c r="K111" s="753"/>
      <c r="L111" s="201"/>
      <c r="M111" s="227"/>
      <c r="N111" s="227"/>
      <c r="O111" s="227"/>
      <c r="P111" s="227"/>
      <c r="Q111" s="227"/>
      <c r="R111" s="227"/>
      <c r="S111" s="227"/>
      <c r="T111" s="227"/>
      <c r="U111" s="227"/>
      <c r="V111" s="227"/>
    </row>
    <row r="112" spans="1:22" s="211" customFormat="1" ht="16.5" hidden="1">
      <c r="A112" s="227"/>
      <c r="B112" s="227"/>
      <c r="C112" s="227"/>
      <c r="D112" s="227"/>
      <c r="E112" s="210"/>
      <c r="F112" s="748"/>
      <c r="G112" s="752"/>
      <c r="H112" s="748"/>
      <c r="I112" s="753"/>
      <c r="J112" s="753"/>
      <c r="K112" s="753"/>
      <c r="L112" s="201"/>
      <c r="M112" s="227"/>
      <c r="N112" s="227"/>
      <c r="O112" s="227"/>
      <c r="P112" s="227"/>
      <c r="Q112" s="227"/>
      <c r="R112" s="227"/>
      <c r="S112" s="227"/>
      <c r="T112" s="227"/>
      <c r="U112" s="227"/>
      <c r="V112" s="227"/>
    </row>
    <row r="113" spans="1:22" s="211" customFormat="1" ht="16.5" hidden="1">
      <c r="A113" s="227"/>
      <c r="B113" s="227"/>
      <c r="C113" s="227"/>
      <c r="D113" s="227"/>
      <c r="E113" s="210"/>
      <c r="F113" s="748"/>
      <c r="G113" s="752"/>
      <c r="H113" s="748"/>
      <c r="I113" s="753"/>
      <c r="J113" s="753"/>
      <c r="K113" s="753"/>
      <c r="L113" s="201"/>
      <c r="M113" s="227"/>
      <c r="N113" s="227"/>
      <c r="O113" s="227"/>
      <c r="P113" s="227"/>
      <c r="Q113" s="227"/>
      <c r="R113" s="227"/>
      <c r="S113" s="227"/>
      <c r="T113" s="227"/>
      <c r="U113" s="227"/>
      <c r="V113" s="227"/>
    </row>
    <row r="114" spans="1:22" s="211" customFormat="1" ht="16.5" hidden="1">
      <c r="A114" s="227"/>
      <c r="B114" s="227"/>
      <c r="C114" s="227"/>
      <c r="D114" s="227"/>
      <c r="E114" s="210"/>
      <c r="F114" s="748"/>
      <c r="G114" s="752"/>
      <c r="H114" s="748"/>
      <c r="I114" s="753"/>
      <c r="J114" s="753"/>
      <c r="K114" s="753"/>
      <c r="L114" s="201"/>
      <c r="M114" s="227"/>
      <c r="N114" s="227"/>
      <c r="O114" s="227"/>
      <c r="P114" s="227"/>
      <c r="Q114" s="227"/>
      <c r="R114" s="227"/>
      <c r="S114" s="227"/>
      <c r="T114" s="227"/>
      <c r="U114" s="227"/>
      <c r="V114" s="227"/>
    </row>
    <row r="115" spans="1:22" s="211" customFormat="1" ht="16.5" hidden="1">
      <c r="A115" s="227"/>
      <c r="B115" s="227"/>
      <c r="C115" s="227"/>
      <c r="D115" s="227"/>
      <c r="E115" s="210"/>
      <c r="F115" s="748"/>
      <c r="G115" s="752"/>
      <c r="H115" s="748"/>
      <c r="I115" s="753"/>
      <c r="J115" s="753"/>
      <c r="K115" s="753"/>
      <c r="L115" s="201"/>
      <c r="M115" s="227"/>
      <c r="N115" s="227"/>
      <c r="O115" s="227"/>
      <c r="P115" s="227"/>
      <c r="Q115" s="227"/>
      <c r="R115" s="227"/>
      <c r="S115" s="227"/>
      <c r="T115" s="227"/>
      <c r="U115" s="227"/>
      <c r="V115" s="227"/>
    </row>
    <row r="116" spans="1:22" s="211" customFormat="1" ht="16.5" hidden="1">
      <c r="A116" s="227"/>
      <c r="B116" s="227"/>
      <c r="C116" s="227"/>
      <c r="D116" s="227"/>
      <c r="E116" s="210"/>
      <c r="F116" s="748"/>
      <c r="G116" s="752"/>
      <c r="H116" s="748"/>
      <c r="I116" s="753"/>
      <c r="J116" s="753"/>
      <c r="K116" s="753"/>
      <c r="L116" s="201"/>
      <c r="M116" s="227"/>
      <c r="N116" s="227"/>
      <c r="O116" s="227"/>
      <c r="P116" s="227"/>
      <c r="Q116" s="227"/>
      <c r="R116" s="227"/>
      <c r="S116" s="227"/>
      <c r="T116" s="227"/>
      <c r="U116" s="227"/>
      <c r="V116" s="227"/>
    </row>
    <row r="117" spans="1:22" s="211" customFormat="1" ht="16.5" hidden="1">
      <c r="A117" s="227"/>
      <c r="B117" s="227"/>
      <c r="C117" s="227"/>
      <c r="D117" s="227"/>
      <c r="E117" s="210"/>
      <c r="F117" s="748"/>
      <c r="G117" s="752"/>
      <c r="H117" s="748"/>
      <c r="I117" s="753"/>
      <c r="J117" s="753"/>
      <c r="K117" s="753"/>
      <c r="L117" s="201"/>
      <c r="M117" s="227"/>
      <c r="N117" s="227"/>
      <c r="O117" s="227"/>
      <c r="P117" s="227"/>
      <c r="Q117" s="227"/>
      <c r="R117" s="227"/>
      <c r="S117" s="227"/>
      <c r="T117" s="227"/>
      <c r="U117" s="227"/>
      <c r="V117" s="227"/>
    </row>
    <row r="118" spans="1:22" s="211" customFormat="1" ht="16.5" hidden="1">
      <c r="A118" s="227"/>
      <c r="B118" s="227"/>
      <c r="C118" s="227"/>
      <c r="D118" s="227"/>
      <c r="E118" s="210"/>
      <c r="F118" s="748"/>
      <c r="G118" s="752"/>
      <c r="H118" s="748"/>
      <c r="I118" s="753"/>
      <c r="J118" s="753"/>
      <c r="K118" s="753"/>
      <c r="L118" s="201"/>
      <c r="M118" s="227"/>
      <c r="N118" s="227"/>
      <c r="O118" s="227"/>
      <c r="P118" s="227"/>
      <c r="Q118" s="227"/>
      <c r="R118" s="227"/>
      <c r="S118" s="227"/>
      <c r="T118" s="227"/>
      <c r="U118" s="227"/>
      <c r="V118" s="227"/>
    </row>
    <row r="119" spans="1:22" s="211" customFormat="1" ht="16.5" hidden="1">
      <c r="A119" s="227"/>
      <c r="B119" s="227"/>
      <c r="C119" s="227"/>
      <c r="D119" s="227"/>
      <c r="E119" s="210"/>
      <c r="F119" s="748"/>
      <c r="G119" s="752"/>
      <c r="H119" s="748"/>
      <c r="I119" s="753"/>
      <c r="J119" s="753"/>
      <c r="K119" s="753"/>
      <c r="L119" s="201"/>
      <c r="M119" s="227"/>
      <c r="N119" s="227"/>
      <c r="O119" s="227"/>
      <c r="P119" s="227"/>
      <c r="Q119" s="227"/>
      <c r="R119" s="227"/>
      <c r="S119" s="227"/>
      <c r="T119" s="227"/>
      <c r="U119" s="227"/>
      <c r="V119" s="227"/>
    </row>
    <row r="120" spans="1:22" s="211" customFormat="1" ht="16.5" hidden="1">
      <c r="A120" s="227"/>
      <c r="B120" s="227"/>
      <c r="C120" s="227"/>
      <c r="D120" s="227"/>
      <c r="E120" s="210"/>
      <c r="F120" s="748"/>
      <c r="G120" s="752"/>
      <c r="H120" s="748"/>
      <c r="I120" s="753"/>
      <c r="J120" s="753"/>
      <c r="K120" s="753"/>
      <c r="L120" s="201"/>
      <c r="M120" s="227"/>
      <c r="N120" s="227"/>
      <c r="O120" s="227"/>
      <c r="P120" s="227"/>
      <c r="Q120" s="227"/>
      <c r="R120" s="227"/>
      <c r="S120" s="227"/>
      <c r="T120" s="227"/>
      <c r="U120" s="227"/>
      <c r="V120" s="227"/>
    </row>
    <row r="121" spans="1:22" s="211" customFormat="1" ht="16.5" hidden="1">
      <c r="A121" s="227"/>
      <c r="B121" s="227"/>
      <c r="C121" s="227"/>
      <c r="D121" s="227"/>
      <c r="E121" s="210"/>
      <c r="F121" s="748"/>
      <c r="G121" s="752"/>
      <c r="H121" s="748"/>
      <c r="I121" s="753"/>
      <c r="J121" s="753"/>
      <c r="K121" s="753"/>
      <c r="L121" s="201"/>
      <c r="M121" s="227"/>
      <c r="N121" s="227"/>
      <c r="O121" s="227"/>
      <c r="P121" s="227"/>
      <c r="Q121" s="227"/>
      <c r="R121" s="227"/>
      <c r="S121" s="227"/>
      <c r="T121" s="227"/>
      <c r="U121" s="227"/>
      <c r="V121" s="227"/>
    </row>
    <row r="122" spans="1:22" s="211" customFormat="1" ht="16.5" hidden="1">
      <c r="A122" s="227"/>
      <c r="B122" s="227"/>
      <c r="C122" s="227"/>
      <c r="D122" s="227"/>
      <c r="E122" s="210"/>
      <c r="F122" s="748"/>
      <c r="G122" s="752"/>
      <c r="H122" s="748"/>
      <c r="I122" s="753"/>
      <c r="J122" s="753"/>
      <c r="K122" s="753"/>
      <c r="L122" s="201"/>
      <c r="M122" s="227"/>
      <c r="N122" s="227"/>
      <c r="O122" s="227"/>
      <c r="P122" s="227"/>
      <c r="Q122" s="227"/>
      <c r="R122" s="227"/>
      <c r="S122" s="227"/>
      <c r="T122" s="227"/>
      <c r="U122" s="227"/>
      <c r="V122" s="227"/>
    </row>
    <row r="123" spans="1:22" s="211" customFormat="1" ht="16.5" hidden="1">
      <c r="A123" s="227"/>
      <c r="B123" s="227"/>
      <c r="C123" s="227"/>
      <c r="D123" s="227"/>
      <c r="E123" s="210"/>
      <c r="F123" s="748"/>
      <c r="G123" s="752"/>
      <c r="H123" s="748"/>
      <c r="I123" s="753"/>
      <c r="J123" s="753"/>
      <c r="K123" s="753"/>
      <c r="L123" s="201"/>
      <c r="M123" s="227"/>
      <c r="N123" s="227"/>
      <c r="O123" s="227"/>
      <c r="P123" s="227"/>
      <c r="Q123" s="227"/>
      <c r="R123" s="227"/>
      <c r="S123" s="227"/>
      <c r="T123" s="227"/>
      <c r="U123" s="227"/>
      <c r="V123" s="227"/>
    </row>
    <row r="124" spans="1:22" s="211" customFormat="1" ht="16.5" hidden="1">
      <c r="A124" s="227"/>
      <c r="B124" s="227"/>
      <c r="C124" s="227"/>
      <c r="D124" s="227"/>
      <c r="E124" s="210"/>
      <c r="F124" s="748"/>
      <c r="G124" s="752"/>
      <c r="H124" s="748"/>
      <c r="I124" s="753"/>
      <c r="J124" s="753"/>
      <c r="K124" s="753"/>
      <c r="L124" s="201"/>
      <c r="M124" s="227"/>
      <c r="N124" s="227"/>
      <c r="O124" s="227"/>
      <c r="P124" s="227"/>
      <c r="Q124" s="227"/>
      <c r="R124" s="227"/>
      <c r="S124" s="227"/>
      <c r="T124" s="227"/>
      <c r="U124" s="227"/>
      <c r="V124" s="227"/>
    </row>
    <row r="125" spans="1:22" s="211" customFormat="1" ht="16.5" hidden="1">
      <c r="A125" s="227"/>
      <c r="B125" s="227"/>
      <c r="C125" s="227"/>
      <c r="D125" s="227"/>
      <c r="E125" s="210"/>
      <c r="F125" s="748"/>
      <c r="G125" s="752"/>
      <c r="H125" s="748"/>
      <c r="I125" s="753"/>
      <c r="J125" s="753"/>
      <c r="K125" s="753"/>
      <c r="L125" s="201"/>
      <c r="M125" s="227"/>
      <c r="N125" s="227"/>
      <c r="O125" s="227"/>
      <c r="P125" s="227"/>
      <c r="Q125" s="227"/>
      <c r="R125" s="227"/>
      <c r="S125" s="227"/>
      <c r="T125" s="227"/>
      <c r="U125" s="227"/>
      <c r="V125" s="227"/>
    </row>
    <row r="126" spans="1:22" s="211" customFormat="1" ht="16.5" hidden="1">
      <c r="A126" s="227"/>
      <c r="B126" s="227"/>
      <c r="C126" s="227"/>
      <c r="D126" s="227"/>
      <c r="E126" s="210"/>
      <c r="F126" s="748"/>
      <c r="G126" s="752"/>
      <c r="H126" s="748"/>
      <c r="I126" s="753"/>
      <c r="J126" s="753"/>
      <c r="K126" s="753"/>
      <c r="L126" s="201"/>
      <c r="M126" s="227"/>
      <c r="N126" s="227"/>
      <c r="O126" s="227"/>
      <c r="P126" s="227"/>
      <c r="Q126" s="227"/>
      <c r="R126" s="227"/>
      <c r="S126" s="227"/>
      <c r="T126" s="227"/>
      <c r="U126" s="227"/>
      <c r="V126" s="227"/>
    </row>
    <row r="127" spans="1:22" s="211" customFormat="1" ht="16.5" hidden="1">
      <c r="A127" s="227"/>
      <c r="B127" s="227"/>
      <c r="C127" s="227"/>
      <c r="D127" s="227"/>
      <c r="E127" s="210"/>
      <c r="F127" s="748"/>
      <c r="G127" s="752"/>
      <c r="H127" s="748"/>
      <c r="I127" s="753"/>
      <c r="J127" s="753"/>
      <c r="K127" s="753"/>
      <c r="L127" s="201"/>
      <c r="M127" s="227"/>
      <c r="N127" s="227"/>
      <c r="O127" s="227"/>
      <c r="P127" s="227"/>
      <c r="Q127" s="227"/>
      <c r="R127" s="227"/>
      <c r="S127" s="227"/>
      <c r="T127" s="227"/>
      <c r="U127" s="227"/>
      <c r="V127" s="227"/>
    </row>
    <row r="128" spans="1:22" s="211" customFormat="1" ht="16.5" hidden="1">
      <c r="A128" s="227"/>
      <c r="B128" s="227"/>
      <c r="C128" s="227"/>
      <c r="D128" s="227"/>
      <c r="E128" s="210"/>
      <c r="F128" s="748"/>
      <c r="G128" s="752"/>
      <c r="H128" s="748"/>
      <c r="I128" s="753"/>
      <c r="J128" s="753"/>
      <c r="K128" s="753"/>
      <c r="L128" s="201"/>
      <c r="M128" s="227"/>
      <c r="N128" s="227"/>
      <c r="O128" s="227"/>
      <c r="P128" s="227"/>
      <c r="Q128" s="227"/>
      <c r="R128" s="227"/>
      <c r="S128" s="227"/>
      <c r="T128" s="227"/>
      <c r="U128" s="227"/>
      <c r="V128" s="227"/>
    </row>
    <row r="129" spans="1:22" s="211" customFormat="1" ht="16.5" hidden="1">
      <c r="A129" s="227"/>
      <c r="B129" s="227"/>
      <c r="C129" s="227"/>
      <c r="D129" s="227"/>
      <c r="E129" s="210"/>
      <c r="F129" s="748"/>
      <c r="G129" s="752"/>
      <c r="H129" s="748"/>
      <c r="I129" s="753"/>
      <c r="J129" s="753"/>
      <c r="K129" s="753"/>
      <c r="L129" s="201"/>
      <c r="M129" s="227"/>
      <c r="N129" s="227"/>
      <c r="O129" s="227"/>
      <c r="P129" s="227"/>
      <c r="Q129" s="227"/>
      <c r="R129" s="227"/>
      <c r="S129" s="227"/>
      <c r="T129" s="227"/>
      <c r="U129" s="227"/>
      <c r="V129" s="227"/>
    </row>
    <row r="130" spans="1:22" s="211" customFormat="1" ht="16.5" hidden="1">
      <c r="A130" s="227"/>
      <c r="B130" s="227"/>
      <c r="C130" s="227"/>
      <c r="D130" s="227"/>
      <c r="E130" s="210"/>
      <c r="F130" s="748"/>
      <c r="G130" s="752"/>
      <c r="H130" s="748"/>
      <c r="I130" s="753"/>
      <c r="J130" s="753"/>
      <c r="K130" s="753"/>
      <c r="L130" s="201"/>
      <c r="M130" s="227"/>
      <c r="N130" s="227"/>
      <c r="O130" s="227"/>
      <c r="P130" s="227"/>
      <c r="Q130" s="227"/>
      <c r="R130" s="227"/>
      <c r="S130" s="227"/>
      <c r="T130" s="227"/>
      <c r="U130" s="227"/>
      <c r="V130" s="227"/>
    </row>
    <row r="131" spans="1:22" s="211" customFormat="1" ht="16.5" hidden="1">
      <c r="A131" s="227"/>
      <c r="B131" s="227"/>
      <c r="C131" s="227"/>
      <c r="D131" s="227"/>
      <c r="E131" s="210"/>
      <c r="F131" s="748"/>
      <c r="G131" s="752"/>
      <c r="H131" s="748"/>
      <c r="I131" s="753"/>
      <c r="J131" s="753"/>
      <c r="K131" s="753"/>
      <c r="L131" s="201"/>
      <c r="M131" s="227"/>
      <c r="N131" s="227"/>
      <c r="O131" s="227"/>
      <c r="P131" s="227"/>
      <c r="Q131" s="227"/>
      <c r="R131" s="227"/>
      <c r="S131" s="227"/>
      <c r="T131" s="227"/>
      <c r="U131" s="227"/>
      <c r="V131" s="227"/>
    </row>
    <row r="132" spans="1:22" s="211" customFormat="1" ht="16.5" hidden="1">
      <c r="A132" s="227"/>
      <c r="B132" s="227"/>
      <c r="C132" s="227"/>
      <c r="D132" s="227"/>
      <c r="E132" s="210"/>
      <c r="F132" s="748"/>
      <c r="G132" s="752"/>
      <c r="H132" s="748"/>
      <c r="I132" s="753"/>
      <c r="J132" s="753"/>
      <c r="K132" s="753"/>
      <c r="L132" s="201"/>
      <c r="M132" s="227"/>
      <c r="N132" s="227"/>
      <c r="O132" s="227"/>
      <c r="P132" s="227"/>
      <c r="Q132" s="227"/>
      <c r="R132" s="227"/>
      <c r="S132" s="227"/>
      <c r="T132" s="227"/>
      <c r="U132" s="227"/>
      <c r="V132" s="227"/>
    </row>
    <row r="133" spans="1:22" s="211" customFormat="1" ht="16.5" hidden="1">
      <c r="A133" s="227"/>
      <c r="B133" s="227"/>
      <c r="C133" s="227"/>
      <c r="D133" s="227"/>
      <c r="E133" s="210"/>
      <c r="F133" s="748"/>
      <c r="G133" s="752"/>
      <c r="H133" s="748"/>
      <c r="I133" s="753"/>
      <c r="J133" s="753"/>
      <c r="K133" s="753"/>
      <c r="L133" s="201"/>
      <c r="M133" s="227"/>
      <c r="N133" s="227"/>
      <c r="O133" s="227"/>
      <c r="P133" s="227"/>
      <c r="Q133" s="227"/>
      <c r="R133" s="227"/>
      <c r="S133" s="227"/>
      <c r="T133" s="227"/>
      <c r="U133" s="227"/>
      <c r="V133" s="227"/>
    </row>
    <row r="134" spans="1:22" s="211" customFormat="1" ht="16.5" hidden="1">
      <c r="A134" s="227"/>
      <c r="B134" s="227"/>
      <c r="C134" s="227"/>
      <c r="D134" s="227"/>
      <c r="E134" s="210"/>
      <c r="F134" s="748"/>
      <c r="G134" s="752"/>
      <c r="H134" s="748"/>
      <c r="I134" s="753"/>
      <c r="J134" s="753"/>
      <c r="K134" s="753"/>
      <c r="L134" s="201"/>
      <c r="M134" s="227"/>
      <c r="N134" s="227"/>
      <c r="O134" s="227"/>
      <c r="P134" s="227"/>
      <c r="Q134" s="227"/>
      <c r="R134" s="227"/>
      <c r="S134" s="227"/>
      <c r="T134" s="227"/>
      <c r="U134" s="227"/>
      <c r="V134" s="227"/>
    </row>
    <row r="135" spans="1:22" s="211" customFormat="1" ht="16.5" hidden="1">
      <c r="A135" s="227"/>
      <c r="B135" s="227"/>
      <c r="C135" s="227"/>
      <c r="D135" s="227"/>
      <c r="E135" s="210"/>
      <c r="F135" s="748"/>
      <c r="G135" s="752"/>
      <c r="H135" s="748"/>
      <c r="I135" s="753"/>
      <c r="J135" s="753"/>
      <c r="K135" s="753"/>
      <c r="L135" s="201"/>
      <c r="M135" s="227"/>
      <c r="N135" s="227"/>
      <c r="O135" s="227"/>
      <c r="P135" s="227"/>
      <c r="Q135" s="227"/>
      <c r="R135" s="227"/>
      <c r="S135" s="227"/>
      <c r="T135" s="227"/>
      <c r="U135" s="227"/>
      <c r="V135" s="227"/>
    </row>
    <row r="136" spans="1:22" s="211" customFormat="1" ht="16.5" hidden="1">
      <c r="A136" s="227"/>
      <c r="B136" s="227"/>
      <c r="C136" s="227"/>
      <c r="D136" s="227"/>
      <c r="E136" s="210"/>
      <c r="F136" s="748"/>
      <c r="G136" s="752"/>
      <c r="H136" s="748"/>
      <c r="I136" s="753"/>
      <c r="J136" s="753"/>
      <c r="K136" s="753"/>
      <c r="L136" s="201"/>
      <c r="M136" s="227"/>
      <c r="N136" s="227"/>
      <c r="O136" s="227"/>
      <c r="P136" s="227"/>
      <c r="Q136" s="227"/>
      <c r="R136" s="227"/>
      <c r="S136" s="227"/>
      <c r="T136" s="227"/>
      <c r="U136" s="227"/>
      <c r="V136" s="227"/>
    </row>
    <row r="137" spans="1:22" s="211" customFormat="1" ht="16.5" hidden="1">
      <c r="A137" s="227"/>
      <c r="B137" s="227"/>
      <c r="C137" s="227"/>
      <c r="D137" s="227"/>
      <c r="E137" s="210"/>
      <c r="F137" s="748"/>
      <c r="G137" s="752"/>
      <c r="H137" s="748"/>
      <c r="I137" s="753"/>
      <c r="J137" s="753"/>
      <c r="K137" s="753"/>
      <c r="L137" s="201"/>
      <c r="M137" s="227"/>
      <c r="N137" s="227"/>
      <c r="O137" s="227"/>
      <c r="P137" s="227"/>
      <c r="Q137" s="227"/>
      <c r="R137" s="227"/>
      <c r="S137" s="227"/>
      <c r="T137" s="227"/>
      <c r="U137" s="227"/>
      <c r="V137" s="227"/>
    </row>
    <row r="138" spans="1:22" s="211" customFormat="1" ht="16.5" hidden="1">
      <c r="A138" s="227"/>
      <c r="B138" s="227"/>
      <c r="C138" s="227"/>
      <c r="D138" s="227"/>
      <c r="E138" s="210"/>
      <c r="F138" s="748"/>
      <c r="G138" s="752"/>
      <c r="H138" s="748"/>
      <c r="I138" s="753"/>
      <c r="J138" s="753"/>
      <c r="K138" s="753"/>
      <c r="L138" s="201"/>
      <c r="M138" s="227"/>
      <c r="N138" s="227"/>
      <c r="O138" s="227"/>
      <c r="P138" s="227"/>
      <c r="Q138" s="227"/>
      <c r="R138" s="227"/>
      <c r="S138" s="227"/>
      <c r="T138" s="227"/>
      <c r="U138" s="227"/>
      <c r="V138" s="227"/>
    </row>
    <row r="139" spans="1:22" s="211" customFormat="1" ht="16.5" hidden="1">
      <c r="A139" s="227"/>
      <c r="B139" s="227"/>
      <c r="C139" s="227"/>
      <c r="D139" s="227"/>
      <c r="E139" s="210"/>
      <c r="F139" s="748"/>
      <c r="G139" s="752"/>
      <c r="H139" s="748"/>
      <c r="I139" s="753"/>
      <c r="J139" s="753"/>
      <c r="K139" s="753"/>
      <c r="L139" s="201"/>
      <c r="M139" s="227"/>
      <c r="N139" s="227"/>
      <c r="O139" s="227"/>
      <c r="P139" s="227"/>
      <c r="Q139" s="227"/>
      <c r="R139" s="227"/>
      <c r="S139" s="227"/>
      <c r="T139" s="227"/>
      <c r="U139" s="227"/>
      <c r="V139" s="227"/>
    </row>
    <row r="140" spans="1:22" s="211" customFormat="1" ht="16.5" hidden="1">
      <c r="A140" s="227"/>
      <c r="B140" s="227"/>
      <c r="C140" s="227"/>
      <c r="D140" s="227"/>
      <c r="E140" s="210"/>
      <c r="F140" s="748"/>
      <c r="G140" s="752"/>
      <c r="H140" s="748"/>
      <c r="I140" s="753"/>
      <c r="J140" s="753"/>
      <c r="K140" s="753"/>
      <c r="L140" s="201"/>
      <c r="M140" s="227"/>
      <c r="N140" s="227"/>
      <c r="O140" s="227"/>
      <c r="P140" s="227"/>
      <c r="Q140" s="227"/>
      <c r="R140" s="227"/>
      <c r="S140" s="227"/>
      <c r="T140" s="227"/>
      <c r="U140" s="227"/>
      <c r="V140" s="227"/>
    </row>
    <row r="141" spans="1:22" s="211" customFormat="1" ht="16.5" hidden="1">
      <c r="A141" s="227"/>
      <c r="B141" s="227"/>
      <c r="C141" s="227"/>
      <c r="D141" s="227"/>
      <c r="E141" s="210"/>
      <c r="F141" s="748"/>
      <c r="G141" s="752"/>
      <c r="H141" s="748"/>
      <c r="I141" s="753"/>
      <c r="J141" s="753"/>
      <c r="K141" s="753"/>
      <c r="L141" s="201"/>
      <c r="M141" s="227"/>
      <c r="N141" s="227"/>
      <c r="O141" s="227"/>
      <c r="P141" s="227"/>
      <c r="Q141" s="227"/>
      <c r="R141" s="227"/>
      <c r="S141" s="227"/>
      <c r="T141" s="227"/>
      <c r="U141" s="227"/>
      <c r="V141" s="227"/>
    </row>
    <row r="142" spans="1:22" s="211" customFormat="1" ht="16.5" hidden="1">
      <c r="A142" s="227"/>
      <c r="B142" s="227"/>
      <c r="C142" s="227"/>
      <c r="D142" s="227"/>
      <c r="E142" s="210"/>
      <c r="F142" s="748"/>
      <c r="G142" s="752"/>
      <c r="H142" s="748"/>
      <c r="I142" s="753"/>
      <c r="J142" s="753"/>
      <c r="K142" s="753"/>
      <c r="L142" s="201"/>
      <c r="M142" s="227"/>
      <c r="N142" s="227"/>
      <c r="O142" s="227"/>
      <c r="P142" s="227"/>
      <c r="Q142" s="227"/>
      <c r="R142" s="227"/>
      <c r="S142" s="227"/>
      <c r="T142" s="227"/>
      <c r="U142" s="227"/>
      <c r="V142" s="227"/>
    </row>
    <row r="143" spans="1:22" s="211" customFormat="1" ht="16.5" hidden="1">
      <c r="A143" s="227"/>
      <c r="B143" s="227"/>
      <c r="C143" s="227"/>
      <c r="D143" s="227"/>
      <c r="E143" s="210"/>
      <c r="F143" s="748"/>
      <c r="G143" s="752"/>
      <c r="H143" s="748"/>
      <c r="I143" s="753"/>
      <c r="J143" s="753"/>
      <c r="K143" s="753"/>
      <c r="L143" s="201"/>
      <c r="M143" s="227"/>
      <c r="N143" s="227"/>
      <c r="O143" s="227"/>
      <c r="P143" s="227"/>
      <c r="Q143" s="227"/>
      <c r="R143" s="227"/>
      <c r="S143" s="227"/>
      <c r="T143" s="227"/>
      <c r="U143" s="227"/>
      <c r="V143" s="227"/>
    </row>
    <row r="144" spans="1:22" s="211" customFormat="1" ht="16.5" hidden="1">
      <c r="A144" s="227"/>
      <c r="B144" s="227"/>
      <c r="C144" s="227"/>
      <c r="D144" s="227"/>
      <c r="E144" s="210"/>
      <c r="F144" s="748"/>
      <c r="G144" s="752"/>
      <c r="H144" s="748"/>
      <c r="I144" s="753"/>
      <c r="J144" s="753"/>
      <c r="K144" s="753"/>
      <c r="L144" s="201"/>
      <c r="M144" s="227"/>
      <c r="N144" s="227"/>
      <c r="O144" s="227"/>
      <c r="P144" s="227"/>
      <c r="Q144" s="227"/>
      <c r="R144" s="227"/>
      <c r="S144" s="227"/>
      <c r="T144" s="227"/>
      <c r="U144" s="227"/>
      <c r="V144" s="227"/>
    </row>
    <row r="145" spans="1:22" s="211" customFormat="1" ht="16.5" hidden="1">
      <c r="A145" s="227"/>
      <c r="B145" s="227"/>
      <c r="C145" s="227"/>
      <c r="D145" s="227"/>
      <c r="E145" s="210"/>
      <c r="F145" s="748"/>
      <c r="G145" s="752"/>
      <c r="H145" s="748"/>
      <c r="I145" s="753"/>
      <c r="J145" s="753"/>
      <c r="K145" s="753"/>
      <c r="L145" s="201"/>
      <c r="M145" s="227"/>
      <c r="N145" s="227"/>
      <c r="O145" s="227"/>
      <c r="P145" s="227"/>
      <c r="Q145" s="227"/>
      <c r="R145" s="227"/>
      <c r="S145" s="227"/>
      <c r="T145" s="227"/>
      <c r="U145" s="227"/>
      <c r="V145" s="227"/>
    </row>
    <row r="146" spans="1:22" s="211" customFormat="1" ht="16.5" hidden="1">
      <c r="A146" s="227"/>
      <c r="B146" s="227"/>
      <c r="C146" s="227"/>
      <c r="D146" s="227"/>
      <c r="E146" s="210"/>
      <c r="F146" s="748"/>
      <c r="G146" s="752"/>
      <c r="H146" s="748"/>
      <c r="I146" s="753"/>
      <c r="J146" s="753"/>
      <c r="K146" s="753"/>
      <c r="L146" s="201"/>
      <c r="M146" s="227"/>
      <c r="N146" s="227"/>
      <c r="O146" s="227"/>
      <c r="P146" s="227"/>
      <c r="Q146" s="227"/>
      <c r="R146" s="227"/>
      <c r="S146" s="227"/>
      <c r="T146" s="227"/>
      <c r="U146" s="227"/>
      <c r="V146" s="227"/>
    </row>
    <row r="147" spans="1:22" s="211" customFormat="1" ht="16.5" hidden="1">
      <c r="A147" s="227"/>
      <c r="B147" s="227"/>
      <c r="C147" s="227"/>
      <c r="D147" s="227"/>
      <c r="E147" s="210"/>
      <c r="F147" s="748"/>
      <c r="G147" s="752"/>
      <c r="H147" s="748"/>
      <c r="I147" s="753"/>
      <c r="J147" s="753"/>
      <c r="K147" s="753"/>
      <c r="L147" s="201"/>
      <c r="M147" s="227"/>
      <c r="N147" s="227"/>
      <c r="O147" s="227"/>
      <c r="P147" s="227"/>
      <c r="Q147" s="227"/>
      <c r="R147" s="227"/>
      <c r="S147" s="227"/>
      <c r="T147" s="227"/>
      <c r="U147" s="227"/>
      <c r="V147" s="227"/>
    </row>
    <row r="148" spans="1:22" s="211" customFormat="1" ht="16.5" hidden="1">
      <c r="A148" s="227"/>
      <c r="B148" s="227"/>
      <c r="C148" s="227"/>
      <c r="D148" s="227"/>
      <c r="E148" s="210"/>
      <c r="F148" s="748"/>
      <c r="G148" s="752"/>
      <c r="H148" s="748"/>
      <c r="I148" s="753"/>
      <c r="J148" s="753"/>
      <c r="K148" s="753"/>
      <c r="L148" s="201"/>
      <c r="M148" s="227"/>
      <c r="N148" s="227"/>
      <c r="O148" s="227"/>
      <c r="P148" s="227"/>
      <c r="Q148" s="227"/>
      <c r="R148" s="227"/>
      <c r="S148" s="227"/>
      <c r="T148" s="227"/>
      <c r="U148" s="227"/>
      <c r="V148" s="227"/>
    </row>
    <row r="149" spans="1:22" s="211" customFormat="1" ht="16.5" hidden="1">
      <c r="A149" s="227"/>
      <c r="B149" s="227"/>
      <c r="C149" s="227"/>
      <c r="D149" s="227"/>
      <c r="E149" s="210"/>
      <c r="F149" s="748"/>
      <c r="G149" s="752"/>
      <c r="H149" s="748"/>
      <c r="I149" s="753"/>
      <c r="J149" s="753"/>
      <c r="K149" s="753"/>
      <c r="L149" s="201"/>
      <c r="M149" s="227"/>
      <c r="N149" s="227"/>
      <c r="O149" s="227"/>
      <c r="P149" s="227"/>
      <c r="Q149" s="227"/>
      <c r="R149" s="227"/>
      <c r="S149" s="227"/>
      <c r="T149" s="227"/>
      <c r="U149" s="227"/>
      <c r="V149" s="227"/>
    </row>
    <row r="150" spans="1:22" s="211" customFormat="1" ht="16.5" hidden="1">
      <c r="A150" s="227"/>
      <c r="B150" s="227"/>
      <c r="C150" s="227"/>
      <c r="D150" s="227"/>
      <c r="E150" s="210"/>
      <c r="F150" s="748"/>
      <c r="G150" s="752"/>
      <c r="H150" s="748"/>
      <c r="I150" s="753"/>
      <c r="J150" s="753"/>
      <c r="K150" s="753"/>
      <c r="L150" s="201"/>
      <c r="M150" s="227"/>
      <c r="N150" s="227"/>
      <c r="O150" s="227"/>
      <c r="P150" s="227"/>
      <c r="Q150" s="227"/>
      <c r="R150" s="227"/>
      <c r="S150" s="227"/>
      <c r="T150" s="227"/>
      <c r="U150" s="227"/>
      <c r="V150" s="227"/>
    </row>
    <row r="151" spans="1:22" s="211" customFormat="1" ht="16.5" hidden="1">
      <c r="A151" s="227"/>
      <c r="B151" s="227"/>
      <c r="C151" s="227"/>
      <c r="D151" s="227"/>
      <c r="E151" s="210"/>
      <c r="F151" s="748"/>
      <c r="G151" s="752"/>
      <c r="H151" s="748"/>
      <c r="I151" s="753"/>
      <c r="J151" s="753"/>
      <c r="K151" s="753"/>
      <c r="L151" s="201"/>
      <c r="M151" s="227"/>
      <c r="N151" s="227"/>
      <c r="O151" s="227"/>
      <c r="P151" s="227"/>
      <c r="Q151" s="227"/>
      <c r="R151" s="227"/>
      <c r="S151" s="227"/>
      <c r="T151" s="227"/>
      <c r="U151" s="227"/>
      <c r="V151" s="227"/>
    </row>
    <row r="152" spans="1:22" s="211" customFormat="1" ht="16.5" hidden="1">
      <c r="A152" s="227"/>
      <c r="B152" s="227"/>
      <c r="C152" s="227"/>
      <c r="D152" s="227"/>
      <c r="E152" s="210"/>
      <c r="F152" s="748"/>
      <c r="G152" s="752"/>
      <c r="H152" s="748"/>
      <c r="I152" s="753"/>
      <c r="J152" s="753"/>
      <c r="K152" s="753"/>
      <c r="L152" s="201"/>
      <c r="M152" s="227"/>
      <c r="N152" s="227"/>
      <c r="O152" s="227"/>
      <c r="P152" s="227"/>
      <c r="Q152" s="227"/>
      <c r="R152" s="227"/>
      <c r="S152" s="227"/>
      <c r="T152" s="227"/>
      <c r="U152" s="227"/>
      <c r="V152" s="227"/>
    </row>
    <row r="153" spans="1:22" s="211" customFormat="1" ht="16.5" hidden="1">
      <c r="A153" s="227"/>
      <c r="B153" s="227"/>
      <c r="C153" s="227"/>
      <c r="D153" s="227"/>
      <c r="E153" s="210"/>
      <c r="F153" s="748"/>
      <c r="G153" s="752"/>
      <c r="H153" s="748"/>
      <c r="I153" s="753"/>
      <c r="J153" s="753"/>
      <c r="K153" s="753"/>
      <c r="L153" s="201"/>
      <c r="M153" s="227"/>
      <c r="N153" s="227"/>
      <c r="O153" s="227"/>
      <c r="P153" s="227"/>
      <c r="Q153" s="227"/>
      <c r="R153" s="227"/>
      <c r="S153" s="227"/>
      <c r="T153" s="227"/>
      <c r="U153" s="227"/>
      <c r="V153" s="227"/>
    </row>
    <row r="154" spans="1:22" s="211" customFormat="1" ht="16.5" hidden="1">
      <c r="A154" s="227"/>
      <c r="B154" s="227"/>
      <c r="C154" s="227"/>
      <c r="D154" s="227"/>
      <c r="E154" s="210"/>
      <c r="F154" s="748"/>
      <c r="G154" s="752"/>
      <c r="H154" s="748"/>
      <c r="I154" s="753"/>
      <c r="J154" s="753"/>
      <c r="K154" s="753"/>
      <c r="L154" s="201"/>
      <c r="M154" s="227"/>
      <c r="N154" s="227"/>
      <c r="O154" s="227"/>
      <c r="P154" s="227"/>
      <c r="Q154" s="227"/>
      <c r="R154" s="227"/>
      <c r="S154" s="227"/>
      <c r="T154" s="227"/>
      <c r="U154" s="227"/>
      <c r="V154" s="227"/>
    </row>
    <row r="155" spans="1:22" s="211" customFormat="1" ht="16.5" hidden="1">
      <c r="A155" s="227"/>
      <c r="B155" s="227"/>
      <c r="C155" s="227"/>
      <c r="D155" s="227"/>
      <c r="E155" s="210"/>
      <c r="F155" s="748"/>
      <c r="G155" s="752"/>
      <c r="H155" s="748"/>
      <c r="I155" s="753"/>
      <c r="J155" s="753"/>
      <c r="K155" s="753"/>
      <c r="L155" s="201"/>
      <c r="M155" s="227"/>
      <c r="N155" s="227"/>
      <c r="O155" s="227"/>
      <c r="P155" s="227"/>
      <c r="Q155" s="227"/>
      <c r="R155" s="227"/>
      <c r="S155" s="227"/>
      <c r="T155" s="227"/>
      <c r="U155" s="227"/>
      <c r="V155" s="227"/>
    </row>
    <row r="156" spans="1:22" s="211" customFormat="1" ht="16.5" hidden="1">
      <c r="A156" s="227"/>
      <c r="B156" s="227"/>
      <c r="C156" s="227"/>
      <c r="D156" s="227"/>
      <c r="E156" s="210"/>
      <c r="F156" s="748"/>
      <c r="G156" s="752"/>
      <c r="H156" s="748"/>
      <c r="I156" s="753"/>
      <c r="J156" s="753"/>
      <c r="K156" s="753"/>
      <c r="L156" s="201"/>
      <c r="M156" s="227"/>
      <c r="N156" s="227"/>
      <c r="O156" s="227"/>
      <c r="P156" s="227"/>
      <c r="Q156" s="227"/>
      <c r="R156" s="227"/>
      <c r="S156" s="227"/>
      <c r="T156" s="227"/>
      <c r="U156" s="227"/>
      <c r="V156" s="227"/>
    </row>
    <row r="157" spans="1:22" s="211" customFormat="1" ht="16.5" hidden="1">
      <c r="A157" s="227"/>
      <c r="B157" s="227"/>
      <c r="C157" s="227"/>
      <c r="D157" s="227"/>
      <c r="E157" s="210"/>
      <c r="F157" s="748"/>
      <c r="G157" s="752"/>
      <c r="H157" s="748"/>
      <c r="I157" s="753"/>
      <c r="J157" s="753"/>
      <c r="K157" s="753"/>
      <c r="L157" s="201"/>
      <c r="M157" s="227"/>
      <c r="N157" s="227"/>
      <c r="O157" s="227"/>
      <c r="P157" s="227"/>
      <c r="Q157" s="227"/>
      <c r="R157" s="227"/>
      <c r="S157" s="227"/>
      <c r="T157" s="227"/>
      <c r="U157" s="227"/>
      <c r="V157" s="227"/>
    </row>
    <row r="158" spans="1:22" s="211" customFormat="1" ht="16.5" hidden="1">
      <c r="A158" s="227"/>
      <c r="B158" s="227"/>
      <c r="C158" s="227"/>
      <c r="D158" s="227"/>
      <c r="E158" s="210"/>
      <c r="F158" s="748"/>
      <c r="G158" s="752"/>
      <c r="H158" s="748"/>
      <c r="I158" s="753"/>
      <c r="J158" s="753"/>
      <c r="K158" s="753"/>
      <c r="L158" s="201"/>
      <c r="M158" s="227"/>
      <c r="N158" s="227"/>
      <c r="O158" s="227"/>
      <c r="P158" s="227"/>
      <c r="Q158" s="227"/>
      <c r="R158" s="227"/>
      <c r="S158" s="227"/>
      <c r="T158" s="227"/>
      <c r="U158" s="227"/>
      <c r="V158" s="227"/>
    </row>
    <row r="159" spans="1:22" s="211" customFormat="1" ht="16.5" hidden="1">
      <c r="A159" s="227"/>
      <c r="B159" s="227"/>
      <c r="C159" s="227"/>
      <c r="D159" s="227"/>
      <c r="E159" s="210"/>
      <c r="F159" s="748"/>
      <c r="G159" s="752"/>
      <c r="H159" s="748"/>
      <c r="I159" s="753"/>
      <c r="J159" s="753"/>
      <c r="K159" s="753"/>
      <c r="L159" s="201"/>
      <c r="M159" s="227"/>
      <c r="N159" s="227"/>
      <c r="O159" s="227"/>
      <c r="P159" s="227"/>
      <c r="Q159" s="227"/>
      <c r="R159" s="227"/>
      <c r="S159" s="227"/>
      <c r="T159" s="227"/>
      <c r="U159" s="227"/>
      <c r="V159" s="227"/>
    </row>
    <row r="160" spans="1:22" s="211" customFormat="1" ht="16.5" hidden="1">
      <c r="A160" s="227"/>
      <c r="B160" s="227"/>
      <c r="C160" s="227"/>
      <c r="D160" s="227"/>
      <c r="E160" s="210"/>
      <c r="F160" s="748"/>
      <c r="G160" s="752"/>
      <c r="H160" s="748"/>
      <c r="I160" s="753"/>
      <c r="J160" s="753"/>
      <c r="K160" s="753"/>
      <c r="L160" s="201"/>
      <c r="M160" s="227"/>
      <c r="N160" s="227"/>
      <c r="O160" s="227"/>
      <c r="P160" s="227"/>
      <c r="Q160" s="227"/>
      <c r="R160" s="227"/>
      <c r="S160" s="227"/>
      <c r="T160" s="227"/>
      <c r="U160" s="227"/>
      <c r="V160" s="227"/>
    </row>
    <row r="161" spans="1:22" s="211" customFormat="1" ht="16.5" hidden="1">
      <c r="A161" s="227"/>
      <c r="B161" s="227"/>
      <c r="C161" s="227"/>
      <c r="D161" s="227"/>
      <c r="E161" s="210"/>
      <c r="F161" s="748"/>
      <c r="G161" s="752"/>
      <c r="H161" s="748"/>
      <c r="I161" s="753"/>
      <c r="J161" s="753"/>
      <c r="K161" s="753"/>
      <c r="L161" s="201"/>
      <c r="M161" s="227"/>
      <c r="N161" s="227"/>
      <c r="O161" s="227"/>
      <c r="P161" s="227"/>
      <c r="Q161" s="227"/>
      <c r="R161" s="227"/>
      <c r="S161" s="227"/>
      <c r="T161" s="227"/>
      <c r="U161" s="227"/>
      <c r="V161" s="227"/>
    </row>
    <row r="162" spans="1:22" s="211" customFormat="1" ht="16.5" hidden="1">
      <c r="A162" s="227"/>
      <c r="B162" s="227"/>
      <c r="C162" s="227"/>
      <c r="D162" s="227"/>
      <c r="E162" s="210"/>
      <c r="F162" s="748"/>
      <c r="G162" s="752"/>
      <c r="H162" s="748"/>
      <c r="I162" s="753"/>
      <c r="J162" s="753"/>
      <c r="K162" s="753"/>
      <c r="L162" s="201"/>
      <c r="M162" s="227"/>
      <c r="N162" s="227"/>
      <c r="O162" s="227"/>
      <c r="P162" s="227"/>
      <c r="Q162" s="227"/>
      <c r="R162" s="227"/>
      <c r="S162" s="227"/>
      <c r="T162" s="227"/>
      <c r="U162" s="227"/>
      <c r="V162" s="227"/>
    </row>
    <row r="163" spans="1:22" s="211" customFormat="1" ht="16.5" hidden="1">
      <c r="A163" s="227"/>
      <c r="B163" s="227"/>
      <c r="C163" s="227"/>
      <c r="D163" s="227"/>
      <c r="E163" s="210"/>
      <c r="F163" s="748"/>
      <c r="G163" s="752"/>
      <c r="H163" s="748"/>
      <c r="I163" s="753"/>
      <c r="J163" s="753"/>
      <c r="K163" s="753"/>
      <c r="L163" s="201"/>
      <c r="M163" s="227"/>
      <c r="N163" s="227"/>
      <c r="O163" s="227"/>
      <c r="P163" s="227"/>
      <c r="Q163" s="227"/>
      <c r="R163" s="227"/>
      <c r="S163" s="227"/>
      <c r="T163" s="227"/>
      <c r="U163" s="227"/>
      <c r="V163" s="227"/>
    </row>
    <row r="164" spans="1:22" s="211" customFormat="1" ht="16.5" hidden="1">
      <c r="A164" s="227"/>
      <c r="B164" s="227"/>
      <c r="C164" s="227"/>
      <c r="D164" s="227"/>
      <c r="E164" s="210"/>
      <c r="F164" s="748"/>
      <c r="G164" s="752"/>
      <c r="H164" s="748"/>
      <c r="I164" s="753"/>
      <c r="J164" s="753"/>
      <c r="K164" s="753"/>
      <c r="L164" s="201"/>
      <c r="M164" s="227"/>
      <c r="N164" s="227"/>
      <c r="O164" s="227"/>
      <c r="P164" s="227"/>
      <c r="Q164" s="227"/>
      <c r="R164" s="227"/>
      <c r="S164" s="227"/>
      <c r="T164" s="227"/>
      <c r="U164" s="227"/>
      <c r="V164" s="227"/>
    </row>
    <row r="165" spans="1:22" s="211" customFormat="1" ht="16.5" hidden="1">
      <c r="A165" s="227"/>
      <c r="B165" s="227"/>
      <c r="C165" s="227"/>
      <c r="D165" s="227"/>
      <c r="E165" s="210"/>
      <c r="F165" s="748"/>
      <c r="G165" s="752"/>
      <c r="H165" s="748"/>
      <c r="I165" s="753"/>
      <c r="J165" s="753"/>
      <c r="K165" s="753"/>
      <c r="L165" s="201"/>
      <c r="M165" s="227"/>
      <c r="N165" s="227"/>
      <c r="O165" s="227"/>
      <c r="P165" s="227"/>
      <c r="Q165" s="227"/>
      <c r="R165" s="227"/>
      <c r="S165" s="227"/>
      <c r="T165" s="227"/>
      <c r="U165" s="227"/>
      <c r="V165" s="227"/>
    </row>
    <row r="166" spans="1:22" s="211" customFormat="1" ht="16.5" hidden="1">
      <c r="A166" s="227"/>
      <c r="B166" s="227"/>
      <c r="C166" s="227"/>
      <c r="D166" s="227"/>
      <c r="E166" s="210"/>
      <c r="F166" s="748"/>
      <c r="G166" s="752"/>
      <c r="H166" s="748"/>
      <c r="I166" s="753"/>
      <c r="J166" s="753"/>
      <c r="K166" s="753"/>
      <c r="L166" s="201"/>
      <c r="M166" s="227"/>
      <c r="N166" s="227"/>
      <c r="O166" s="227"/>
      <c r="P166" s="227"/>
      <c r="Q166" s="227"/>
      <c r="R166" s="227"/>
      <c r="S166" s="227"/>
      <c r="T166" s="227"/>
      <c r="U166" s="227"/>
      <c r="V166" s="227"/>
    </row>
    <row r="167" spans="1:22" s="211" customFormat="1" ht="16.5" hidden="1">
      <c r="A167" s="227"/>
      <c r="B167" s="227"/>
      <c r="C167" s="227"/>
      <c r="D167" s="227"/>
      <c r="E167" s="210"/>
      <c r="F167" s="748"/>
      <c r="G167" s="752"/>
      <c r="H167" s="748"/>
      <c r="I167" s="753"/>
      <c r="J167" s="753"/>
      <c r="K167" s="753"/>
      <c r="L167" s="201"/>
      <c r="M167" s="227"/>
      <c r="N167" s="227"/>
      <c r="O167" s="227"/>
      <c r="P167" s="227"/>
      <c r="Q167" s="227"/>
      <c r="R167" s="227"/>
      <c r="S167" s="227"/>
      <c r="T167" s="227"/>
      <c r="U167" s="227"/>
      <c r="V167" s="227"/>
    </row>
    <row r="168" spans="1:22" s="211" customFormat="1" ht="16.5" hidden="1">
      <c r="A168" s="227"/>
      <c r="B168" s="227"/>
      <c r="C168" s="227"/>
      <c r="D168" s="227"/>
      <c r="E168" s="210"/>
      <c r="F168" s="748"/>
      <c r="G168" s="752"/>
      <c r="H168" s="748"/>
      <c r="I168" s="753"/>
      <c r="J168" s="753"/>
      <c r="K168" s="753"/>
      <c r="L168" s="201"/>
      <c r="M168" s="227"/>
      <c r="N168" s="227"/>
      <c r="O168" s="227"/>
      <c r="P168" s="227"/>
      <c r="Q168" s="227"/>
      <c r="R168" s="227"/>
      <c r="S168" s="227"/>
      <c r="T168" s="227"/>
      <c r="U168" s="227"/>
      <c r="V168" s="227"/>
    </row>
    <row r="169" spans="1:22" s="211" customFormat="1" ht="16.5" hidden="1">
      <c r="A169" s="227"/>
      <c r="B169" s="227"/>
      <c r="C169" s="227"/>
      <c r="D169" s="227"/>
      <c r="E169" s="210"/>
      <c r="F169" s="748"/>
      <c r="G169" s="752"/>
      <c r="H169" s="748"/>
      <c r="I169" s="753"/>
      <c r="J169" s="753"/>
      <c r="K169" s="753"/>
      <c r="L169" s="201"/>
      <c r="M169" s="227"/>
      <c r="N169" s="227"/>
      <c r="O169" s="227"/>
      <c r="P169" s="227"/>
      <c r="Q169" s="227"/>
      <c r="R169" s="227"/>
      <c r="S169" s="227"/>
      <c r="T169" s="227"/>
      <c r="U169" s="227"/>
      <c r="V169" s="227"/>
    </row>
    <row r="170" spans="1:22" s="211" customFormat="1" ht="16.5" hidden="1">
      <c r="A170" s="227"/>
      <c r="B170" s="227"/>
      <c r="C170" s="227"/>
      <c r="D170" s="227"/>
      <c r="E170" s="210"/>
      <c r="F170" s="748"/>
      <c r="G170" s="752"/>
      <c r="H170" s="748"/>
      <c r="I170" s="753"/>
      <c r="J170" s="753"/>
      <c r="K170" s="753"/>
      <c r="L170" s="201"/>
      <c r="M170" s="227"/>
      <c r="N170" s="227"/>
      <c r="O170" s="227"/>
      <c r="P170" s="227"/>
      <c r="Q170" s="227"/>
      <c r="R170" s="227"/>
      <c r="S170" s="227"/>
      <c r="T170" s="227"/>
      <c r="U170" s="227"/>
      <c r="V170" s="227"/>
    </row>
    <row r="171" spans="1:22" s="211" customFormat="1" ht="16.5" hidden="1">
      <c r="A171" s="227"/>
      <c r="B171" s="227"/>
      <c r="C171" s="227"/>
      <c r="D171" s="227"/>
      <c r="E171" s="210"/>
      <c r="F171" s="748"/>
      <c r="G171" s="752"/>
      <c r="H171" s="748"/>
      <c r="I171" s="753"/>
      <c r="J171" s="753"/>
      <c r="K171" s="753"/>
      <c r="L171" s="201"/>
      <c r="M171" s="227"/>
      <c r="N171" s="227"/>
      <c r="O171" s="227"/>
      <c r="P171" s="227"/>
      <c r="Q171" s="227"/>
      <c r="R171" s="227"/>
      <c r="S171" s="227"/>
      <c r="T171" s="227"/>
      <c r="U171" s="227"/>
      <c r="V171" s="227"/>
    </row>
    <row r="172" spans="1:22" s="211" customFormat="1" ht="16.5" hidden="1">
      <c r="A172" s="227"/>
      <c r="B172" s="227"/>
      <c r="C172" s="227"/>
      <c r="D172" s="227"/>
      <c r="E172" s="210"/>
      <c r="F172" s="748"/>
      <c r="G172" s="752"/>
      <c r="H172" s="748"/>
      <c r="I172" s="753"/>
      <c r="J172" s="753"/>
      <c r="K172" s="753"/>
      <c r="L172" s="201"/>
      <c r="M172" s="227"/>
      <c r="N172" s="227"/>
      <c r="O172" s="227"/>
      <c r="P172" s="227"/>
      <c r="Q172" s="227"/>
      <c r="R172" s="227"/>
      <c r="S172" s="227"/>
      <c r="T172" s="227"/>
      <c r="U172" s="227"/>
      <c r="V172" s="227"/>
    </row>
    <row r="173" spans="1:22" s="211" customFormat="1" ht="16.5" hidden="1">
      <c r="A173" s="227"/>
      <c r="B173" s="227"/>
      <c r="C173" s="227"/>
      <c r="D173" s="227"/>
      <c r="E173" s="210"/>
      <c r="F173" s="748"/>
      <c r="G173" s="752"/>
      <c r="H173" s="748"/>
      <c r="I173" s="753"/>
      <c r="J173" s="753"/>
      <c r="K173" s="753"/>
      <c r="L173" s="201"/>
      <c r="M173" s="227"/>
      <c r="N173" s="227"/>
      <c r="O173" s="227"/>
      <c r="P173" s="227"/>
      <c r="Q173" s="227"/>
      <c r="R173" s="227"/>
      <c r="S173" s="227"/>
      <c r="T173" s="227"/>
      <c r="U173" s="227"/>
      <c r="V173" s="227"/>
    </row>
    <row r="174" spans="1:22" s="211" customFormat="1" ht="16.5" hidden="1">
      <c r="A174" s="227"/>
      <c r="B174" s="227"/>
      <c r="C174" s="227"/>
      <c r="D174" s="227"/>
      <c r="E174" s="210"/>
      <c r="F174" s="748"/>
      <c r="G174" s="752"/>
      <c r="H174" s="748"/>
      <c r="I174" s="753"/>
      <c r="J174" s="753"/>
      <c r="K174" s="753"/>
      <c r="L174" s="201"/>
      <c r="M174" s="227"/>
      <c r="N174" s="227"/>
      <c r="O174" s="227"/>
      <c r="P174" s="227"/>
      <c r="Q174" s="227"/>
      <c r="R174" s="227"/>
      <c r="S174" s="227"/>
      <c r="T174" s="227"/>
      <c r="U174" s="227"/>
      <c r="V174" s="227"/>
    </row>
    <row r="175" spans="1:22" s="211" customFormat="1" ht="16.5" hidden="1">
      <c r="A175" s="227"/>
      <c r="B175" s="227"/>
      <c r="C175" s="227"/>
      <c r="D175" s="227"/>
      <c r="E175" s="210"/>
      <c r="F175" s="748"/>
      <c r="G175" s="752"/>
      <c r="H175" s="748"/>
      <c r="I175" s="753"/>
      <c r="J175" s="753"/>
      <c r="K175" s="753"/>
      <c r="L175" s="201"/>
      <c r="M175" s="227"/>
      <c r="N175" s="227"/>
      <c r="O175" s="227"/>
      <c r="P175" s="227"/>
      <c r="Q175" s="227"/>
      <c r="R175" s="227"/>
      <c r="S175" s="227"/>
      <c r="T175" s="227"/>
      <c r="U175" s="227"/>
      <c r="V175" s="227"/>
    </row>
    <row r="176" spans="1:22" s="211" customFormat="1" ht="16.5" hidden="1">
      <c r="A176" s="227"/>
      <c r="B176" s="227"/>
      <c r="C176" s="227"/>
      <c r="D176" s="227"/>
      <c r="E176" s="210"/>
      <c r="F176" s="748"/>
      <c r="G176" s="752"/>
      <c r="H176" s="748"/>
      <c r="I176" s="753"/>
      <c r="J176" s="753"/>
      <c r="K176" s="753"/>
      <c r="L176" s="201"/>
      <c r="M176" s="227"/>
      <c r="N176" s="227"/>
      <c r="O176" s="227"/>
      <c r="P176" s="227"/>
      <c r="Q176" s="227"/>
      <c r="R176" s="227"/>
      <c r="S176" s="227"/>
      <c r="T176" s="227"/>
      <c r="U176" s="227"/>
      <c r="V176" s="227"/>
    </row>
    <row r="177" spans="1:22" s="211" customFormat="1" ht="16.5" hidden="1">
      <c r="A177" s="227"/>
      <c r="B177" s="227"/>
      <c r="C177" s="227"/>
      <c r="D177" s="227"/>
      <c r="E177" s="210"/>
      <c r="F177" s="748"/>
      <c r="G177" s="752"/>
      <c r="H177" s="748"/>
      <c r="I177" s="753"/>
      <c r="J177" s="753"/>
      <c r="K177" s="753"/>
      <c r="L177" s="201"/>
      <c r="M177" s="227"/>
      <c r="N177" s="227"/>
      <c r="O177" s="227"/>
      <c r="P177" s="227"/>
      <c r="Q177" s="227"/>
      <c r="R177" s="227"/>
      <c r="S177" s="227"/>
      <c r="T177" s="227"/>
      <c r="U177" s="227"/>
      <c r="V177" s="227"/>
    </row>
    <row r="178" spans="1:22" s="211" customFormat="1" ht="16.5" hidden="1">
      <c r="A178" s="227"/>
      <c r="B178" s="227"/>
      <c r="C178" s="227"/>
      <c r="D178" s="227"/>
      <c r="E178" s="210"/>
      <c r="F178" s="748"/>
      <c r="G178" s="752"/>
      <c r="H178" s="748"/>
      <c r="I178" s="753"/>
      <c r="J178" s="753"/>
      <c r="K178" s="753"/>
      <c r="L178" s="201"/>
      <c r="M178" s="227"/>
      <c r="N178" s="227"/>
      <c r="O178" s="227"/>
      <c r="P178" s="227"/>
      <c r="Q178" s="227"/>
      <c r="R178" s="227"/>
      <c r="S178" s="227"/>
      <c r="T178" s="227"/>
      <c r="U178" s="227"/>
      <c r="V178" s="227"/>
    </row>
    <row r="179" spans="1:22" s="211" customFormat="1" ht="16.5" hidden="1">
      <c r="A179" s="227"/>
      <c r="B179" s="227"/>
      <c r="C179" s="227"/>
      <c r="D179" s="227"/>
      <c r="E179" s="210"/>
      <c r="F179" s="748"/>
      <c r="G179" s="752"/>
      <c r="H179" s="748"/>
      <c r="I179" s="753"/>
      <c r="J179" s="753"/>
      <c r="K179" s="753"/>
      <c r="L179" s="201"/>
      <c r="M179" s="227"/>
      <c r="N179" s="227"/>
      <c r="O179" s="227"/>
      <c r="P179" s="227"/>
      <c r="Q179" s="227"/>
      <c r="R179" s="227"/>
      <c r="S179" s="227"/>
      <c r="T179" s="227"/>
      <c r="U179" s="227"/>
      <c r="V179" s="227"/>
    </row>
    <row r="180" spans="1:22" s="211" customFormat="1" ht="16.5" hidden="1">
      <c r="A180" s="227"/>
      <c r="B180" s="227"/>
      <c r="C180" s="227"/>
      <c r="D180" s="227"/>
      <c r="E180" s="210"/>
      <c r="F180" s="748"/>
      <c r="G180" s="752"/>
      <c r="H180" s="748"/>
      <c r="I180" s="753"/>
      <c r="J180" s="753"/>
      <c r="K180" s="753"/>
      <c r="L180" s="201"/>
      <c r="M180" s="227"/>
      <c r="N180" s="227"/>
      <c r="O180" s="227"/>
      <c r="P180" s="227"/>
      <c r="Q180" s="227"/>
      <c r="R180" s="227"/>
      <c r="S180" s="227"/>
      <c r="T180" s="227"/>
      <c r="U180" s="227"/>
      <c r="V180" s="227"/>
    </row>
    <row r="181" spans="1:22" s="211" customFormat="1" ht="16.5" hidden="1">
      <c r="A181" s="227"/>
      <c r="B181" s="227"/>
      <c r="C181" s="227"/>
      <c r="D181" s="227"/>
      <c r="E181" s="210"/>
      <c r="F181" s="748"/>
      <c r="G181" s="752"/>
      <c r="H181" s="748"/>
      <c r="I181" s="753"/>
      <c r="J181" s="753"/>
      <c r="K181" s="753"/>
      <c r="L181" s="201"/>
      <c r="M181" s="227"/>
      <c r="N181" s="227"/>
      <c r="O181" s="227"/>
      <c r="P181" s="227"/>
      <c r="Q181" s="227"/>
      <c r="R181" s="227"/>
      <c r="S181" s="227"/>
      <c r="T181" s="227"/>
      <c r="U181" s="227"/>
      <c r="V181" s="227"/>
    </row>
    <row r="182" spans="1:22" s="211" customFormat="1" ht="16.5" hidden="1">
      <c r="A182" s="227"/>
      <c r="B182" s="227"/>
      <c r="C182" s="227"/>
      <c r="D182" s="227"/>
      <c r="E182" s="210"/>
      <c r="F182" s="748"/>
      <c r="G182" s="752"/>
      <c r="H182" s="748"/>
      <c r="I182" s="753"/>
      <c r="J182" s="753"/>
      <c r="K182" s="753"/>
      <c r="L182" s="201"/>
      <c r="M182" s="227"/>
      <c r="N182" s="227"/>
      <c r="O182" s="227"/>
      <c r="P182" s="227"/>
      <c r="Q182" s="227"/>
      <c r="R182" s="227"/>
      <c r="S182" s="227"/>
      <c r="T182" s="227"/>
      <c r="U182" s="227"/>
      <c r="V182" s="227"/>
    </row>
    <row r="183" spans="1:22" s="211" customFormat="1" ht="16.5" hidden="1">
      <c r="A183" s="227"/>
      <c r="B183" s="227"/>
      <c r="C183" s="227"/>
      <c r="D183" s="227"/>
      <c r="E183" s="210"/>
      <c r="F183" s="748"/>
      <c r="G183" s="752"/>
      <c r="H183" s="748"/>
      <c r="I183" s="753"/>
      <c r="J183" s="753"/>
      <c r="K183" s="753"/>
      <c r="L183" s="201"/>
      <c r="M183" s="227"/>
      <c r="N183" s="227"/>
      <c r="O183" s="227"/>
      <c r="P183" s="227"/>
      <c r="Q183" s="227"/>
      <c r="R183" s="227"/>
      <c r="S183" s="227"/>
      <c r="T183" s="227"/>
      <c r="U183" s="227"/>
      <c r="V183" s="227"/>
    </row>
    <row r="184" spans="1:22" s="211" customFormat="1" ht="16.5" hidden="1">
      <c r="A184" s="227"/>
      <c r="B184" s="227"/>
      <c r="C184" s="227"/>
      <c r="D184" s="227"/>
      <c r="E184" s="210"/>
      <c r="F184" s="748"/>
      <c r="G184" s="752"/>
      <c r="H184" s="748"/>
      <c r="I184" s="753"/>
      <c r="J184" s="753"/>
      <c r="K184" s="753"/>
      <c r="L184" s="201"/>
      <c r="M184" s="227"/>
      <c r="N184" s="227"/>
      <c r="O184" s="227"/>
      <c r="P184" s="227"/>
      <c r="Q184" s="227"/>
      <c r="R184" s="227"/>
      <c r="S184" s="227"/>
      <c r="T184" s="227"/>
      <c r="U184" s="227"/>
      <c r="V184" s="227"/>
    </row>
    <row r="185" spans="1:22" s="211" customFormat="1" ht="16.5" hidden="1">
      <c r="A185" s="227"/>
      <c r="B185" s="227"/>
      <c r="C185" s="227"/>
      <c r="D185" s="227"/>
      <c r="E185" s="210"/>
      <c r="F185" s="748"/>
      <c r="G185" s="752"/>
      <c r="H185" s="748"/>
      <c r="I185" s="753"/>
      <c r="J185" s="753"/>
      <c r="K185" s="753"/>
      <c r="L185" s="201"/>
      <c r="M185" s="227"/>
      <c r="N185" s="227"/>
      <c r="O185" s="227"/>
      <c r="P185" s="227"/>
      <c r="Q185" s="227"/>
      <c r="R185" s="227"/>
      <c r="S185" s="227"/>
      <c r="T185" s="227"/>
      <c r="U185" s="227"/>
      <c r="V185" s="227"/>
    </row>
    <row r="186" spans="1:22" s="211" customFormat="1" ht="16.5" hidden="1">
      <c r="A186" s="227"/>
      <c r="B186" s="227"/>
      <c r="C186" s="227"/>
      <c r="D186" s="227"/>
      <c r="E186" s="210"/>
      <c r="F186" s="748"/>
      <c r="G186" s="752"/>
      <c r="H186" s="748"/>
      <c r="I186" s="753"/>
      <c r="J186" s="753"/>
      <c r="K186" s="753"/>
      <c r="L186" s="201"/>
      <c r="M186" s="227"/>
      <c r="N186" s="227"/>
      <c r="O186" s="227"/>
      <c r="P186" s="227"/>
      <c r="Q186" s="227"/>
      <c r="R186" s="227"/>
      <c r="S186" s="227"/>
      <c r="T186" s="227"/>
      <c r="U186" s="227"/>
      <c r="V186" s="227"/>
    </row>
    <row r="187" spans="1:22" s="211" customFormat="1" ht="16.5" hidden="1">
      <c r="A187" s="227"/>
      <c r="B187" s="227"/>
      <c r="C187" s="227"/>
      <c r="D187" s="227"/>
      <c r="E187" s="210"/>
      <c r="F187" s="748"/>
      <c r="G187" s="752"/>
      <c r="H187" s="748"/>
      <c r="I187" s="753"/>
      <c r="J187" s="753"/>
      <c r="K187" s="753"/>
      <c r="L187" s="201"/>
      <c r="M187" s="227"/>
      <c r="N187" s="227"/>
      <c r="O187" s="227"/>
      <c r="P187" s="227"/>
      <c r="Q187" s="227"/>
      <c r="R187" s="227"/>
      <c r="S187" s="227"/>
      <c r="T187" s="227"/>
      <c r="U187" s="227"/>
      <c r="V187" s="227"/>
    </row>
    <row r="188" spans="1:22" s="211" customFormat="1" ht="16.5" hidden="1">
      <c r="A188" s="227"/>
      <c r="B188" s="227"/>
      <c r="C188" s="227"/>
      <c r="D188" s="227"/>
      <c r="E188" s="210"/>
      <c r="F188" s="748"/>
      <c r="G188" s="752"/>
      <c r="H188" s="748"/>
      <c r="I188" s="753"/>
      <c r="J188" s="753"/>
      <c r="K188" s="753"/>
      <c r="L188" s="201"/>
      <c r="M188" s="227"/>
      <c r="N188" s="227"/>
      <c r="O188" s="227"/>
      <c r="P188" s="227"/>
      <c r="Q188" s="227"/>
      <c r="R188" s="227"/>
      <c r="S188" s="227"/>
      <c r="T188" s="227"/>
      <c r="U188" s="227"/>
      <c r="V188" s="227"/>
    </row>
    <row r="189" spans="1:22" s="211" customFormat="1" ht="16.5" hidden="1">
      <c r="A189" s="227"/>
      <c r="B189" s="227"/>
      <c r="C189" s="227"/>
      <c r="D189" s="227"/>
      <c r="E189" s="210"/>
      <c r="F189" s="748"/>
      <c r="G189" s="752"/>
      <c r="H189" s="748"/>
      <c r="I189" s="753"/>
      <c r="J189" s="753"/>
      <c r="K189" s="753"/>
      <c r="L189" s="201"/>
      <c r="M189" s="227"/>
      <c r="N189" s="227"/>
      <c r="O189" s="227"/>
      <c r="P189" s="227"/>
      <c r="Q189" s="227"/>
      <c r="R189" s="227"/>
      <c r="S189" s="227"/>
      <c r="T189" s="227"/>
      <c r="U189" s="227"/>
      <c r="V189" s="227"/>
    </row>
    <row r="190" spans="1:22" s="211" customFormat="1" ht="16.5" hidden="1">
      <c r="A190" s="227"/>
      <c r="B190" s="227"/>
      <c r="C190" s="227"/>
      <c r="D190" s="227"/>
      <c r="E190" s="210"/>
      <c r="F190" s="748"/>
      <c r="G190" s="752"/>
      <c r="H190" s="748"/>
      <c r="I190" s="753"/>
      <c r="J190" s="753"/>
      <c r="K190" s="753"/>
      <c r="L190" s="201"/>
      <c r="M190" s="227"/>
      <c r="N190" s="227"/>
      <c r="O190" s="227"/>
      <c r="P190" s="227"/>
      <c r="Q190" s="227"/>
      <c r="R190" s="227"/>
      <c r="S190" s="227"/>
      <c r="T190" s="227"/>
      <c r="U190" s="227"/>
      <c r="V190" s="227"/>
    </row>
    <row r="191" spans="1:22" s="211" customFormat="1" ht="16.5" hidden="1">
      <c r="A191" s="227"/>
      <c r="B191" s="227"/>
      <c r="C191" s="227"/>
      <c r="D191" s="227"/>
      <c r="E191" s="210"/>
      <c r="F191" s="748"/>
      <c r="G191" s="752"/>
      <c r="H191" s="748"/>
      <c r="I191" s="753"/>
      <c r="J191" s="753"/>
      <c r="K191" s="753"/>
      <c r="L191" s="201"/>
      <c r="M191" s="227"/>
      <c r="N191" s="227"/>
      <c r="O191" s="227"/>
      <c r="P191" s="227"/>
      <c r="Q191" s="227"/>
      <c r="R191" s="227"/>
      <c r="S191" s="227"/>
      <c r="T191" s="227"/>
      <c r="U191" s="227"/>
      <c r="V191" s="227"/>
    </row>
    <row r="192" spans="1:22" s="211" customFormat="1" ht="16.5" hidden="1">
      <c r="A192" s="227"/>
      <c r="B192" s="227"/>
      <c r="C192" s="227"/>
      <c r="D192" s="227"/>
      <c r="E192" s="210"/>
      <c r="F192" s="748"/>
      <c r="G192" s="752"/>
      <c r="H192" s="748"/>
      <c r="I192" s="753"/>
      <c r="J192" s="753"/>
      <c r="K192" s="753"/>
      <c r="L192" s="201"/>
      <c r="M192" s="227"/>
      <c r="N192" s="227"/>
      <c r="O192" s="227"/>
      <c r="P192" s="227"/>
      <c r="Q192" s="227"/>
      <c r="R192" s="227"/>
      <c r="S192" s="227"/>
      <c r="T192" s="227"/>
      <c r="U192" s="227"/>
      <c r="V192" s="227"/>
    </row>
    <row r="193" spans="1:22" s="211" customFormat="1" ht="16.5" hidden="1">
      <c r="A193" s="227"/>
      <c r="B193" s="227"/>
      <c r="C193" s="227"/>
      <c r="D193" s="227"/>
      <c r="E193" s="210"/>
      <c r="F193" s="748"/>
      <c r="G193" s="752"/>
      <c r="H193" s="748"/>
      <c r="I193" s="753"/>
      <c r="J193" s="753"/>
      <c r="K193" s="753"/>
      <c r="L193" s="201"/>
      <c r="M193" s="227"/>
      <c r="N193" s="227"/>
      <c r="O193" s="227"/>
      <c r="P193" s="227"/>
      <c r="Q193" s="227"/>
      <c r="R193" s="227"/>
      <c r="S193" s="227"/>
      <c r="T193" s="227"/>
      <c r="U193" s="227"/>
      <c r="V193" s="227"/>
    </row>
    <row r="194" spans="1:22" s="211" customFormat="1" ht="16.5" hidden="1">
      <c r="A194" s="227"/>
      <c r="B194" s="227"/>
      <c r="C194" s="227"/>
      <c r="D194" s="227"/>
      <c r="E194" s="210"/>
      <c r="F194" s="748"/>
      <c r="G194" s="752"/>
      <c r="H194" s="748"/>
      <c r="I194" s="753"/>
      <c r="J194" s="753"/>
      <c r="K194" s="753"/>
      <c r="L194" s="201"/>
      <c r="M194" s="227"/>
      <c r="N194" s="227"/>
      <c r="O194" s="227"/>
      <c r="P194" s="227"/>
      <c r="Q194" s="227"/>
      <c r="R194" s="227"/>
      <c r="S194" s="227"/>
      <c r="T194" s="227"/>
      <c r="U194" s="227"/>
      <c r="V194" s="227"/>
    </row>
    <row r="195" spans="1:22" s="211" customFormat="1" ht="16.5" hidden="1">
      <c r="A195" s="227"/>
      <c r="B195" s="227"/>
      <c r="C195" s="227"/>
      <c r="D195" s="227"/>
      <c r="E195" s="210"/>
      <c r="F195" s="748"/>
      <c r="G195" s="752"/>
      <c r="H195" s="748"/>
      <c r="I195" s="753"/>
      <c r="J195" s="753"/>
      <c r="K195" s="753"/>
      <c r="L195" s="201"/>
      <c r="M195" s="227"/>
      <c r="N195" s="227"/>
      <c r="O195" s="227"/>
      <c r="P195" s="227"/>
      <c r="Q195" s="227"/>
      <c r="R195" s="227"/>
      <c r="S195" s="227"/>
      <c r="T195" s="227"/>
      <c r="U195" s="227"/>
      <c r="V195" s="227"/>
    </row>
    <row r="196" spans="1:22" s="211" customFormat="1" ht="16.5" hidden="1">
      <c r="A196" s="227"/>
      <c r="B196" s="227"/>
      <c r="C196" s="227"/>
      <c r="D196" s="227"/>
      <c r="E196" s="210"/>
      <c r="F196" s="748"/>
      <c r="G196" s="752"/>
      <c r="H196" s="748"/>
      <c r="I196" s="753"/>
      <c r="J196" s="753"/>
      <c r="K196" s="753"/>
      <c r="L196" s="201"/>
      <c r="M196" s="227"/>
      <c r="N196" s="227"/>
      <c r="O196" s="227"/>
      <c r="P196" s="227"/>
      <c r="Q196" s="227"/>
      <c r="R196" s="227"/>
      <c r="S196" s="227"/>
      <c r="T196" s="227"/>
      <c r="U196" s="227"/>
      <c r="V196" s="227"/>
    </row>
    <row r="197" spans="1:22" s="211" customFormat="1" ht="16.5" hidden="1">
      <c r="A197" s="227"/>
      <c r="B197" s="227"/>
      <c r="C197" s="227"/>
      <c r="D197" s="227"/>
      <c r="E197" s="210"/>
      <c r="F197" s="748"/>
      <c r="G197" s="752"/>
      <c r="H197" s="748"/>
      <c r="I197" s="753"/>
      <c r="J197" s="753"/>
      <c r="K197" s="753"/>
      <c r="L197" s="201"/>
      <c r="M197" s="227"/>
      <c r="N197" s="227"/>
      <c r="O197" s="227"/>
      <c r="P197" s="227"/>
      <c r="Q197" s="227"/>
      <c r="R197" s="227"/>
      <c r="S197" s="227"/>
      <c r="T197" s="227"/>
      <c r="U197" s="227"/>
      <c r="V197" s="227"/>
    </row>
    <row r="198" spans="1:22" s="211" customFormat="1" ht="16.5" hidden="1">
      <c r="A198" s="227"/>
      <c r="B198" s="227"/>
      <c r="C198" s="227"/>
      <c r="D198" s="227"/>
      <c r="E198" s="210"/>
      <c r="F198" s="748"/>
      <c r="G198" s="752"/>
      <c r="H198" s="748"/>
      <c r="I198" s="753"/>
      <c r="J198" s="753"/>
      <c r="K198" s="753"/>
      <c r="L198" s="201"/>
      <c r="M198" s="227"/>
      <c r="N198" s="227"/>
      <c r="O198" s="227"/>
      <c r="P198" s="227"/>
      <c r="Q198" s="227"/>
      <c r="R198" s="227"/>
      <c r="S198" s="227"/>
      <c r="T198" s="227"/>
      <c r="U198" s="227"/>
      <c r="V198" s="227"/>
    </row>
    <row r="199" spans="1:22" s="211" customFormat="1" ht="16.5" hidden="1">
      <c r="A199" s="227"/>
      <c r="B199" s="227"/>
      <c r="C199" s="227"/>
      <c r="D199" s="227"/>
      <c r="E199" s="210"/>
      <c r="F199" s="748"/>
      <c r="G199" s="752"/>
      <c r="H199" s="748"/>
      <c r="I199" s="753"/>
      <c r="J199" s="753"/>
      <c r="K199" s="753"/>
      <c r="L199" s="201"/>
      <c r="M199" s="227"/>
      <c r="N199" s="227"/>
      <c r="O199" s="227"/>
      <c r="P199" s="227"/>
      <c r="Q199" s="227"/>
      <c r="R199" s="227"/>
      <c r="S199" s="227"/>
      <c r="T199" s="227"/>
      <c r="U199" s="227"/>
      <c r="V199" s="227"/>
    </row>
    <row r="200" spans="1:22" s="211" customFormat="1" ht="16.5" hidden="1">
      <c r="A200" s="227"/>
      <c r="B200" s="227"/>
      <c r="C200" s="227"/>
      <c r="D200" s="227"/>
      <c r="E200" s="210"/>
      <c r="F200" s="748"/>
      <c r="G200" s="752"/>
      <c r="H200" s="748"/>
      <c r="I200" s="753"/>
      <c r="J200" s="753"/>
      <c r="K200" s="753"/>
      <c r="L200" s="201"/>
      <c r="M200" s="227"/>
      <c r="N200" s="227"/>
      <c r="O200" s="227"/>
      <c r="P200" s="227"/>
      <c r="Q200" s="227"/>
      <c r="R200" s="227"/>
      <c r="S200" s="227"/>
      <c r="T200" s="227"/>
      <c r="U200" s="227"/>
      <c r="V200" s="227"/>
    </row>
    <row r="201" spans="1:22" s="211" customFormat="1" ht="16.5" hidden="1">
      <c r="A201" s="227"/>
      <c r="B201" s="227"/>
      <c r="C201" s="227"/>
      <c r="D201" s="227"/>
      <c r="E201" s="210"/>
      <c r="F201" s="748"/>
      <c r="G201" s="752"/>
      <c r="H201" s="748"/>
      <c r="I201" s="753"/>
      <c r="J201" s="753"/>
      <c r="K201" s="753"/>
      <c r="L201" s="201"/>
      <c r="M201" s="227"/>
      <c r="N201" s="227"/>
      <c r="O201" s="227"/>
      <c r="P201" s="227"/>
      <c r="Q201" s="227"/>
      <c r="R201" s="227"/>
      <c r="S201" s="227"/>
      <c r="T201" s="227"/>
      <c r="U201" s="227"/>
      <c r="V201" s="227"/>
    </row>
    <row r="202" spans="1:22" s="211" customFormat="1" ht="16.5" hidden="1">
      <c r="A202" s="227"/>
      <c r="B202" s="227"/>
      <c r="C202" s="227"/>
      <c r="D202" s="227"/>
      <c r="E202" s="210"/>
      <c r="F202" s="748"/>
      <c r="G202" s="752"/>
      <c r="H202" s="748"/>
      <c r="I202" s="753"/>
      <c r="J202" s="753"/>
      <c r="K202" s="753"/>
      <c r="L202" s="201"/>
      <c r="M202" s="227"/>
      <c r="N202" s="227"/>
      <c r="O202" s="227"/>
      <c r="P202" s="227"/>
      <c r="Q202" s="227"/>
      <c r="R202" s="227"/>
      <c r="S202" s="227"/>
      <c r="T202" s="227"/>
      <c r="U202" s="227"/>
      <c r="V202" s="227"/>
    </row>
    <row r="203" spans="1:22" s="211" customFormat="1" ht="16.5" hidden="1">
      <c r="A203" s="227"/>
      <c r="B203" s="227"/>
      <c r="C203" s="227"/>
      <c r="D203" s="227"/>
      <c r="E203" s="210"/>
      <c r="F203" s="748"/>
      <c r="G203" s="752"/>
      <c r="H203" s="748"/>
      <c r="I203" s="753"/>
      <c r="J203" s="753"/>
      <c r="K203" s="753"/>
      <c r="L203" s="201"/>
      <c r="M203" s="227"/>
      <c r="N203" s="227"/>
      <c r="O203" s="227"/>
      <c r="P203" s="227"/>
      <c r="Q203" s="227"/>
      <c r="R203" s="227"/>
      <c r="S203" s="227"/>
      <c r="T203" s="227"/>
      <c r="U203" s="227"/>
      <c r="V203" s="227"/>
    </row>
    <row r="204" spans="1:22" s="211" customFormat="1" ht="16.5" hidden="1">
      <c r="A204" s="227"/>
      <c r="B204" s="227"/>
      <c r="C204" s="227"/>
      <c r="D204" s="227"/>
      <c r="E204" s="210"/>
      <c r="F204" s="748"/>
      <c r="G204" s="752"/>
      <c r="H204" s="748"/>
      <c r="I204" s="753"/>
      <c r="J204" s="753"/>
      <c r="K204" s="753"/>
      <c r="L204" s="201"/>
      <c r="M204" s="227"/>
      <c r="N204" s="227"/>
      <c r="O204" s="227"/>
      <c r="P204" s="227"/>
      <c r="Q204" s="227"/>
      <c r="R204" s="227"/>
      <c r="S204" s="227"/>
      <c r="T204" s="227"/>
      <c r="U204" s="227"/>
      <c r="V204" s="227"/>
    </row>
    <row r="205" spans="1:22" s="211" customFormat="1" ht="16.5" hidden="1">
      <c r="A205" s="227"/>
      <c r="B205" s="227"/>
      <c r="C205" s="227"/>
      <c r="D205" s="227"/>
      <c r="E205" s="210"/>
      <c r="F205" s="748"/>
      <c r="G205" s="752"/>
      <c r="H205" s="748"/>
      <c r="I205" s="753"/>
      <c r="J205" s="753"/>
      <c r="K205" s="753"/>
      <c r="L205" s="201"/>
      <c r="M205" s="227"/>
      <c r="N205" s="227"/>
      <c r="O205" s="227"/>
      <c r="P205" s="227"/>
      <c r="Q205" s="227"/>
      <c r="R205" s="227"/>
      <c r="S205" s="227"/>
      <c r="T205" s="227"/>
      <c r="U205" s="227"/>
      <c r="V205" s="227"/>
    </row>
    <row r="206" spans="1:22" s="211" customFormat="1" ht="16.5" hidden="1">
      <c r="A206" s="227"/>
      <c r="B206" s="227"/>
      <c r="C206" s="227"/>
      <c r="D206" s="227"/>
      <c r="E206" s="210"/>
      <c r="F206" s="748"/>
      <c r="G206" s="752"/>
      <c r="H206" s="748"/>
      <c r="I206" s="753"/>
      <c r="J206" s="753"/>
      <c r="K206" s="753"/>
      <c r="L206" s="201"/>
      <c r="M206" s="227"/>
      <c r="N206" s="227"/>
      <c r="O206" s="227"/>
      <c r="P206" s="227"/>
      <c r="Q206" s="227"/>
      <c r="R206" s="227"/>
      <c r="S206" s="227"/>
      <c r="T206" s="227"/>
      <c r="U206" s="227"/>
      <c r="V206" s="227"/>
    </row>
    <row r="207" spans="1:22" s="211" customFormat="1" ht="16.5" hidden="1">
      <c r="A207" s="227"/>
      <c r="B207" s="227"/>
      <c r="C207" s="227"/>
      <c r="D207" s="227"/>
      <c r="E207" s="210"/>
      <c r="F207" s="748"/>
      <c r="G207" s="752"/>
      <c r="H207" s="748"/>
      <c r="I207" s="753"/>
      <c r="J207" s="753"/>
      <c r="K207" s="753"/>
      <c r="L207" s="201"/>
      <c r="M207" s="227"/>
      <c r="N207" s="227"/>
      <c r="O207" s="227"/>
      <c r="P207" s="227"/>
      <c r="Q207" s="227"/>
      <c r="R207" s="227"/>
      <c r="S207" s="227"/>
      <c r="T207" s="227"/>
      <c r="U207" s="227"/>
      <c r="V207" s="227"/>
    </row>
    <row r="208" spans="1:22" s="211" customFormat="1" ht="16.5" hidden="1">
      <c r="A208" s="227"/>
      <c r="B208" s="227"/>
      <c r="C208" s="227"/>
      <c r="D208" s="227"/>
      <c r="E208" s="210"/>
      <c r="F208" s="748"/>
      <c r="G208" s="752"/>
      <c r="H208" s="748"/>
      <c r="I208" s="753"/>
      <c r="J208" s="753"/>
      <c r="K208" s="753"/>
      <c r="L208" s="201"/>
      <c r="M208" s="227"/>
      <c r="N208" s="227"/>
      <c r="O208" s="227"/>
      <c r="P208" s="227"/>
      <c r="Q208" s="227"/>
      <c r="R208" s="227"/>
      <c r="S208" s="227"/>
      <c r="T208" s="227"/>
      <c r="U208" s="227"/>
      <c r="V208" s="227"/>
    </row>
    <row r="209" spans="1:22" s="211" customFormat="1" ht="16.5" hidden="1">
      <c r="A209" s="227"/>
      <c r="B209" s="227"/>
      <c r="C209" s="227"/>
      <c r="D209" s="227"/>
      <c r="E209" s="210"/>
      <c r="F209" s="748"/>
      <c r="G209" s="752"/>
      <c r="H209" s="748"/>
      <c r="I209" s="753"/>
      <c r="J209" s="753"/>
      <c r="K209" s="753"/>
      <c r="L209" s="201"/>
      <c r="M209" s="227"/>
      <c r="N209" s="227"/>
      <c r="O209" s="227"/>
      <c r="P209" s="227"/>
      <c r="Q209" s="227"/>
      <c r="R209" s="227"/>
      <c r="S209" s="227"/>
      <c r="T209" s="227"/>
      <c r="U209" s="227"/>
      <c r="V209" s="227"/>
    </row>
    <row r="210" spans="1:22" s="211" customFormat="1" ht="16.5" hidden="1">
      <c r="A210" s="227"/>
      <c r="B210" s="227"/>
      <c r="C210" s="227"/>
      <c r="D210" s="227"/>
      <c r="E210" s="210"/>
      <c r="F210" s="748"/>
      <c r="G210" s="752"/>
      <c r="H210" s="748"/>
      <c r="I210" s="753"/>
      <c r="J210" s="753"/>
      <c r="K210" s="753"/>
      <c r="L210" s="201"/>
      <c r="M210" s="227"/>
      <c r="N210" s="227"/>
      <c r="O210" s="227"/>
      <c r="P210" s="227"/>
      <c r="Q210" s="227"/>
      <c r="R210" s="227"/>
      <c r="S210" s="227"/>
      <c r="T210" s="227"/>
      <c r="U210" s="227"/>
      <c r="V210" s="227"/>
    </row>
    <row r="211" spans="1:22" s="211" customFormat="1" ht="16.5" hidden="1">
      <c r="A211" s="227"/>
      <c r="B211" s="227"/>
      <c r="C211" s="227"/>
      <c r="D211" s="227"/>
      <c r="E211" s="210"/>
      <c r="F211" s="748"/>
      <c r="G211" s="752"/>
      <c r="H211" s="748"/>
      <c r="I211" s="753"/>
      <c r="J211" s="753"/>
      <c r="K211" s="753"/>
      <c r="L211" s="201"/>
      <c r="M211" s="227"/>
      <c r="N211" s="227"/>
      <c r="O211" s="227"/>
      <c r="P211" s="227"/>
      <c r="Q211" s="227"/>
      <c r="R211" s="227"/>
      <c r="S211" s="227"/>
      <c r="T211" s="227"/>
      <c r="U211" s="227"/>
      <c r="V211" s="227"/>
    </row>
    <row r="212" spans="1:22" s="211" customFormat="1" ht="16.5" hidden="1">
      <c r="A212" s="227"/>
      <c r="B212" s="227"/>
      <c r="C212" s="227"/>
      <c r="D212" s="227"/>
      <c r="E212" s="210"/>
      <c r="F212" s="748"/>
      <c r="G212" s="752"/>
      <c r="H212" s="748"/>
      <c r="I212" s="753"/>
      <c r="J212" s="753"/>
      <c r="K212" s="753"/>
      <c r="L212" s="201"/>
      <c r="M212" s="227"/>
      <c r="N212" s="227"/>
      <c r="O212" s="227"/>
      <c r="P212" s="227"/>
      <c r="Q212" s="227"/>
      <c r="R212" s="227"/>
      <c r="S212" s="227"/>
      <c r="T212" s="227"/>
      <c r="U212" s="227"/>
      <c r="V212" s="227"/>
    </row>
    <row r="213" spans="1:22" s="211" customFormat="1" ht="16.5" hidden="1">
      <c r="A213" s="227"/>
      <c r="B213" s="227"/>
      <c r="C213" s="227"/>
      <c r="D213" s="227"/>
      <c r="E213" s="210"/>
      <c r="F213" s="748"/>
      <c r="G213" s="752"/>
      <c r="H213" s="748"/>
      <c r="I213" s="753"/>
      <c r="J213" s="753"/>
      <c r="K213" s="753"/>
      <c r="L213" s="201"/>
      <c r="M213" s="227"/>
      <c r="N213" s="227"/>
      <c r="O213" s="227"/>
      <c r="P213" s="227"/>
      <c r="Q213" s="227"/>
      <c r="R213" s="227"/>
      <c r="S213" s="227"/>
      <c r="T213" s="227"/>
      <c r="U213" s="227"/>
      <c r="V213" s="227"/>
    </row>
    <row r="214" spans="1:22" s="211" customFormat="1" ht="16.5" hidden="1">
      <c r="A214" s="227"/>
      <c r="B214" s="227"/>
      <c r="C214" s="227"/>
      <c r="D214" s="227"/>
      <c r="E214" s="210"/>
      <c r="F214" s="748"/>
      <c r="G214" s="752"/>
      <c r="H214" s="748"/>
      <c r="I214" s="753"/>
      <c r="J214" s="753"/>
      <c r="K214" s="753"/>
      <c r="L214" s="201"/>
      <c r="M214" s="227"/>
      <c r="N214" s="227"/>
      <c r="O214" s="227"/>
      <c r="P214" s="227"/>
      <c r="Q214" s="227"/>
      <c r="R214" s="227"/>
      <c r="S214" s="227"/>
      <c r="T214" s="227"/>
      <c r="U214" s="227"/>
      <c r="V214" s="227"/>
    </row>
    <row r="215" spans="1:22" s="211" customFormat="1" ht="16.5" hidden="1">
      <c r="A215" s="227"/>
      <c r="B215" s="227"/>
      <c r="C215" s="227"/>
      <c r="D215" s="227"/>
      <c r="E215" s="210"/>
      <c r="F215" s="748"/>
      <c r="G215" s="752"/>
      <c r="H215" s="748"/>
      <c r="I215" s="753"/>
      <c r="J215" s="753"/>
      <c r="K215" s="753"/>
      <c r="L215" s="201"/>
      <c r="M215" s="227"/>
      <c r="N215" s="227"/>
      <c r="O215" s="227"/>
      <c r="P215" s="227"/>
      <c r="Q215" s="227"/>
      <c r="R215" s="227"/>
      <c r="S215" s="227"/>
      <c r="T215" s="227"/>
      <c r="U215" s="227"/>
      <c r="V215" s="227"/>
    </row>
    <row r="216" spans="1:22" s="211" customFormat="1" ht="16.5" hidden="1">
      <c r="A216" s="227"/>
      <c r="B216" s="227"/>
      <c r="C216" s="227"/>
      <c r="D216" s="227"/>
      <c r="E216" s="210"/>
      <c r="F216" s="748"/>
      <c r="G216" s="752"/>
      <c r="H216" s="748"/>
      <c r="I216" s="753"/>
      <c r="J216" s="753"/>
      <c r="K216" s="753"/>
      <c r="L216" s="201"/>
      <c r="M216" s="227"/>
      <c r="N216" s="227"/>
      <c r="O216" s="227"/>
      <c r="P216" s="227"/>
      <c r="Q216" s="227"/>
      <c r="R216" s="227"/>
      <c r="S216" s="227"/>
      <c r="T216" s="227"/>
      <c r="U216" s="227"/>
      <c r="V216" s="227"/>
    </row>
    <row r="217" spans="1:22" s="211" customFormat="1" ht="16.5" hidden="1">
      <c r="A217" s="227"/>
      <c r="B217" s="227"/>
      <c r="C217" s="227"/>
      <c r="D217" s="227"/>
      <c r="E217" s="210"/>
      <c r="F217" s="748"/>
      <c r="G217" s="752"/>
      <c r="H217" s="748"/>
      <c r="I217" s="753"/>
      <c r="J217" s="753"/>
      <c r="K217" s="753"/>
      <c r="L217" s="201"/>
      <c r="M217" s="227"/>
      <c r="N217" s="227"/>
      <c r="O217" s="227"/>
      <c r="P217" s="227"/>
      <c r="Q217" s="227"/>
      <c r="R217" s="227"/>
      <c r="S217" s="227"/>
      <c r="T217" s="227"/>
      <c r="U217" s="227"/>
      <c r="V217" s="227"/>
    </row>
    <row r="218" spans="1:22" s="211" customFormat="1" ht="16.5" hidden="1">
      <c r="A218" s="227"/>
      <c r="B218" s="227"/>
      <c r="C218" s="227"/>
      <c r="D218" s="227"/>
      <c r="E218" s="210"/>
      <c r="F218" s="748"/>
      <c r="G218" s="752"/>
      <c r="H218" s="748"/>
      <c r="I218" s="753"/>
      <c r="J218" s="753"/>
      <c r="K218" s="753"/>
      <c r="L218" s="201"/>
      <c r="M218" s="227"/>
      <c r="N218" s="227"/>
      <c r="O218" s="227"/>
      <c r="P218" s="227"/>
      <c r="Q218" s="227"/>
      <c r="R218" s="227"/>
      <c r="S218" s="227"/>
      <c r="T218" s="227"/>
      <c r="U218" s="227"/>
      <c r="V218" s="227"/>
    </row>
    <row r="219" spans="1:22" s="211" customFormat="1" ht="16.5" hidden="1">
      <c r="A219" s="227"/>
      <c r="B219" s="227"/>
      <c r="C219" s="227"/>
      <c r="D219" s="227"/>
      <c r="E219" s="210"/>
      <c r="F219" s="748"/>
      <c r="G219" s="752"/>
      <c r="H219" s="748"/>
      <c r="I219" s="753"/>
      <c r="J219" s="753"/>
      <c r="K219" s="753"/>
      <c r="L219" s="201"/>
      <c r="M219" s="227"/>
      <c r="N219" s="227"/>
      <c r="O219" s="227"/>
      <c r="P219" s="227"/>
      <c r="Q219" s="227"/>
      <c r="R219" s="227"/>
      <c r="S219" s="227"/>
      <c r="T219" s="227"/>
      <c r="U219" s="227"/>
      <c r="V219" s="227"/>
    </row>
    <row r="220" spans="1:22" s="211" customFormat="1" ht="16.5" hidden="1">
      <c r="A220" s="227"/>
      <c r="B220" s="227"/>
      <c r="C220" s="227"/>
      <c r="D220" s="227"/>
      <c r="E220" s="210"/>
      <c r="F220" s="748"/>
      <c r="G220" s="752"/>
      <c r="H220" s="748"/>
      <c r="I220" s="753"/>
      <c r="J220" s="753"/>
      <c r="K220" s="753"/>
      <c r="L220" s="201"/>
      <c r="M220" s="227"/>
      <c r="N220" s="227"/>
      <c r="O220" s="227"/>
      <c r="P220" s="227"/>
      <c r="Q220" s="227"/>
      <c r="R220" s="227"/>
      <c r="S220" s="227"/>
      <c r="T220" s="227"/>
      <c r="U220" s="227"/>
      <c r="V220" s="227"/>
    </row>
    <row r="221" spans="1:22" s="211" customFormat="1" ht="16.5" hidden="1">
      <c r="A221" s="227"/>
      <c r="B221" s="227"/>
      <c r="C221" s="227"/>
      <c r="D221" s="227"/>
      <c r="E221" s="210"/>
      <c r="F221" s="748"/>
      <c r="G221" s="752"/>
      <c r="H221" s="748"/>
      <c r="I221" s="753"/>
      <c r="J221" s="753"/>
      <c r="K221" s="753"/>
      <c r="L221" s="201"/>
      <c r="M221" s="227"/>
      <c r="N221" s="227"/>
      <c r="O221" s="227"/>
      <c r="P221" s="227"/>
      <c r="Q221" s="227"/>
      <c r="R221" s="227"/>
      <c r="S221" s="227"/>
      <c r="T221" s="227"/>
      <c r="U221" s="227"/>
      <c r="V221" s="227"/>
    </row>
    <row r="222" spans="1:22" s="211" customFormat="1" ht="16.5" hidden="1">
      <c r="A222" s="227"/>
      <c r="B222" s="227"/>
      <c r="C222" s="227"/>
      <c r="D222" s="227"/>
      <c r="E222" s="210"/>
      <c r="F222" s="748"/>
      <c r="G222" s="752"/>
      <c r="H222" s="748"/>
      <c r="I222" s="753"/>
      <c r="J222" s="753"/>
      <c r="K222" s="753"/>
      <c r="L222" s="201"/>
      <c r="M222" s="227"/>
      <c r="N222" s="227"/>
      <c r="O222" s="227"/>
      <c r="P222" s="227"/>
      <c r="Q222" s="227"/>
      <c r="R222" s="227"/>
      <c r="S222" s="227"/>
      <c r="T222" s="227"/>
      <c r="U222" s="227"/>
      <c r="V222" s="227"/>
    </row>
    <row r="223" spans="1:22" s="211" customFormat="1" ht="16.5" hidden="1">
      <c r="A223" s="227"/>
      <c r="B223" s="227"/>
      <c r="C223" s="227"/>
      <c r="D223" s="227"/>
      <c r="E223" s="210"/>
      <c r="F223" s="748"/>
      <c r="G223" s="752"/>
      <c r="H223" s="748"/>
      <c r="I223" s="753"/>
      <c r="J223" s="753"/>
      <c r="K223" s="753"/>
      <c r="L223" s="201"/>
      <c r="M223" s="227"/>
      <c r="N223" s="227"/>
      <c r="O223" s="227"/>
      <c r="P223" s="227"/>
      <c r="Q223" s="227"/>
      <c r="R223" s="227"/>
      <c r="S223" s="227"/>
      <c r="T223" s="227"/>
      <c r="U223" s="227"/>
      <c r="V223" s="227"/>
    </row>
    <row r="224" spans="1:22" s="211" customFormat="1" ht="16.5" hidden="1">
      <c r="A224" s="227"/>
      <c r="B224" s="227"/>
      <c r="C224" s="227"/>
      <c r="D224" s="227"/>
      <c r="E224" s="210"/>
      <c r="F224" s="748"/>
      <c r="G224" s="752"/>
      <c r="H224" s="748"/>
      <c r="I224" s="753"/>
      <c r="J224" s="753"/>
      <c r="K224" s="753"/>
      <c r="L224" s="201"/>
      <c r="M224" s="227"/>
      <c r="N224" s="227"/>
      <c r="O224" s="227"/>
      <c r="P224" s="227"/>
      <c r="Q224" s="227"/>
      <c r="R224" s="227"/>
      <c r="S224" s="227"/>
      <c r="T224" s="227"/>
      <c r="U224" s="227"/>
      <c r="V224" s="227"/>
    </row>
    <row r="225" spans="1:22" s="211" customFormat="1" ht="16.5" hidden="1">
      <c r="A225" s="227"/>
      <c r="B225" s="227"/>
      <c r="C225" s="227"/>
      <c r="D225" s="227"/>
      <c r="E225" s="210"/>
      <c r="F225" s="748"/>
      <c r="G225" s="752"/>
      <c r="H225" s="748"/>
      <c r="I225" s="753"/>
      <c r="J225" s="753"/>
      <c r="K225" s="753"/>
      <c r="L225" s="201"/>
      <c r="M225" s="227"/>
      <c r="N225" s="227"/>
      <c r="O225" s="227"/>
      <c r="P225" s="227"/>
      <c r="Q225" s="227"/>
      <c r="R225" s="227"/>
      <c r="S225" s="227"/>
      <c r="T225" s="227"/>
      <c r="U225" s="227"/>
      <c r="V225" s="227"/>
    </row>
    <row r="226" spans="1:22" s="211" customFormat="1" ht="16.5" hidden="1">
      <c r="A226" s="227"/>
      <c r="B226" s="227"/>
      <c r="C226" s="227"/>
      <c r="D226" s="227"/>
      <c r="E226" s="210"/>
      <c r="F226" s="748"/>
      <c r="G226" s="752"/>
      <c r="H226" s="748"/>
      <c r="I226" s="753"/>
      <c r="J226" s="753"/>
      <c r="K226" s="753"/>
      <c r="L226" s="201"/>
      <c r="M226" s="227"/>
      <c r="N226" s="227"/>
      <c r="O226" s="227"/>
      <c r="P226" s="227"/>
      <c r="Q226" s="227"/>
      <c r="R226" s="227"/>
      <c r="S226" s="227"/>
      <c r="T226" s="227"/>
      <c r="U226" s="227"/>
      <c r="V226" s="227"/>
    </row>
    <row r="227" spans="1:22" s="211" customFormat="1" ht="16.5" hidden="1">
      <c r="A227" s="227"/>
      <c r="B227" s="227"/>
      <c r="C227" s="227"/>
      <c r="D227" s="227"/>
      <c r="E227" s="210"/>
      <c r="F227" s="748"/>
      <c r="G227" s="752"/>
      <c r="H227" s="748"/>
      <c r="I227" s="753"/>
      <c r="J227" s="753"/>
      <c r="K227" s="753"/>
      <c r="L227" s="201"/>
      <c r="M227" s="227"/>
      <c r="N227" s="227"/>
      <c r="O227" s="227"/>
      <c r="P227" s="227"/>
      <c r="Q227" s="227"/>
      <c r="R227" s="227"/>
      <c r="S227" s="227"/>
      <c r="T227" s="227"/>
      <c r="U227" s="227"/>
      <c r="V227" s="227"/>
    </row>
    <row r="228" spans="1:22" s="211" customFormat="1" ht="16.5" hidden="1">
      <c r="A228" s="227"/>
      <c r="B228" s="227"/>
      <c r="C228" s="227"/>
      <c r="D228" s="227"/>
      <c r="E228" s="210"/>
      <c r="F228" s="748"/>
      <c r="G228" s="752"/>
      <c r="H228" s="748"/>
      <c r="I228" s="753"/>
      <c r="J228" s="753"/>
      <c r="K228" s="753"/>
      <c r="L228" s="201"/>
      <c r="M228" s="227"/>
      <c r="N228" s="227"/>
      <c r="O228" s="227"/>
      <c r="P228" s="227"/>
      <c r="Q228" s="227"/>
      <c r="R228" s="227"/>
      <c r="S228" s="227"/>
      <c r="T228" s="227"/>
      <c r="U228" s="227"/>
      <c r="V228" s="227"/>
    </row>
    <row r="229" spans="1:22" s="211" customFormat="1" ht="16.5" hidden="1">
      <c r="A229" s="227"/>
      <c r="B229" s="227"/>
      <c r="C229" s="227"/>
      <c r="D229" s="227"/>
      <c r="E229" s="210"/>
      <c r="F229" s="748"/>
      <c r="G229" s="752"/>
      <c r="H229" s="748"/>
      <c r="I229" s="753"/>
      <c r="J229" s="753"/>
      <c r="K229" s="753"/>
      <c r="L229" s="201"/>
      <c r="M229" s="227"/>
      <c r="N229" s="227"/>
      <c r="O229" s="227"/>
      <c r="P229" s="227"/>
      <c r="Q229" s="227"/>
      <c r="R229" s="227"/>
      <c r="S229" s="227"/>
      <c r="T229" s="227"/>
      <c r="U229" s="227"/>
      <c r="V229" s="227"/>
    </row>
    <row r="230" spans="1:22" s="211" customFormat="1" ht="16.5" hidden="1">
      <c r="A230" s="227"/>
      <c r="B230" s="227"/>
      <c r="C230" s="227"/>
      <c r="D230" s="227"/>
      <c r="E230" s="210"/>
      <c r="F230" s="748"/>
      <c r="G230" s="752"/>
      <c r="H230" s="748"/>
      <c r="I230" s="753"/>
      <c r="J230" s="753"/>
      <c r="K230" s="753"/>
      <c r="L230" s="201"/>
      <c r="M230" s="227"/>
      <c r="N230" s="227"/>
      <c r="O230" s="227"/>
      <c r="P230" s="227"/>
      <c r="Q230" s="227"/>
      <c r="R230" s="227"/>
      <c r="S230" s="227"/>
      <c r="T230" s="227"/>
      <c r="U230" s="227"/>
      <c r="V230" s="227"/>
    </row>
    <row r="231" spans="1:22" s="211" customFormat="1" ht="16.5" hidden="1">
      <c r="A231" s="227"/>
      <c r="B231" s="227"/>
      <c r="C231" s="227"/>
      <c r="D231" s="227"/>
      <c r="E231" s="210"/>
      <c r="F231" s="748"/>
      <c r="G231" s="752"/>
      <c r="H231" s="748"/>
      <c r="I231" s="753"/>
      <c r="J231" s="753"/>
      <c r="K231" s="753"/>
      <c r="L231" s="201"/>
      <c r="M231" s="227"/>
      <c r="N231" s="227"/>
      <c r="O231" s="227"/>
      <c r="P231" s="227"/>
      <c r="Q231" s="227"/>
      <c r="R231" s="227"/>
      <c r="S231" s="227"/>
      <c r="T231" s="227"/>
      <c r="U231" s="227"/>
      <c r="V231" s="227"/>
    </row>
    <row r="232" spans="1:22" s="211" customFormat="1" ht="16.5" hidden="1">
      <c r="A232" s="227"/>
      <c r="B232" s="227"/>
      <c r="C232" s="227"/>
      <c r="D232" s="227"/>
      <c r="E232" s="210"/>
      <c r="F232" s="748"/>
      <c r="G232" s="752"/>
      <c r="H232" s="748"/>
      <c r="I232" s="753"/>
      <c r="J232" s="753"/>
      <c r="K232" s="753"/>
      <c r="L232" s="201"/>
      <c r="M232" s="227"/>
      <c r="N232" s="227"/>
      <c r="O232" s="227"/>
      <c r="P232" s="227"/>
      <c r="Q232" s="227"/>
      <c r="R232" s="227"/>
      <c r="S232" s="227"/>
      <c r="T232" s="227"/>
      <c r="U232" s="227"/>
      <c r="V232" s="227"/>
    </row>
    <row r="233" spans="1:22" s="211" customFormat="1" ht="16.5" hidden="1">
      <c r="A233" s="227"/>
      <c r="B233" s="227"/>
      <c r="C233" s="227"/>
      <c r="D233" s="227"/>
      <c r="E233" s="210"/>
      <c r="F233" s="748"/>
      <c r="G233" s="752"/>
      <c r="H233" s="748"/>
      <c r="I233" s="753"/>
      <c r="J233" s="753"/>
      <c r="K233" s="753"/>
      <c r="L233" s="201"/>
      <c r="M233" s="227"/>
      <c r="N233" s="227"/>
      <c r="O233" s="227"/>
      <c r="P233" s="227"/>
      <c r="Q233" s="227"/>
      <c r="R233" s="227"/>
      <c r="S233" s="227"/>
      <c r="T233" s="227"/>
      <c r="U233" s="227"/>
      <c r="V233" s="227"/>
    </row>
    <row r="234" spans="1:22" s="211" customFormat="1" ht="16.5" hidden="1">
      <c r="A234" s="227"/>
      <c r="B234" s="227"/>
      <c r="C234" s="227"/>
      <c r="D234" s="227"/>
      <c r="E234" s="210"/>
      <c r="F234" s="748"/>
      <c r="G234" s="752"/>
      <c r="H234" s="748"/>
      <c r="I234" s="753"/>
      <c r="J234" s="753"/>
      <c r="K234" s="753"/>
      <c r="L234" s="201"/>
      <c r="M234" s="227"/>
      <c r="N234" s="227"/>
      <c r="O234" s="227"/>
      <c r="P234" s="227"/>
      <c r="Q234" s="227"/>
      <c r="R234" s="227"/>
      <c r="S234" s="227"/>
      <c r="T234" s="227"/>
      <c r="U234" s="227"/>
      <c r="V234" s="227"/>
    </row>
    <row r="235" spans="1:22" s="211" customFormat="1" ht="16.5" hidden="1">
      <c r="A235" s="227"/>
      <c r="B235" s="227"/>
      <c r="C235" s="227"/>
      <c r="D235" s="227"/>
      <c r="E235" s="210"/>
      <c r="F235" s="748"/>
      <c r="G235" s="752"/>
      <c r="H235" s="748"/>
      <c r="I235" s="753"/>
      <c r="J235" s="753"/>
      <c r="K235" s="753"/>
      <c r="L235" s="201"/>
      <c r="M235" s="227"/>
      <c r="N235" s="227"/>
      <c r="O235" s="227"/>
      <c r="P235" s="227"/>
      <c r="Q235" s="227"/>
      <c r="R235" s="227"/>
      <c r="S235" s="227"/>
      <c r="T235" s="227"/>
      <c r="U235" s="227"/>
      <c r="V235" s="227"/>
    </row>
    <row r="236" spans="1:22" s="211" customFormat="1" ht="16.5" hidden="1">
      <c r="A236" s="227"/>
      <c r="B236" s="227"/>
      <c r="C236" s="227"/>
      <c r="D236" s="227"/>
      <c r="E236" s="210"/>
      <c r="F236" s="748"/>
      <c r="G236" s="752"/>
      <c r="H236" s="748"/>
      <c r="I236" s="753"/>
      <c r="J236" s="753"/>
      <c r="K236" s="753"/>
      <c r="L236" s="201"/>
      <c r="M236" s="227"/>
      <c r="N236" s="227"/>
      <c r="O236" s="227"/>
      <c r="P236" s="227"/>
      <c r="Q236" s="227"/>
      <c r="R236" s="227"/>
      <c r="S236" s="227"/>
      <c r="T236" s="227"/>
      <c r="U236" s="227"/>
      <c r="V236" s="227"/>
    </row>
    <row r="237" spans="1:22" s="211" customFormat="1" ht="16.5" hidden="1">
      <c r="A237" s="227"/>
      <c r="B237" s="227"/>
      <c r="C237" s="227"/>
      <c r="D237" s="227"/>
      <c r="E237" s="210"/>
      <c r="F237" s="748"/>
      <c r="G237" s="752"/>
      <c r="H237" s="748"/>
      <c r="I237" s="753"/>
      <c r="J237" s="753"/>
      <c r="K237" s="753"/>
      <c r="L237" s="201"/>
      <c r="M237" s="227"/>
      <c r="N237" s="227"/>
      <c r="O237" s="227"/>
      <c r="P237" s="227"/>
      <c r="Q237" s="227"/>
      <c r="R237" s="227"/>
      <c r="S237" s="227"/>
      <c r="T237" s="227"/>
      <c r="U237" s="227"/>
      <c r="V237" s="227"/>
    </row>
    <row r="238" spans="1:22" s="211" customFormat="1" ht="16.5" hidden="1">
      <c r="A238" s="227"/>
      <c r="B238" s="227"/>
      <c r="C238" s="227"/>
      <c r="D238" s="227"/>
      <c r="E238" s="210"/>
      <c r="F238" s="748"/>
      <c r="G238" s="752"/>
      <c r="H238" s="748"/>
      <c r="I238" s="753"/>
      <c r="J238" s="753"/>
      <c r="K238" s="753"/>
      <c r="L238" s="201"/>
      <c r="M238" s="227"/>
      <c r="N238" s="227"/>
      <c r="O238" s="227"/>
      <c r="P238" s="227"/>
      <c r="Q238" s="227"/>
      <c r="R238" s="227"/>
      <c r="S238" s="227"/>
      <c r="T238" s="227"/>
      <c r="U238" s="227"/>
      <c r="V238" s="227"/>
    </row>
    <row r="239" spans="1:22" s="211" customFormat="1" ht="16.5" hidden="1">
      <c r="A239" s="227"/>
      <c r="B239" s="227"/>
      <c r="C239" s="227"/>
      <c r="D239" s="227"/>
      <c r="E239" s="210"/>
      <c r="F239" s="748"/>
      <c r="G239" s="752"/>
      <c r="H239" s="748"/>
      <c r="I239" s="753"/>
      <c r="J239" s="753"/>
      <c r="K239" s="753"/>
      <c r="L239" s="201"/>
      <c r="M239" s="227"/>
      <c r="N239" s="227"/>
      <c r="O239" s="227"/>
      <c r="P239" s="227"/>
      <c r="Q239" s="227"/>
      <c r="R239" s="227"/>
      <c r="S239" s="227"/>
      <c r="T239" s="227"/>
      <c r="U239" s="227"/>
      <c r="V239" s="227"/>
    </row>
    <row r="240" spans="1:22" s="211" customFormat="1" ht="16.5" hidden="1">
      <c r="A240" s="227"/>
      <c r="B240" s="227"/>
      <c r="C240" s="227"/>
      <c r="D240" s="227"/>
      <c r="E240" s="210"/>
      <c r="F240" s="748"/>
      <c r="G240" s="752"/>
      <c r="H240" s="748"/>
      <c r="I240" s="753"/>
      <c r="J240" s="753"/>
      <c r="K240" s="753"/>
      <c r="L240" s="201"/>
      <c r="M240" s="227"/>
      <c r="N240" s="227"/>
      <c r="O240" s="227"/>
      <c r="P240" s="227"/>
      <c r="Q240" s="227"/>
      <c r="R240" s="227"/>
      <c r="S240" s="227"/>
      <c r="T240" s="227"/>
      <c r="U240" s="227"/>
      <c r="V240" s="227"/>
    </row>
    <row r="241" spans="1:22" s="211" customFormat="1" ht="16.5" hidden="1">
      <c r="A241" s="227"/>
      <c r="B241" s="227"/>
      <c r="C241" s="227"/>
      <c r="D241" s="227"/>
      <c r="E241" s="210"/>
      <c r="F241" s="748"/>
      <c r="G241" s="752"/>
      <c r="H241" s="748"/>
      <c r="I241" s="753"/>
      <c r="J241" s="753"/>
      <c r="K241" s="753"/>
      <c r="L241" s="201"/>
      <c r="M241" s="227"/>
      <c r="N241" s="227"/>
      <c r="O241" s="227"/>
      <c r="P241" s="227"/>
      <c r="Q241" s="227"/>
      <c r="R241" s="227"/>
      <c r="S241" s="227"/>
      <c r="T241" s="227"/>
      <c r="U241" s="227"/>
      <c r="V241" s="227"/>
    </row>
    <row r="242" spans="1:22" s="211" customFormat="1" ht="16.5" hidden="1">
      <c r="A242" s="227"/>
      <c r="B242" s="227"/>
      <c r="C242" s="227"/>
      <c r="D242" s="227"/>
      <c r="E242" s="210"/>
      <c r="F242" s="748"/>
      <c r="G242" s="752"/>
      <c r="H242" s="748"/>
      <c r="I242" s="753"/>
      <c r="J242" s="753"/>
      <c r="K242" s="753"/>
      <c r="L242" s="201"/>
      <c r="M242" s="227"/>
      <c r="N242" s="227"/>
      <c r="O242" s="227"/>
      <c r="P242" s="227"/>
      <c r="Q242" s="227"/>
      <c r="R242" s="227"/>
      <c r="S242" s="227"/>
      <c r="T242" s="227"/>
      <c r="U242" s="227"/>
      <c r="V242" s="227"/>
    </row>
    <row r="243" spans="1:22" s="211" customFormat="1" ht="16.5" hidden="1">
      <c r="A243" s="227"/>
      <c r="B243" s="227"/>
      <c r="C243" s="227"/>
      <c r="D243" s="227"/>
      <c r="E243" s="210"/>
      <c r="F243" s="748"/>
      <c r="G243" s="752"/>
      <c r="H243" s="748"/>
      <c r="I243" s="753"/>
      <c r="J243" s="753"/>
      <c r="K243" s="753"/>
      <c r="L243" s="201"/>
      <c r="M243" s="227"/>
      <c r="N243" s="227"/>
      <c r="O243" s="227"/>
      <c r="P243" s="227"/>
      <c r="Q243" s="227"/>
      <c r="R243" s="227"/>
      <c r="S243" s="227"/>
      <c r="T243" s="227"/>
      <c r="U243" s="227"/>
      <c r="V243" s="227"/>
    </row>
    <row r="244" spans="1:22" s="211" customFormat="1" ht="16.5" hidden="1">
      <c r="A244" s="227"/>
      <c r="B244" s="227"/>
      <c r="C244" s="227"/>
      <c r="D244" s="227"/>
      <c r="E244" s="210"/>
      <c r="F244" s="748"/>
      <c r="G244" s="752"/>
      <c r="H244" s="748"/>
      <c r="I244" s="753"/>
      <c r="J244" s="753"/>
      <c r="K244" s="753"/>
      <c r="L244" s="201"/>
      <c r="M244" s="227"/>
      <c r="N244" s="227"/>
      <c r="O244" s="227"/>
      <c r="P244" s="227"/>
      <c r="Q244" s="227"/>
      <c r="R244" s="227"/>
      <c r="S244" s="227"/>
      <c r="T244" s="227"/>
      <c r="U244" s="227"/>
      <c r="V244" s="227"/>
    </row>
    <row r="245" spans="1:22" s="211" customFormat="1" ht="16.5" hidden="1">
      <c r="A245" s="227"/>
      <c r="B245" s="227"/>
      <c r="C245" s="227"/>
      <c r="D245" s="227"/>
      <c r="E245" s="210"/>
      <c r="F245" s="748"/>
      <c r="G245" s="752"/>
      <c r="H245" s="748"/>
      <c r="I245" s="753"/>
      <c r="J245" s="753"/>
      <c r="K245" s="753"/>
      <c r="L245" s="201"/>
      <c r="M245" s="227"/>
      <c r="N245" s="227"/>
      <c r="O245" s="227"/>
      <c r="P245" s="227"/>
      <c r="Q245" s="227"/>
      <c r="R245" s="227"/>
      <c r="S245" s="227"/>
      <c r="T245" s="227"/>
      <c r="U245" s="227"/>
      <c r="V245" s="227"/>
    </row>
    <row r="246" spans="1:22" s="211" customFormat="1" ht="16.5" hidden="1">
      <c r="A246" s="227"/>
      <c r="B246" s="227"/>
      <c r="C246" s="227"/>
      <c r="D246" s="227"/>
      <c r="E246" s="210"/>
      <c r="F246" s="748"/>
      <c r="G246" s="752"/>
      <c r="H246" s="748"/>
      <c r="I246" s="753"/>
      <c r="J246" s="753"/>
      <c r="K246" s="753"/>
      <c r="L246" s="201"/>
      <c r="M246" s="227"/>
      <c r="N246" s="227"/>
      <c r="O246" s="227"/>
      <c r="P246" s="227"/>
      <c r="Q246" s="227"/>
      <c r="R246" s="227"/>
      <c r="S246" s="227"/>
      <c r="T246" s="227"/>
      <c r="U246" s="227"/>
      <c r="V246" s="227"/>
    </row>
    <row r="247" spans="1:22" s="211" customFormat="1" ht="16.5" hidden="1">
      <c r="A247" s="227"/>
      <c r="B247" s="227"/>
      <c r="C247" s="227"/>
      <c r="D247" s="227"/>
      <c r="E247" s="210"/>
      <c r="F247" s="748"/>
      <c r="G247" s="752"/>
      <c r="H247" s="748"/>
      <c r="I247" s="753"/>
      <c r="J247" s="753"/>
      <c r="K247" s="753"/>
      <c r="L247" s="201"/>
      <c r="M247" s="227"/>
      <c r="N247" s="227"/>
      <c r="O247" s="227"/>
      <c r="P247" s="227"/>
      <c r="Q247" s="227"/>
      <c r="R247" s="227"/>
      <c r="S247" s="227"/>
      <c r="T247" s="227"/>
      <c r="U247" s="227"/>
      <c r="V247" s="227"/>
    </row>
    <row r="248" spans="1:22" s="211" customFormat="1" ht="16.5" hidden="1">
      <c r="A248" s="227"/>
      <c r="B248" s="227"/>
      <c r="C248" s="227"/>
      <c r="D248" s="227"/>
      <c r="E248" s="210"/>
      <c r="F248" s="748"/>
      <c r="G248" s="752"/>
      <c r="H248" s="748"/>
      <c r="I248" s="753"/>
      <c r="J248" s="753"/>
      <c r="K248" s="753"/>
      <c r="L248" s="201"/>
      <c r="M248" s="227"/>
      <c r="N248" s="227"/>
      <c r="O248" s="227"/>
      <c r="P248" s="227"/>
      <c r="Q248" s="227"/>
      <c r="R248" s="227"/>
      <c r="S248" s="227"/>
      <c r="T248" s="227"/>
      <c r="U248" s="227"/>
      <c r="V248" s="227"/>
    </row>
    <row r="249" spans="1:22" s="211" customFormat="1" ht="16.5" hidden="1">
      <c r="A249" s="227"/>
      <c r="B249" s="227"/>
      <c r="C249" s="227"/>
      <c r="D249" s="227"/>
      <c r="E249" s="210"/>
      <c r="F249" s="748"/>
      <c r="G249" s="752"/>
      <c r="H249" s="748"/>
      <c r="I249" s="753"/>
      <c r="J249" s="753"/>
      <c r="K249" s="753"/>
      <c r="L249" s="201"/>
      <c r="M249" s="227"/>
      <c r="N249" s="227"/>
      <c r="O249" s="227"/>
      <c r="P249" s="227"/>
      <c r="Q249" s="227"/>
      <c r="R249" s="227"/>
      <c r="S249" s="227"/>
      <c r="T249" s="227"/>
      <c r="U249" s="227"/>
      <c r="V249" s="227"/>
    </row>
    <row r="250" spans="1:22" s="211" customFormat="1" ht="16.5" hidden="1">
      <c r="A250" s="227"/>
      <c r="B250" s="227"/>
      <c r="C250" s="227"/>
      <c r="D250" s="227"/>
      <c r="E250" s="210"/>
      <c r="F250" s="748"/>
      <c r="G250" s="752"/>
      <c r="H250" s="748"/>
      <c r="I250" s="753"/>
      <c r="J250" s="753"/>
      <c r="K250" s="753"/>
      <c r="L250" s="201"/>
      <c r="M250" s="227"/>
      <c r="N250" s="227"/>
      <c r="O250" s="227"/>
      <c r="P250" s="227"/>
      <c r="Q250" s="227"/>
      <c r="R250" s="227"/>
      <c r="S250" s="227"/>
      <c r="T250" s="227"/>
      <c r="U250" s="227"/>
      <c r="V250" s="227"/>
    </row>
    <row r="251" spans="1:22" s="211" customFormat="1" ht="16.5" hidden="1">
      <c r="A251" s="227"/>
      <c r="B251" s="227"/>
      <c r="C251" s="227"/>
      <c r="D251" s="227"/>
      <c r="E251" s="210"/>
      <c r="F251" s="748"/>
      <c r="G251" s="752"/>
      <c r="H251" s="748"/>
      <c r="I251" s="753"/>
      <c r="J251" s="753"/>
      <c r="K251" s="753"/>
      <c r="L251" s="201"/>
      <c r="M251" s="227"/>
      <c r="N251" s="227"/>
      <c r="O251" s="227"/>
      <c r="P251" s="227"/>
      <c r="Q251" s="227"/>
      <c r="R251" s="227"/>
      <c r="S251" s="227"/>
      <c r="T251" s="227"/>
      <c r="U251" s="227"/>
      <c r="V251" s="227"/>
    </row>
    <row r="252" spans="1:22" s="211" customFormat="1" ht="16.5" hidden="1">
      <c r="A252" s="227"/>
      <c r="B252" s="227"/>
      <c r="C252" s="227"/>
      <c r="D252" s="227"/>
      <c r="E252" s="210"/>
      <c r="F252" s="748"/>
      <c r="G252" s="752"/>
      <c r="H252" s="748"/>
      <c r="I252" s="753"/>
      <c r="J252" s="753"/>
      <c r="K252" s="753"/>
      <c r="L252" s="201"/>
      <c r="M252" s="227"/>
      <c r="N252" s="227"/>
      <c r="O252" s="227"/>
      <c r="P252" s="227"/>
      <c r="Q252" s="227"/>
      <c r="R252" s="227"/>
      <c r="S252" s="227"/>
      <c r="T252" s="227"/>
      <c r="U252" s="227"/>
      <c r="V252" s="227"/>
    </row>
    <row r="253" spans="1:22" s="211" customFormat="1" ht="16.5" hidden="1">
      <c r="A253" s="227"/>
      <c r="B253" s="227"/>
      <c r="C253" s="227"/>
      <c r="D253" s="227"/>
      <c r="E253" s="210"/>
      <c r="F253" s="748"/>
      <c r="G253" s="752"/>
      <c r="H253" s="748"/>
      <c r="I253" s="753"/>
      <c r="J253" s="753"/>
      <c r="K253" s="753"/>
      <c r="L253" s="201"/>
      <c r="M253" s="227"/>
      <c r="N253" s="227"/>
      <c r="O253" s="227"/>
      <c r="P253" s="227"/>
      <c r="Q253" s="227"/>
      <c r="R253" s="227"/>
      <c r="S253" s="227"/>
      <c r="T253" s="227"/>
      <c r="U253" s="227"/>
      <c r="V253" s="227"/>
    </row>
    <row r="254" spans="1:22" s="211" customFormat="1" ht="16.5" hidden="1">
      <c r="A254" s="227"/>
      <c r="B254" s="227"/>
      <c r="C254" s="227"/>
      <c r="D254" s="227"/>
      <c r="E254" s="210"/>
      <c r="F254" s="748"/>
      <c r="G254" s="752"/>
      <c r="H254" s="748"/>
      <c r="I254" s="753"/>
      <c r="J254" s="753"/>
      <c r="K254" s="753"/>
      <c r="L254" s="201"/>
      <c r="M254" s="227"/>
      <c r="N254" s="227"/>
      <c r="O254" s="227"/>
      <c r="P254" s="227"/>
      <c r="Q254" s="227"/>
      <c r="R254" s="227"/>
      <c r="S254" s="227"/>
      <c r="T254" s="227"/>
      <c r="U254" s="227"/>
      <c r="V254" s="227"/>
    </row>
    <row r="255" spans="1:22" s="211" customFormat="1" ht="16.5" hidden="1">
      <c r="A255" s="227"/>
      <c r="B255" s="227"/>
      <c r="C255" s="227"/>
      <c r="D255" s="227"/>
      <c r="E255" s="210"/>
      <c r="F255" s="748"/>
      <c r="G255" s="752"/>
      <c r="H255" s="748"/>
      <c r="I255" s="753"/>
      <c r="J255" s="753"/>
      <c r="K255" s="753"/>
      <c r="L255" s="201"/>
      <c r="M255" s="227"/>
      <c r="N255" s="227"/>
      <c r="O255" s="227"/>
      <c r="P255" s="227"/>
      <c r="Q255" s="227"/>
      <c r="R255" s="227"/>
      <c r="S255" s="227"/>
      <c r="T255" s="227"/>
      <c r="U255" s="227"/>
      <c r="V255" s="227"/>
    </row>
    <row r="256" spans="1:22" s="211" customFormat="1" ht="16.5" hidden="1">
      <c r="A256" s="227"/>
      <c r="B256" s="227"/>
      <c r="C256" s="227"/>
      <c r="D256" s="227"/>
      <c r="E256" s="210"/>
      <c r="F256" s="748"/>
      <c r="G256" s="752"/>
      <c r="H256" s="748"/>
      <c r="I256" s="753"/>
      <c r="J256" s="753"/>
      <c r="K256" s="753"/>
      <c r="L256" s="201"/>
      <c r="M256" s="227"/>
      <c r="N256" s="227"/>
      <c r="O256" s="227"/>
      <c r="P256" s="227"/>
      <c r="Q256" s="227"/>
      <c r="R256" s="227"/>
      <c r="S256" s="227"/>
      <c r="T256" s="227"/>
      <c r="U256" s="227"/>
      <c r="V256" s="227"/>
    </row>
    <row r="257" spans="1:22" s="211" customFormat="1" ht="16.5" hidden="1">
      <c r="A257" s="227"/>
      <c r="B257" s="227"/>
      <c r="C257" s="227"/>
      <c r="D257" s="227"/>
      <c r="E257" s="210"/>
      <c r="F257" s="748"/>
      <c r="G257" s="752"/>
      <c r="H257" s="748"/>
      <c r="I257" s="753"/>
      <c r="J257" s="753"/>
      <c r="K257" s="753"/>
      <c r="L257" s="201"/>
      <c r="M257" s="227"/>
      <c r="N257" s="227"/>
      <c r="O257" s="227"/>
      <c r="P257" s="227"/>
      <c r="Q257" s="227"/>
      <c r="R257" s="227"/>
      <c r="S257" s="227"/>
      <c r="T257" s="227"/>
      <c r="U257" s="227"/>
      <c r="V257" s="227"/>
    </row>
    <row r="258" spans="1:22" s="211" customFormat="1" ht="16.5" hidden="1">
      <c r="A258" s="227"/>
      <c r="B258" s="227"/>
      <c r="C258" s="227"/>
      <c r="D258" s="227"/>
      <c r="E258" s="210"/>
      <c r="F258" s="748"/>
      <c r="G258" s="752"/>
      <c r="H258" s="748"/>
      <c r="I258" s="753"/>
      <c r="J258" s="753"/>
      <c r="K258" s="753"/>
      <c r="L258" s="201"/>
      <c r="M258" s="227"/>
      <c r="N258" s="227"/>
      <c r="O258" s="227"/>
      <c r="P258" s="227"/>
      <c r="Q258" s="227"/>
      <c r="R258" s="227"/>
      <c r="S258" s="227"/>
      <c r="T258" s="227"/>
      <c r="U258" s="227"/>
      <c r="V258" s="227"/>
    </row>
    <row r="259" spans="1:22" s="211" customFormat="1" ht="16.5" hidden="1">
      <c r="A259" s="227"/>
      <c r="B259" s="227"/>
      <c r="C259" s="227"/>
      <c r="D259" s="227"/>
      <c r="E259" s="210"/>
      <c r="F259" s="748"/>
      <c r="G259" s="752"/>
      <c r="H259" s="748"/>
      <c r="I259" s="753"/>
      <c r="J259" s="753"/>
      <c r="K259" s="753"/>
      <c r="L259" s="201"/>
      <c r="M259" s="227"/>
      <c r="N259" s="227"/>
      <c r="O259" s="227"/>
      <c r="P259" s="227"/>
      <c r="Q259" s="227"/>
      <c r="R259" s="227"/>
      <c r="S259" s="227"/>
      <c r="T259" s="227"/>
      <c r="U259" s="227"/>
      <c r="V259" s="227"/>
    </row>
    <row r="260" spans="1:22" s="211" customFormat="1" ht="16.5" hidden="1">
      <c r="A260" s="227"/>
      <c r="B260" s="227"/>
      <c r="C260" s="227"/>
      <c r="D260" s="227"/>
      <c r="E260" s="210"/>
      <c r="F260" s="748"/>
      <c r="G260" s="752"/>
      <c r="H260" s="748"/>
      <c r="I260" s="753"/>
      <c r="J260" s="753"/>
      <c r="K260" s="753"/>
      <c r="L260" s="201"/>
      <c r="M260" s="227"/>
      <c r="N260" s="227"/>
      <c r="O260" s="227"/>
      <c r="P260" s="227"/>
      <c r="Q260" s="227"/>
      <c r="R260" s="227"/>
      <c r="S260" s="227"/>
      <c r="T260" s="227"/>
      <c r="U260" s="227"/>
      <c r="V260" s="227"/>
    </row>
    <row r="261" spans="1:22" s="211" customFormat="1" ht="16.5" hidden="1">
      <c r="A261" s="227"/>
      <c r="B261" s="227"/>
      <c r="C261" s="227"/>
      <c r="D261" s="227"/>
      <c r="E261" s="210"/>
      <c r="F261" s="748"/>
      <c r="G261" s="752"/>
      <c r="H261" s="748"/>
      <c r="I261" s="753"/>
      <c r="J261" s="753"/>
      <c r="K261" s="753"/>
      <c r="L261" s="201"/>
      <c r="M261" s="227"/>
      <c r="N261" s="227"/>
      <c r="O261" s="227"/>
      <c r="P261" s="227"/>
      <c r="Q261" s="227"/>
      <c r="R261" s="227"/>
      <c r="S261" s="227"/>
      <c r="T261" s="227"/>
      <c r="U261" s="227"/>
      <c r="V261" s="227"/>
    </row>
    <row r="262" spans="1:22" s="211" customFormat="1" ht="16.5" hidden="1">
      <c r="A262" s="227"/>
      <c r="B262" s="227"/>
      <c r="C262" s="227"/>
      <c r="D262" s="227"/>
      <c r="E262" s="210"/>
      <c r="F262" s="748"/>
      <c r="G262" s="752"/>
      <c r="H262" s="748"/>
      <c r="I262" s="753"/>
      <c r="J262" s="753"/>
      <c r="K262" s="753"/>
      <c r="L262" s="201"/>
      <c r="M262" s="227"/>
      <c r="N262" s="227"/>
      <c r="O262" s="227"/>
      <c r="P262" s="227"/>
      <c r="Q262" s="227"/>
      <c r="R262" s="227"/>
      <c r="S262" s="227"/>
      <c r="T262" s="227"/>
      <c r="U262" s="227"/>
      <c r="V262" s="227"/>
    </row>
    <row r="263" spans="1:22" s="211" customFormat="1" ht="16.5" hidden="1">
      <c r="A263" s="227"/>
      <c r="B263" s="227"/>
      <c r="C263" s="227"/>
      <c r="D263" s="227"/>
      <c r="E263" s="210"/>
      <c r="F263" s="748"/>
      <c r="G263" s="752"/>
      <c r="H263" s="748"/>
      <c r="I263" s="753"/>
      <c r="J263" s="753"/>
      <c r="K263" s="753"/>
      <c r="L263" s="201"/>
      <c r="M263" s="227"/>
      <c r="N263" s="227"/>
      <c r="O263" s="227"/>
      <c r="P263" s="227"/>
      <c r="Q263" s="227"/>
      <c r="R263" s="227"/>
      <c r="S263" s="227"/>
      <c r="T263" s="227"/>
      <c r="U263" s="227"/>
      <c r="V263" s="227"/>
    </row>
    <row r="264" spans="1:22" s="211" customFormat="1" ht="16.5" hidden="1">
      <c r="A264" s="227"/>
      <c r="B264" s="227"/>
      <c r="C264" s="227"/>
      <c r="D264" s="227"/>
      <c r="E264" s="210"/>
      <c r="F264" s="748"/>
      <c r="G264" s="752"/>
      <c r="H264" s="748"/>
      <c r="I264" s="753"/>
      <c r="J264" s="753"/>
      <c r="K264" s="753"/>
      <c r="L264" s="201"/>
      <c r="M264" s="227"/>
      <c r="N264" s="227"/>
      <c r="O264" s="227"/>
      <c r="P264" s="227"/>
      <c r="Q264" s="227"/>
      <c r="R264" s="227"/>
      <c r="S264" s="227"/>
      <c r="T264" s="227"/>
      <c r="U264" s="227"/>
      <c r="V264" s="227"/>
    </row>
    <row r="265" spans="1:22" s="211" customFormat="1" ht="16.5" hidden="1">
      <c r="A265" s="227"/>
      <c r="B265" s="227"/>
      <c r="C265" s="227"/>
      <c r="D265" s="227"/>
      <c r="E265" s="210"/>
      <c r="F265" s="748"/>
      <c r="G265" s="752"/>
      <c r="H265" s="748"/>
      <c r="I265" s="753"/>
      <c r="J265" s="753"/>
      <c r="K265" s="753"/>
      <c r="L265" s="201"/>
      <c r="M265" s="227"/>
      <c r="N265" s="227"/>
      <c r="O265" s="227"/>
      <c r="P265" s="227"/>
      <c r="Q265" s="227"/>
      <c r="R265" s="227"/>
      <c r="S265" s="227"/>
      <c r="T265" s="227"/>
      <c r="U265" s="227"/>
      <c r="V265" s="227"/>
    </row>
    <row r="266" spans="1:22" s="211" customFormat="1" ht="16.5" hidden="1">
      <c r="A266" s="227"/>
      <c r="B266" s="227"/>
      <c r="C266" s="227"/>
      <c r="D266" s="227"/>
      <c r="E266" s="210"/>
      <c r="F266" s="748"/>
      <c r="G266" s="752"/>
      <c r="H266" s="748"/>
      <c r="I266" s="753"/>
      <c r="J266" s="753"/>
      <c r="K266" s="753"/>
      <c r="L266" s="201"/>
      <c r="M266" s="227"/>
      <c r="N266" s="227"/>
      <c r="O266" s="227"/>
      <c r="P266" s="227"/>
      <c r="Q266" s="227"/>
      <c r="R266" s="227"/>
      <c r="S266" s="227"/>
      <c r="T266" s="227"/>
      <c r="U266" s="227"/>
      <c r="V266" s="227"/>
    </row>
    <row r="267" spans="1:22" s="211" customFormat="1" ht="16.5" hidden="1">
      <c r="A267" s="227"/>
      <c r="B267" s="227"/>
      <c r="C267" s="227"/>
      <c r="D267" s="227"/>
      <c r="E267" s="210"/>
      <c r="F267" s="748"/>
      <c r="G267" s="752"/>
      <c r="H267" s="748"/>
      <c r="I267" s="753"/>
      <c r="J267" s="753"/>
      <c r="K267" s="753"/>
      <c r="L267" s="201"/>
      <c r="M267" s="227"/>
      <c r="N267" s="227"/>
      <c r="O267" s="227"/>
      <c r="P267" s="227"/>
      <c r="Q267" s="227"/>
      <c r="R267" s="227"/>
      <c r="S267" s="227"/>
      <c r="T267" s="227"/>
      <c r="U267" s="227"/>
      <c r="V267" s="227"/>
    </row>
    <row r="268" spans="1:22" s="211" customFormat="1" ht="16.5" hidden="1">
      <c r="A268" s="227"/>
      <c r="B268" s="227"/>
      <c r="C268" s="227"/>
      <c r="D268" s="227"/>
      <c r="E268" s="210"/>
      <c r="F268" s="748"/>
      <c r="G268" s="752"/>
      <c r="H268" s="748"/>
      <c r="I268" s="753"/>
      <c r="J268" s="753"/>
      <c r="K268" s="753"/>
      <c r="L268" s="201"/>
      <c r="M268" s="227"/>
      <c r="N268" s="227"/>
      <c r="O268" s="227"/>
      <c r="P268" s="227"/>
      <c r="Q268" s="227"/>
      <c r="R268" s="227"/>
      <c r="S268" s="227"/>
      <c r="T268" s="227"/>
      <c r="U268" s="227"/>
      <c r="V268" s="227"/>
    </row>
    <row r="269" spans="1:22" s="211" customFormat="1" ht="16.5" hidden="1">
      <c r="A269" s="227"/>
      <c r="B269" s="227"/>
      <c r="C269" s="227"/>
      <c r="D269" s="227"/>
      <c r="E269" s="210"/>
      <c r="F269" s="748"/>
      <c r="G269" s="752"/>
      <c r="H269" s="748"/>
      <c r="I269" s="753"/>
      <c r="J269" s="753"/>
      <c r="K269" s="753"/>
      <c r="L269" s="201"/>
      <c r="M269" s="227"/>
      <c r="N269" s="227"/>
      <c r="O269" s="227"/>
      <c r="P269" s="227"/>
      <c r="Q269" s="227"/>
      <c r="R269" s="227"/>
      <c r="S269" s="227"/>
      <c r="T269" s="227"/>
      <c r="U269" s="227"/>
      <c r="V269" s="227"/>
    </row>
    <row r="270" spans="1:22" s="211" customFormat="1" ht="16.5" hidden="1">
      <c r="A270" s="227"/>
      <c r="B270" s="227"/>
      <c r="C270" s="227"/>
      <c r="D270" s="227"/>
      <c r="E270" s="210"/>
      <c r="F270" s="748"/>
      <c r="G270" s="752"/>
      <c r="H270" s="748"/>
      <c r="I270" s="753"/>
      <c r="J270" s="753"/>
      <c r="K270" s="753"/>
      <c r="L270" s="201"/>
      <c r="M270" s="227"/>
      <c r="N270" s="227"/>
      <c r="O270" s="227"/>
      <c r="P270" s="227"/>
      <c r="Q270" s="227"/>
      <c r="R270" s="227"/>
      <c r="S270" s="227"/>
      <c r="T270" s="227"/>
      <c r="U270" s="227"/>
      <c r="V270" s="227"/>
    </row>
    <row r="271" spans="1:22" s="211" customFormat="1" ht="16.5" hidden="1">
      <c r="A271" s="227"/>
      <c r="B271" s="227"/>
      <c r="C271" s="227"/>
      <c r="D271" s="227"/>
      <c r="E271" s="210"/>
      <c r="F271" s="748"/>
      <c r="G271" s="752"/>
      <c r="H271" s="748"/>
      <c r="I271" s="753"/>
      <c r="J271" s="753"/>
      <c r="K271" s="753"/>
      <c r="L271" s="201"/>
      <c r="M271" s="227"/>
      <c r="N271" s="227"/>
      <c r="O271" s="227"/>
      <c r="P271" s="227"/>
      <c r="Q271" s="227"/>
      <c r="R271" s="227"/>
      <c r="S271" s="227"/>
      <c r="T271" s="227"/>
      <c r="U271" s="227"/>
      <c r="V271" s="227"/>
    </row>
    <row r="272" spans="1:22" s="211" customFormat="1" ht="16.5" hidden="1">
      <c r="A272" s="227"/>
      <c r="B272" s="227"/>
      <c r="C272" s="227"/>
      <c r="D272" s="227"/>
      <c r="E272" s="210"/>
      <c r="F272" s="748"/>
      <c r="G272" s="752"/>
      <c r="H272" s="748"/>
      <c r="I272" s="753"/>
      <c r="J272" s="753"/>
      <c r="K272" s="753"/>
      <c r="L272" s="201"/>
      <c r="M272" s="227"/>
      <c r="N272" s="227"/>
      <c r="O272" s="227"/>
      <c r="P272" s="227"/>
      <c r="Q272" s="227"/>
      <c r="R272" s="227"/>
      <c r="S272" s="227"/>
      <c r="T272" s="227"/>
      <c r="U272" s="227"/>
      <c r="V272" s="227"/>
    </row>
    <row r="273" spans="1:22" s="211" customFormat="1" ht="16.5" hidden="1">
      <c r="A273" s="227"/>
      <c r="B273" s="227"/>
      <c r="C273" s="227"/>
      <c r="D273" s="227"/>
      <c r="E273" s="210"/>
      <c r="F273" s="748"/>
      <c r="G273" s="752"/>
      <c r="H273" s="748"/>
      <c r="I273" s="753"/>
      <c r="J273" s="753"/>
      <c r="K273" s="753"/>
      <c r="L273" s="201"/>
      <c r="M273" s="227"/>
      <c r="N273" s="227"/>
      <c r="O273" s="227"/>
      <c r="P273" s="227"/>
      <c r="Q273" s="227"/>
      <c r="R273" s="227"/>
      <c r="S273" s="227"/>
      <c r="T273" s="227"/>
      <c r="U273" s="227"/>
      <c r="V273" s="227"/>
    </row>
    <row r="274" spans="1:22" s="211" customFormat="1" ht="16.5" hidden="1">
      <c r="A274" s="227"/>
      <c r="B274" s="227"/>
      <c r="C274" s="227"/>
      <c r="D274" s="227"/>
      <c r="E274" s="210"/>
      <c r="F274" s="748"/>
      <c r="G274" s="752"/>
      <c r="H274" s="748"/>
      <c r="I274" s="753"/>
      <c r="J274" s="753"/>
      <c r="K274" s="753"/>
      <c r="L274" s="201"/>
      <c r="M274" s="227"/>
      <c r="N274" s="227"/>
      <c r="O274" s="227"/>
      <c r="P274" s="227"/>
      <c r="Q274" s="227"/>
      <c r="R274" s="227"/>
      <c r="S274" s="227"/>
      <c r="T274" s="227"/>
      <c r="U274" s="227"/>
      <c r="V274" s="227"/>
    </row>
    <row r="275" spans="1:22" s="211" customFormat="1" ht="16.5" hidden="1">
      <c r="A275" s="227"/>
      <c r="B275" s="227"/>
      <c r="C275" s="227"/>
      <c r="D275" s="227"/>
      <c r="E275" s="210"/>
      <c r="F275" s="748"/>
      <c r="G275" s="752"/>
      <c r="H275" s="748"/>
      <c r="I275" s="753"/>
      <c r="J275" s="753"/>
      <c r="K275" s="753"/>
      <c r="L275" s="201"/>
      <c r="M275" s="227"/>
      <c r="N275" s="227"/>
      <c r="O275" s="227"/>
      <c r="P275" s="227"/>
      <c r="Q275" s="227"/>
      <c r="R275" s="227"/>
      <c r="S275" s="227"/>
      <c r="T275" s="227"/>
      <c r="U275" s="227"/>
      <c r="V275" s="227"/>
    </row>
    <row r="276" spans="1:22" s="211" customFormat="1" ht="16.5" hidden="1">
      <c r="A276" s="227"/>
      <c r="B276" s="227"/>
      <c r="C276" s="227"/>
      <c r="D276" s="227"/>
      <c r="E276" s="210"/>
      <c r="F276" s="748"/>
      <c r="G276" s="752"/>
      <c r="H276" s="748"/>
      <c r="I276" s="753"/>
      <c r="J276" s="753"/>
      <c r="K276" s="753"/>
      <c r="L276" s="201"/>
      <c r="M276" s="227"/>
      <c r="N276" s="227"/>
      <c r="O276" s="227"/>
      <c r="P276" s="227"/>
      <c r="Q276" s="227"/>
      <c r="R276" s="227"/>
      <c r="S276" s="227"/>
      <c r="T276" s="227"/>
      <c r="U276" s="227"/>
      <c r="V276" s="227"/>
    </row>
    <row r="277" spans="1:22" s="211" customFormat="1" ht="16.5" hidden="1">
      <c r="A277" s="227"/>
      <c r="B277" s="227"/>
      <c r="C277" s="227"/>
      <c r="D277" s="227"/>
      <c r="E277" s="210"/>
      <c r="F277" s="748"/>
      <c r="G277" s="752"/>
      <c r="H277" s="748"/>
      <c r="I277" s="753"/>
      <c r="J277" s="753"/>
      <c r="K277" s="753"/>
      <c r="L277" s="201"/>
      <c r="M277" s="227"/>
      <c r="N277" s="227"/>
      <c r="O277" s="227"/>
      <c r="P277" s="227"/>
      <c r="Q277" s="227"/>
      <c r="R277" s="227"/>
      <c r="S277" s="227"/>
      <c r="T277" s="227"/>
      <c r="U277" s="227"/>
      <c r="V277" s="227"/>
    </row>
    <row r="278" spans="1:22" s="211" customFormat="1" ht="16.5" hidden="1">
      <c r="A278" s="227"/>
      <c r="B278" s="227"/>
      <c r="C278" s="227"/>
      <c r="D278" s="227"/>
      <c r="E278" s="210"/>
      <c r="F278" s="748"/>
      <c r="G278" s="752"/>
      <c r="H278" s="748"/>
      <c r="I278" s="753"/>
      <c r="J278" s="753"/>
      <c r="K278" s="753"/>
      <c r="L278" s="201"/>
      <c r="M278" s="227"/>
      <c r="N278" s="227"/>
      <c r="O278" s="227"/>
      <c r="P278" s="227"/>
      <c r="Q278" s="227"/>
      <c r="R278" s="227"/>
      <c r="S278" s="227"/>
      <c r="T278" s="227"/>
      <c r="U278" s="227"/>
      <c r="V278" s="227"/>
    </row>
    <row r="279" spans="1:22" s="211" customFormat="1" ht="16.5" hidden="1">
      <c r="A279" s="227"/>
      <c r="B279" s="227"/>
      <c r="C279" s="227"/>
      <c r="D279" s="227"/>
      <c r="E279" s="210"/>
      <c r="F279" s="748"/>
      <c r="G279" s="752"/>
      <c r="H279" s="748"/>
      <c r="I279" s="753"/>
      <c r="J279" s="753"/>
      <c r="K279" s="753"/>
      <c r="L279" s="201"/>
      <c r="M279" s="227"/>
      <c r="N279" s="227"/>
      <c r="O279" s="227"/>
      <c r="P279" s="227"/>
      <c r="Q279" s="227"/>
      <c r="R279" s="227"/>
      <c r="S279" s="227"/>
      <c r="T279" s="227"/>
      <c r="U279" s="227"/>
      <c r="V279" s="227"/>
    </row>
    <row r="280" spans="1:22" s="211" customFormat="1" ht="16.5" hidden="1">
      <c r="A280" s="227"/>
      <c r="B280" s="227"/>
      <c r="C280" s="227"/>
      <c r="D280" s="227"/>
      <c r="E280" s="210"/>
      <c r="F280" s="748"/>
      <c r="G280" s="752"/>
      <c r="H280" s="748"/>
      <c r="I280" s="753"/>
      <c r="J280" s="753"/>
      <c r="K280" s="753"/>
      <c r="L280" s="201"/>
      <c r="M280" s="227"/>
      <c r="N280" s="227"/>
      <c r="O280" s="227"/>
      <c r="P280" s="227"/>
      <c r="Q280" s="227"/>
      <c r="R280" s="227"/>
      <c r="S280" s="227"/>
      <c r="T280" s="227"/>
      <c r="U280" s="227"/>
      <c r="V280" s="227"/>
    </row>
    <row r="281" spans="1:22" s="211" customFormat="1" ht="16.5" hidden="1">
      <c r="A281" s="227"/>
      <c r="B281" s="227"/>
      <c r="C281" s="227"/>
      <c r="D281" s="227"/>
      <c r="E281" s="210"/>
      <c r="F281" s="748"/>
      <c r="G281" s="752"/>
      <c r="H281" s="748"/>
      <c r="I281" s="753"/>
      <c r="J281" s="753"/>
      <c r="K281" s="753"/>
      <c r="L281" s="201"/>
      <c r="M281" s="227"/>
      <c r="N281" s="227"/>
      <c r="O281" s="227"/>
      <c r="P281" s="227"/>
      <c r="Q281" s="227"/>
      <c r="R281" s="227"/>
      <c r="S281" s="227"/>
      <c r="T281" s="227"/>
      <c r="U281" s="227"/>
      <c r="V281" s="227"/>
    </row>
    <row r="282" spans="1:22" s="211" customFormat="1" ht="16.5" hidden="1">
      <c r="A282" s="227"/>
      <c r="B282" s="227"/>
      <c r="C282" s="227"/>
      <c r="D282" s="227"/>
      <c r="E282" s="210"/>
      <c r="F282" s="748"/>
      <c r="G282" s="752"/>
      <c r="H282" s="748"/>
      <c r="I282" s="753"/>
      <c r="J282" s="753"/>
      <c r="K282" s="753"/>
      <c r="L282" s="201"/>
      <c r="M282" s="227"/>
      <c r="N282" s="227"/>
      <c r="O282" s="227"/>
      <c r="P282" s="227"/>
      <c r="Q282" s="227"/>
      <c r="R282" s="227"/>
      <c r="S282" s="227"/>
      <c r="T282" s="227"/>
      <c r="U282" s="227"/>
      <c r="V282" s="227"/>
    </row>
    <row r="283" spans="1:22" s="211" customFormat="1" ht="16.5" hidden="1">
      <c r="A283" s="227"/>
      <c r="B283" s="227"/>
      <c r="C283" s="227"/>
      <c r="D283" s="227"/>
      <c r="E283" s="210"/>
      <c r="F283" s="748"/>
      <c r="G283" s="752"/>
      <c r="H283" s="748"/>
      <c r="I283" s="753"/>
      <c r="J283" s="753"/>
      <c r="K283" s="753"/>
      <c r="L283" s="201"/>
      <c r="M283" s="227"/>
      <c r="N283" s="227"/>
      <c r="O283" s="227"/>
      <c r="P283" s="227"/>
      <c r="Q283" s="227"/>
      <c r="R283" s="227"/>
      <c r="S283" s="227"/>
      <c r="T283" s="227"/>
      <c r="U283" s="227"/>
      <c r="V283" s="227"/>
    </row>
    <row r="284" spans="1:22" s="211" customFormat="1" ht="16.5" hidden="1">
      <c r="A284" s="227"/>
      <c r="B284" s="227"/>
      <c r="C284" s="227"/>
      <c r="D284" s="227"/>
      <c r="E284" s="210"/>
      <c r="F284" s="748"/>
      <c r="G284" s="752"/>
      <c r="H284" s="748"/>
      <c r="I284" s="753"/>
      <c r="J284" s="753"/>
      <c r="K284" s="753"/>
      <c r="L284" s="201"/>
      <c r="M284" s="227"/>
      <c r="N284" s="227"/>
      <c r="O284" s="227"/>
      <c r="P284" s="227"/>
      <c r="Q284" s="227"/>
      <c r="R284" s="227"/>
      <c r="S284" s="227"/>
      <c r="T284" s="227"/>
      <c r="U284" s="227"/>
      <c r="V284" s="227"/>
    </row>
    <row r="285" spans="1:22" s="211" customFormat="1" ht="16.5" hidden="1">
      <c r="A285" s="227"/>
      <c r="B285" s="227"/>
      <c r="C285" s="227"/>
      <c r="D285" s="227"/>
      <c r="E285" s="210"/>
      <c r="F285" s="748"/>
      <c r="G285" s="752"/>
      <c r="H285" s="748"/>
      <c r="I285" s="753"/>
      <c r="J285" s="753"/>
      <c r="K285" s="753"/>
      <c r="L285" s="201"/>
      <c r="M285" s="227"/>
      <c r="N285" s="227"/>
      <c r="O285" s="227"/>
      <c r="P285" s="227"/>
      <c r="Q285" s="227"/>
      <c r="R285" s="227"/>
      <c r="S285" s="227"/>
      <c r="T285" s="227"/>
      <c r="U285" s="227"/>
      <c r="V285" s="227"/>
    </row>
    <row r="286" spans="1:22" s="211" customFormat="1" ht="16.5" hidden="1">
      <c r="A286" s="227"/>
      <c r="B286" s="227"/>
      <c r="C286" s="227"/>
      <c r="D286" s="227"/>
      <c r="E286" s="210"/>
      <c r="F286" s="748"/>
      <c r="G286" s="752"/>
      <c r="H286" s="748"/>
      <c r="I286" s="753"/>
      <c r="J286" s="753"/>
      <c r="K286" s="753"/>
      <c r="L286" s="201"/>
      <c r="M286" s="227"/>
      <c r="N286" s="227"/>
      <c r="O286" s="227"/>
      <c r="P286" s="227"/>
      <c r="Q286" s="227"/>
      <c r="R286" s="227"/>
      <c r="S286" s="227"/>
      <c r="T286" s="227"/>
      <c r="U286" s="227"/>
      <c r="V286" s="227"/>
    </row>
    <row r="287" spans="1:22" s="211" customFormat="1" ht="16.5" hidden="1">
      <c r="A287" s="227"/>
      <c r="B287" s="227"/>
      <c r="C287" s="227"/>
      <c r="D287" s="227"/>
      <c r="E287" s="210"/>
      <c r="F287" s="748"/>
      <c r="G287" s="752"/>
      <c r="H287" s="748"/>
      <c r="I287" s="753"/>
      <c r="J287" s="753"/>
      <c r="K287" s="753"/>
      <c r="L287" s="201"/>
      <c r="M287" s="227"/>
      <c r="N287" s="227"/>
      <c r="O287" s="227"/>
      <c r="P287" s="227"/>
      <c r="Q287" s="227"/>
      <c r="R287" s="227"/>
      <c r="S287" s="227"/>
      <c r="T287" s="227"/>
      <c r="U287" s="227"/>
      <c r="V287" s="227"/>
    </row>
    <row r="288" spans="1:22" s="211" customFormat="1" ht="16.5" hidden="1">
      <c r="A288" s="227"/>
      <c r="B288" s="227"/>
      <c r="C288" s="227"/>
      <c r="D288" s="227"/>
      <c r="E288" s="210"/>
      <c r="F288" s="748"/>
      <c r="G288" s="752"/>
      <c r="H288" s="748"/>
      <c r="I288" s="753"/>
      <c r="J288" s="753"/>
      <c r="K288" s="753"/>
      <c r="L288" s="201"/>
      <c r="M288" s="227"/>
      <c r="N288" s="227"/>
      <c r="O288" s="227"/>
      <c r="P288" s="227"/>
      <c r="Q288" s="227"/>
      <c r="R288" s="227"/>
      <c r="S288" s="227"/>
      <c r="T288" s="227"/>
      <c r="U288" s="227"/>
      <c r="V288" s="227"/>
    </row>
    <row r="289" spans="1:22" s="211" customFormat="1" ht="16.5" hidden="1">
      <c r="A289" s="227"/>
      <c r="B289" s="227"/>
      <c r="C289" s="227"/>
      <c r="D289" s="227"/>
      <c r="E289" s="210"/>
      <c r="F289" s="748"/>
      <c r="G289" s="752"/>
      <c r="H289" s="748"/>
      <c r="I289" s="753"/>
      <c r="J289" s="753"/>
      <c r="K289" s="753"/>
      <c r="L289" s="201"/>
      <c r="M289" s="227"/>
      <c r="N289" s="227"/>
      <c r="O289" s="227"/>
      <c r="P289" s="227"/>
      <c r="Q289" s="227"/>
      <c r="R289" s="227"/>
      <c r="S289" s="227"/>
      <c r="T289" s="227"/>
      <c r="U289" s="227"/>
      <c r="V289" s="227"/>
    </row>
    <row r="290" spans="1:22" s="211" customFormat="1" ht="16.5" hidden="1">
      <c r="A290" s="227"/>
      <c r="B290" s="227"/>
      <c r="C290" s="227"/>
      <c r="D290" s="227"/>
      <c r="E290" s="210"/>
      <c r="F290" s="748"/>
      <c r="G290" s="752"/>
      <c r="H290" s="748"/>
      <c r="I290" s="753"/>
      <c r="J290" s="753"/>
      <c r="K290" s="753"/>
      <c r="L290" s="201"/>
      <c r="M290" s="227"/>
      <c r="N290" s="227"/>
      <c r="O290" s="227"/>
      <c r="P290" s="227"/>
      <c r="Q290" s="227"/>
      <c r="R290" s="227"/>
      <c r="S290" s="227"/>
      <c r="T290" s="227"/>
      <c r="U290" s="227"/>
      <c r="V290" s="227"/>
    </row>
    <row r="291" spans="1:22" s="211" customFormat="1" ht="16.5" hidden="1">
      <c r="A291" s="227"/>
      <c r="B291" s="227"/>
      <c r="C291" s="227"/>
      <c r="D291" s="227"/>
      <c r="E291" s="210"/>
      <c r="F291" s="748"/>
      <c r="G291" s="752"/>
      <c r="H291" s="748"/>
      <c r="I291" s="753"/>
      <c r="J291" s="753"/>
      <c r="K291" s="753"/>
      <c r="L291" s="201"/>
      <c r="M291" s="227"/>
      <c r="N291" s="227"/>
      <c r="O291" s="227"/>
      <c r="P291" s="227"/>
      <c r="Q291" s="227"/>
      <c r="R291" s="227"/>
      <c r="S291" s="227"/>
      <c r="T291" s="227"/>
      <c r="U291" s="227"/>
      <c r="V291" s="227"/>
    </row>
    <row r="292" spans="1:22" s="211" customFormat="1" ht="16.5" hidden="1">
      <c r="A292" s="227"/>
      <c r="B292" s="227"/>
      <c r="C292" s="227"/>
      <c r="D292" s="227"/>
      <c r="E292" s="210"/>
      <c r="F292" s="748"/>
      <c r="G292" s="752"/>
      <c r="H292" s="748"/>
      <c r="I292" s="753"/>
      <c r="J292" s="753"/>
      <c r="K292" s="753"/>
      <c r="L292" s="201"/>
      <c r="M292" s="227"/>
      <c r="N292" s="227"/>
      <c r="O292" s="227"/>
      <c r="P292" s="227"/>
      <c r="Q292" s="227"/>
      <c r="R292" s="227"/>
      <c r="S292" s="227"/>
      <c r="T292" s="227"/>
      <c r="U292" s="227"/>
      <c r="V292" s="227"/>
    </row>
    <row r="293" spans="1:22" s="211" customFormat="1" ht="16.5" hidden="1">
      <c r="A293" s="227"/>
      <c r="B293" s="227"/>
      <c r="C293" s="227"/>
      <c r="D293" s="227"/>
      <c r="E293" s="210"/>
      <c r="F293" s="748"/>
      <c r="G293" s="752"/>
      <c r="H293" s="748"/>
      <c r="I293" s="753"/>
      <c r="J293" s="753"/>
      <c r="K293" s="753"/>
      <c r="L293" s="201"/>
      <c r="M293" s="227"/>
      <c r="N293" s="227"/>
      <c r="O293" s="227"/>
      <c r="P293" s="227"/>
      <c r="Q293" s="227"/>
      <c r="R293" s="227"/>
      <c r="S293" s="227"/>
      <c r="T293" s="227"/>
      <c r="U293" s="227"/>
      <c r="V293" s="227"/>
    </row>
    <row r="294" spans="1:22" s="211" customFormat="1" ht="16.5" hidden="1">
      <c r="A294" s="227"/>
      <c r="B294" s="227"/>
      <c r="C294" s="227"/>
      <c r="D294" s="227"/>
      <c r="E294" s="210"/>
      <c r="F294" s="748"/>
      <c r="G294" s="752"/>
      <c r="H294" s="748"/>
      <c r="I294" s="753"/>
      <c r="J294" s="753"/>
      <c r="K294" s="753"/>
      <c r="L294" s="201"/>
      <c r="M294" s="227"/>
      <c r="N294" s="227"/>
      <c r="O294" s="227"/>
      <c r="P294" s="227"/>
      <c r="Q294" s="227"/>
      <c r="R294" s="227"/>
      <c r="S294" s="227"/>
      <c r="T294" s="227"/>
      <c r="U294" s="227"/>
      <c r="V294" s="227"/>
    </row>
    <row r="295" spans="1:22" s="211" customFormat="1" ht="16.5" hidden="1">
      <c r="A295" s="227"/>
      <c r="B295" s="227"/>
      <c r="C295" s="227"/>
      <c r="D295" s="227"/>
      <c r="E295" s="210"/>
      <c r="F295" s="748"/>
      <c r="G295" s="752"/>
      <c r="H295" s="748"/>
      <c r="I295" s="753"/>
      <c r="J295" s="753"/>
      <c r="K295" s="753"/>
      <c r="L295" s="201"/>
      <c r="M295" s="227"/>
      <c r="N295" s="227"/>
      <c r="O295" s="227"/>
      <c r="P295" s="227"/>
      <c r="Q295" s="227"/>
      <c r="R295" s="227"/>
      <c r="S295" s="227"/>
      <c r="T295" s="227"/>
      <c r="U295" s="227"/>
      <c r="V295" s="227"/>
    </row>
    <row r="296" spans="1:22" s="211" customFormat="1" ht="16.5" hidden="1">
      <c r="A296" s="227"/>
      <c r="B296" s="227"/>
      <c r="C296" s="227"/>
      <c r="D296" s="227"/>
      <c r="E296" s="210"/>
      <c r="F296" s="748"/>
      <c r="G296" s="752"/>
      <c r="H296" s="748"/>
      <c r="I296" s="753"/>
      <c r="J296" s="753"/>
      <c r="K296" s="753"/>
      <c r="L296" s="201"/>
      <c r="M296" s="227"/>
      <c r="N296" s="227"/>
      <c r="O296" s="227"/>
      <c r="P296" s="227"/>
      <c r="Q296" s="227"/>
      <c r="R296" s="227"/>
      <c r="S296" s="227"/>
      <c r="T296" s="227"/>
      <c r="U296" s="227"/>
      <c r="V296" s="227"/>
    </row>
    <row r="297" spans="1:22" s="211" customFormat="1" ht="16.5" hidden="1">
      <c r="A297" s="227"/>
      <c r="B297" s="227"/>
      <c r="C297" s="227"/>
      <c r="D297" s="227"/>
      <c r="E297" s="210"/>
      <c r="F297" s="748"/>
      <c r="G297" s="752"/>
      <c r="H297" s="748"/>
      <c r="I297" s="753"/>
      <c r="J297" s="753"/>
      <c r="K297" s="753"/>
      <c r="L297" s="201"/>
      <c r="M297" s="227"/>
      <c r="N297" s="227"/>
      <c r="O297" s="227"/>
      <c r="P297" s="227"/>
      <c r="Q297" s="227"/>
      <c r="R297" s="227"/>
      <c r="S297" s="227"/>
      <c r="T297" s="227"/>
      <c r="U297" s="227"/>
      <c r="V297" s="227"/>
    </row>
    <row r="298" spans="1:22" s="211" customFormat="1" ht="16.5" hidden="1">
      <c r="A298" s="227"/>
      <c r="B298" s="227"/>
      <c r="C298" s="227"/>
      <c r="D298" s="227"/>
      <c r="E298" s="210"/>
      <c r="F298" s="748"/>
      <c r="G298" s="752"/>
      <c r="H298" s="748"/>
      <c r="I298" s="753"/>
      <c r="J298" s="753"/>
      <c r="K298" s="753"/>
      <c r="L298" s="201"/>
      <c r="M298" s="227"/>
      <c r="N298" s="227"/>
      <c r="O298" s="227"/>
      <c r="P298" s="227"/>
      <c r="Q298" s="227"/>
      <c r="R298" s="227"/>
      <c r="S298" s="227"/>
      <c r="T298" s="227"/>
      <c r="U298" s="227"/>
      <c r="V298" s="227"/>
    </row>
    <row r="299" spans="1:22" s="211" customFormat="1" ht="16.5" hidden="1">
      <c r="A299" s="227"/>
      <c r="B299" s="227"/>
      <c r="C299" s="227"/>
      <c r="D299" s="227"/>
      <c r="E299" s="210"/>
      <c r="F299" s="748"/>
      <c r="G299" s="752"/>
      <c r="H299" s="748"/>
      <c r="I299" s="753"/>
      <c r="J299" s="753"/>
      <c r="K299" s="753"/>
      <c r="L299" s="201"/>
      <c r="M299" s="227"/>
      <c r="N299" s="227"/>
      <c r="O299" s="227"/>
      <c r="P299" s="227"/>
      <c r="Q299" s="227"/>
      <c r="R299" s="227"/>
      <c r="S299" s="227"/>
      <c r="T299" s="227"/>
      <c r="U299" s="227"/>
      <c r="V299" s="227"/>
    </row>
    <row r="300" spans="1:22" s="211" customFormat="1" ht="16.5" hidden="1">
      <c r="A300" s="227"/>
      <c r="B300" s="227"/>
      <c r="C300" s="227"/>
      <c r="D300" s="227"/>
      <c r="E300" s="210"/>
      <c r="F300" s="748"/>
      <c r="G300" s="752"/>
      <c r="H300" s="748"/>
      <c r="I300" s="753"/>
      <c r="J300" s="753"/>
      <c r="K300" s="753"/>
      <c r="L300" s="201"/>
      <c r="M300" s="227"/>
      <c r="N300" s="227"/>
      <c r="O300" s="227"/>
      <c r="P300" s="227"/>
      <c r="Q300" s="227"/>
      <c r="R300" s="227"/>
      <c r="S300" s="227"/>
      <c r="T300" s="227"/>
      <c r="U300" s="227"/>
      <c r="V300" s="227"/>
    </row>
    <row r="301" spans="1:22" s="211" customFormat="1" ht="16.5" hidden="1">
      <c r="A301" s="227"/>
      <c r="B301" s="227"/>
      <c r="C301" s="227"/>
      <c r="D301" s="227"/>
      <c r="E301" s="210"/>
      <c r="F301" s="748"/>
      <c r="G301" s="752"/>
      <c r="H301" s="748"/>
      <c r="I301" s="753"/>
      <c r="J301" s="753"/>
      <c r="K301" s="753"/>
      <c r="L301" s="201"/>
      <c r="M301" s="227"/>
      <c r="N301" s="227"/>
      <c r="O301" s="227"/>
      <c r="P301" s="227"/>
      <c r="Q301" s="227"/>
      <c r="R301" s="227"/>
      <c r="S301" s="227"/>
      <c r="T301" s="227"/>
      <c r="U301" s="227"/>
      <c r="V301" s="227"/>
    </row>
    <row r="302" spans="1:22" s="211" customFormat="1" ht="16.5" hidden="1">
      <c r="A302" s="227"/>
      <c r="B302" s="227"/>
      <c r="C302" s="227"/>
      <c r="D302" s="227"/>
      <c r="E302" s="210"/>
      <c r="F302" s="748"/>
      <c r="G302" s="752"/>
      <c r="H302" s="748"/>
      <c r="I302" s="753"/>
      <c r="J302" s="753"/>
      <c r="K302" s="753"/>
      <c r="L302" s="201"/>
      <c r="M302" s="227"/>
      <c r="N302" s="227"/>
      <c r="O302" s="227"/>
      <c r="P302" s="227"/>
      <c r="Q302" s="227"/>
      <c r="R302" s="227"/>
      <c r="S302" s="227"/>
      <c r="T302" s="227"/>
      <c r="U302" s="227"/>
      <c r="V302" s="227"/>
    </row>
    <row r="303" spans="1:22" s="211" customFormat="1" ht="16.5" hidden="1">
      <c r="A303" s="227"/>
      <c r="B303" s="227"/>
      <c r="C303" s="227"/>
      <c r="D303" s="227"/>
      <c r="E303" s="210"/>
      <c r="F303" s="748"/>
      <c r="G303" s="752"/>
      <c r="H303" s="748"/>
      <c r="I303" s="753"/>
      <c r="J303" s="753"/>
      <c r="K303" s="753"/>
      <c r="L303" s="201"/>
      <c r="M303" s="227"/>
      <c r="N303" s="227"/>
      <c r="O303" s="227"/>
      <c r="P303" s="227"/>
      <c r="Q303" s="227"/>
      <c r="R303" s="227"/>
      <c r="S303" s="227"/>
      <c r="T303" s="227"/>
      <c r="U303" s="227"/>
      <c r="V303" s="227"/>
    </row>
    <row r="304" spans="1:22" s="211" customFormat="1" ht="16.5" hidden="1">
      <c r="A304" s="227"/>
      <c r="B304" s="227"/>
      <c r="C304" s="227"/>
      <c r="D304" s="227"/>
      <c r="E304" s="210"/>
      <c r="F304" s="748"/>
      <c r="G304" s="752"/>
      <c r="H304" s="748"/>
      <c r="I304" s="753"/>
      <c r="J304" s="753"/>
      <c r="K304" s="753"/>
      <c r="L304" s="201"/>
      <c r="M304" s="227"/>
      <c r="N304" s="227"/>
      <c r="O304" s="227"/>
      <c r="P304" s="227"/>
      <c r="Q304" s="227"/>
      <c r="R304" s="227"/>
      <c r="S304" s="227"/>
      <c r="T304" s="227"/>
      <c r="U304" s="227"/>
      <c r="V304" s="227"/>
    </row>
    <row r="305" spans="1:22" s="211" customFormat="1" ht="16.5" hidden="1">
      <c r="A305" s="227"/>
      <c r="B305" s="227"/>
      <c r="C305" s="227"/>
      <c r="D305" s="227"/>
      <c r="E305" s="210"/>
      <c r="F305" s="748"/>
      <c r="G305" s="752"/>
      <c r="H305" s="748"/>
      <c r="I305" s="753"/>
      <c r="J305" s="753"/>
      <c r="K305" s="753"/>
      <c r="L305" s="201"/>
      <c r="M305" s="227"/>
      <c r="N305" s="227"/>
      <c r="O305" s="227"/>
      <c r="P305" s="227"/>
      <c r="Q305" s="227"/>
      <c r="R305" s="227"/>
      <c r="S305" s="227"/>
      <c r="T305" s="227"/>
      <c r="U305" s="227"/>
      <c r="V305" s="227"/>
    </row>
    <row r="306" spans="1:22" s="211" customFormat="1" ht="16.5" hidden="1">
      <c r="A306" s="227"/>
      <c r="B306" s="227"/>
      <c r="C306" s="227"/>
      <c r="D306" s="227"/>
      <c r="E306" s="210"/>
      <c r="F306" s="748"/>
      <c r="G306" s="752"/>
      <c r="H306" s="748"/>
      <c r="I306" s="753"/>
      <c r="J306" s="753"/>
      <c r="K306" s="753"/>
      <c r="L306" s="201"/>
      <c r="M306" s="227"/>
      <c r="N306" s="227"/>
      <c r="O306" s="227"/>
      <c r="P306" s="227"/>
      <c r="Q306" s="227"/>
      <c r="R306" s="227"/>
      <c r="S306" s="227"/>
      <c r="T306" s="227"/>
      <c r="U306" s="227"/>
      <c r="V306" s="227"/>
    </row>
    <row r="307" spans="1:22" s="211" customFormat="1" ht="16.5" hidden="1">
      <c r="A307" s="227"/>
      <c r="B307" s="227"/>
      <c r="C307" s="227"/>
      <c r="D307" s="227"/>
      <c r="E307" s="210"/>
      <c r="F307" s="748"/>
      <c r="G307" s="752"/>
      <c r="H307" s="748"/>
      <c r="I307" s="753"/>
      <c r="J307" s="753"/>
      <c r="K307" s="753"/>
      <c r="L307" s="201"/>
      <c r="M307" s="227"/>
      <c r="N307" s="227"/>
      <c r="O307" s="227"/>
      <c r="P307" s="227"/>
      <c r="Q307" s="227"/>
      <c r="R307" s="227"/>
      <c r="S307" s="227"/>
      <c r="T307" s="227"/>
      <c r="U307" s="227"/>
      <c r="V307" s="227"/>
    </row>
    <row r="308" spans="1:22" s="211" customFormat="1" ht="16.5" hidden="1">
      <c r="A308" s="227"/>
      <c r="B308" s="227"/>
      <c r="C308" s="227"/>
      <c r="D308" s="227"/>
      <c r="E308" s="210"/>
      <c r="F308" s="748"/>
      <c r="G308" s="752"/>
      <c r="H308" s="748"/>
      <c r="I308" s="753"/>
      <c r="J308" s="753"/>
      <c r="K308" s="753"/>
      <c r="L308" s="201"/>
      <c r="M308" s="227"/>
      <c r="N308" s="227"/>
      <c r="O308" s="227"/>
      <c r="P308" s="227"/>
      <c r="Q308" s="227"/>
      <c r="R308" s="227"/>
      <c r="S308" s="227"/>
      <c r="T308" s="227"/>
      <c r="U308" s="227"/>
      <c r="V308" s="227"/>
    </row>
    <row r="309" spans="1:22" s="211" customFormat="1" ht="16.5" hidden="1">
      <c r="A309" s="227"/>
      <c r="B309" s="227"/>
      <c r="C309" s="227"/>
      <c r="D309" s="227"/>
      <c r="E309" s="210"/>
      <c r="F309" s="748"/>
      <c r="G309" s="752"/>
      <c r="H309" s="748"/>
      <c r="I309" s="753"/>
      <c r="J309" s="753"/>
      <c r="K309" s="753"/>
      <c r="L309" s="201"/>
      <c r="M309" s="227"/>
      <c r="N309" s="227"/>
      <c r="O309" s="227"/>
      <c r="P309" s="227"/>
      <c r="Q309" s="227"/>
      <c r="R309" s="227"/>
      <c r="S309" s="227"/>
      <c r="T309" s="227"/>
      <c r="U309" s="227"/>
      <c r="V309" s="227"/>
    </row>
    <row r="310" spans="1:22" s="211" customFormat="1" ht="16.5" hidden="1">
      <c r="A310" s="227"/>
      <c r="B310" s="227"/>
      <c r="C310" s="227"/>
      <c r="D310" s="227"/>
      <c r="E310" s="210"/>
      <c r="F310" s="748"/>
      <c r="G310" s="752"/>
      <c r="H310" s="748"/>
      <c r="I310" s="753"/>
      <c r="J310" s="753"/>
      <c r="K310" s="753"/>
      <c r="L310" s="201"/>
      <c r="M310" s="227"/>
      <c r="N310" s="227"/>
      <c r="O310" s="227"/>
      <c r="P310" s="227"/>
      <c r="Q310" s="227"/>
      <c r="R310" s="227"/>
      <c r="S310" s="227"/>
      <c r="T310" s="227"/>
      <c r="U310" s="227"/>
      <c r="V310" s="227"/>
    </row>
    <row r="311" spans="1:22" s="211" customFormat="1" ht="16.5" hidden="1">
      <c r="A311" s="227"/>
      <c r="B311" s="227"/>
      <c r="C311" s="227"/>
      <c r="D311" s="227"/>
      <c r="E311" s="210"/>
      <c r="F311" s="748"/>
      <c r="G311" s="752"/>
      <c r="H311" s="748"/>
      <c r="I311" s="753"/>
      <c r="J311" s="753"/>
      <c r="K311" s="753"/>
      <c r="L311" s="201"/>
      <c r="M311" s="227"/>
      <c r="N311" s="227"/>
      <c r="O311" s="227"/>
      <c r="P311" s="227"/>
      <c r="Q311" s="227"/>
      <c r="R311" s="227"/>
      <c r="S311" s="227"/>
      <c r="T311" s="227"/>
      <c r="U311" s="227"/>
      <c r="V311" s="227"/>
    </row>
    <row r="312" spans="1:22" s="211" customFormat="1" ht="16.5" hidden="1">
      <c r="A312" s="227"/>
      <c r="B312" s="227"/>
      <c r="C312" s="227"/>
      <c r="D312" s="227"/>
      <c r="E312" s="210"/>
      <c r="F312" s="748"/>
      <c r="G312" s="752"/>
      <c r="H312" s="748"/>
      <c r="I312" s="753"/>
      <c r="J312" s="753"/>
      <c r="K312" s="753"/>
      <c r="L312" s="201"/>
      <c r="M312" s="227"/>
      <c r="N312" s="227"/>
      <c r="O312" s="227"/>
      <c r="P312" s="227"/>
      <c r="Q312" s="227"/>
      <c r="R312" s="227"/>
      <c r="S312" s="227"/>
      <c r="T312" s="227"/>
      <c r="U312" s="227"/>
      <c r="V312" s="227"/>
    </row>
    <row r="313" spans="1:22" s="211" customFormat="1" ht="16.5" hidden="1">
      <c r="A313" s="227"/>
      <c r="B313" s="227"/>
      <c r="C313" s="227"/>
      <c r="D313" s="227"/>
      <c r="E313" s="210"/>
      <c r="F313" s="748"/>
      <c r="G313" s="752"/>
      <c r="H313" s="748"/>
      <c r="I313" s="753"/>
      <c r="J313" s="753"/>
      <c r="K313" s="753"/>
      <c r="L313" s="201"/>
      <c r="M313" s="227"/>
      <c r="N313" s="227"/>
      <c r="O313" s="227"/>
      <c r="P313" s="227"/>
      <c r="Q313" s="227"/>
      <c r="R313" s="227"/>
      <c r="S313" s="227"/>
      <c r="T313" s="227"/>
      <c r="U313" s="227"/>
      <c r="V313" s="227"/>
    </row>
    <row r="314" spans="1:22" s="211" customFormat="1" ht="16.5" hidden="1">
      <c r="A314" s="227"/>
      <c r="B314" s="227"/>
      <c r="C314" s="227"/>
      <c r="D314" s="227"/>
      <c r="E314" s="210"/>
      <c r="F314" s="748"/>
      <c r="G314" s="752"/>
      <c r="H314" s="748"/>
      <c r="I314" s="753"/>
      <c r="J314" s="753"/>
      <c r="K314" s="753"/>
      <c r="L314" s="201"/>
      <c r="M314" s="227"/>
      <c r="N314" s="227"/>
      <c r="O314" s="227"/>
      <c r="P314" s="227"/>
      <c r="Q314" s="227"/>
      <c r="R314" s="227"/>
      <c r="S314" s="227"/>
      <c r="T314" s="227"/>
      <c r="U314" s="227"/>
      <c r="V314" s="227"/>
    </row>
    <row r="315" spans="1:22" s="211" customFormat="1" ht="16.5" hidden="1">
      <c r="A315" s="227"/>
      <c r="B315" s="227"/>
      <c r="C315" s="227"/>
      <c r="D315" s="227"/>
      <c r="E315" s="210"/>
      <c r="F315" s="748"/>
      <c r="G315" s="752"/>
      <c r="H315" s="748"/>
      <c r="I315" s="753"/>
      <c r="J315" s="753"/>
      <c r="K315" s="753"/>
      <c r="L315" s="201"/>
      <c r="M315" s="227"/>
      <c r="N315" s="227"/>
      <c r="O315" s="227"/>
      <c r="P315" s="227"/>
      <c r="Q315" s="227"/>
      <c r="R315" s="227"/>
      <c r="S315" s="227"/>
      <c r="T315" s="227"/>
      <c r="U315" s="227"/>
      <c r="V315" s="227"/>
    </row>
    <row r="316" spans="1:22" s="211" customFormat="1" ht="16.5" hidden="1">
      <c r="A316" s="227"/>
      <c r="B316" s="227"/>
      <c r="C316" s="227"/>
      <c r="D316" s="227"/>
      <c r="E316" s="210"/>
      <c r="F316" s="748"/>
      <c r="G316" s="752"/>
      <c r="H316" s="748"/>
      <c r="I316" s="753"/>
      <c r="J316" s="753"/>
      <c r="K316" s="753"/>
      <c r="L316" s="201"/>
      <c r="M316" s="227"/>
      <c r="N316" s="227"/>
      <c r="O316" s="227"/>
      <c r="P316" s="227"/>
      <c r="Q316" s="227"/>
      <c r="R316" s="227"/>
      <c r="S316" s="227"/>
      <c r="T316" s="227"/>
      <c r="U316" s="227"/>
      <c r="V316" s="227"/>
    </row>
    <row r="317" spans="1:22" s="211" customFormat="1" ht="16.5" hidden="1">
      <c r="A317" s="227"/>
      <c r="B317" s="227"/>
      <c r="C317" s="227"/>
      <c r="D317" s="227"/>
      <c r="E317" s="210"/>
      <c r="F317" s="748"/>
      <c r="G317" s="752"/>
      <c r="H317" s="748"/>
      <c r="I317" s="753"/>
      <c r="J317" s="753"/>
      <c r="K317" s="753"/>
      <c r="L317" s="201"/>
      <c r="M317" s="227"/>
      <c r="N317" s="227"/>
      <c r="O317" s="227"/>
      <c r="P317" s="227"/>
      <c r="Q317" s="227"/>
      <c r="R317" s="227"/>
      <c r="S317" s="227"/>
      <c r="T317" s="227"/>
      <c r="U317" s="227"/>
      <c r="V317" s="227"/>
    </row>
    <row r="318" spans="1:22" s="211" customFormat="1" ht="16.5" hidden="1">
      <c r="A318" s="227"/>
      <c r="B318" s="227"/>
      <c r="C318" s="227"/>
      <c r="D318" s="227"/>
      <c r="E318" s="210"/>
      <c r="F318" s="748"/>
      <c r="G318" s="752"/>
      <c r="H318" s="748"/>
      <c r="I318" s="753"/>
      <c r="J318" s="753"/>
      <c r="K318" s="753"/>
      <c r="L318" s="201"/>
      <c r="M318" s="227"/>
      <c r="N318" s="227"/>
      <c r="O318" s="227"/>
      <c r="P318" s="227"/>
      <c r="Q318" s="227"/>
      <c r="R318" s="227"/>
      <c r="S318" s="227"/>
      <c r="T318" s="227"/>
      <c r="U318" s="227"/>
      <c r="V318" s="227"/>
    </row>
    <row r="319" spans="1:22" s="211" customFormat="1" ht="16.5" hidden="1">
      <c r="A319" s="227"/>
      <c r="B319" s="227"/>
      <c r="C319" s="227"/>
      <c r="D319" s="227"/>
      <c r="E319" s="210"/>
      <c r="F319" s="748"/>
      <c r="G319" s="752"/>
      <c r="H319" s="748"/>
      <c r="I319" s="753"/>
      <c r="J319" s="753"/>
      <c r="K319" s="753"/>
      <c r="L319" s="201"/>
      <c r="M319" s="227"/>
      <c r="N319" s="227"/>
      <c r="O319" s="227"/>
      <c r="P319" s="227"/>
      <c r="Q319" s="227"/>
      <c r="R319" s="227"/>
      <c r="S319" s="227"/>
      <c r="T319" s="227"/>
      <c r="U319" s="227"/>
      <c r="V319" s="227"/>
    </row>
    <row r="320" spans="1:22" s="211" customFormat="1" ht="16.5" hidden="1">
      <c r="A320" s="227"/>
      <c r="B320" s="227"/>
      <c r="C320" s="227"/>
      <c r="D320" s="227"/>
      <c r="E320" s="210"/>
      <c r="F320" s="748"/>
      <c r="G320" s="752"/>
      <c r="H320" s="748"/>
      <c r="I320" s="753"/>
      <c r="J320" s="753"/>
      <c r="K320" s="753"/>
      <c r="L320" s="201"/>
      <c r="M320" s="227"/>
      <c r="N320" s="227"/>
      <c r="O320" s="227"/>
      <c r="P320" s="227"/>
      <c r="Q320" s="227"/>
      <c r="R320" s="227"/>
      <c r="S320" s="227"/>
      <c r="T320" s="227"/>
      <c r="U320" s="227"/>
      <c r="V320" s="227"/>
    </row>
    <row r="321" spans="1:22" s="211" customFormat="1" ht="16.5" hidden="1">
      <c r="A321" s="227"/>
      <c r="B321" s="227"/>
      <c r="C321" s="227"/>
      <c r="D321" s="227"/>
      <c r="E321" s="210"/>
      <c r="F321" s="748"/>
      <c r="G321" s="752"/>
      <c r="H321" s="748"/>
      <c r="I321" s="753"/>
      <c r="J321" s="753"/>
      <c r="K321" s="753"/>
      <c r="L321" s="201"/>
      <c r="M321" s="227"/>
      <c r="N321" s="227"/>
      <c r="O321" s="227"/>
      <c r="P321" s="227"/>
      <c r="Q321" s="227"/>
      <c r="R321" s="227"/>
      <c r="S321" s="227"/>
      <c r="T321" s="227"/>
      <c r="U321" s="227"/>
      <c r="V321" s="227"/>
    </row>
    <row r="322" spans="1:22" s="211" customFormat="1" ht="16.5" hidden="1">
      <c r="A322" s="227"/>
      <c r="B322" s="227"/>
      <c r="C322" s="227"/>
      <c r="D322" s="227"/>
      <c r="E322" s="210"/>
      <c r="F322" s="748"/>
      <c r="G322" s="752"/>
      <c r="H322" s="748"/>
      <c r="I322" s="753"/>
      <c r="J322" s="753"/>
      <c r="K322" s="753"/>
      <c r="L322" s="201"/>
      <c r="M322" s="227"/>
      <c r="N322" s="227"/>
      <c r="O322" s="227"/>
      <c r="P322" s="227"/>
      <c r="Q322" s="227"/>
      <c r="R322" s="227"/>
      <c r="S322" s="227"/>
      <c r="T322" s="227"/>
      <c r="U322" s="227"/>
      <c r="V322" s="227"/>
    </row>
    <row r="323" spans="1:22" s="211" customFormat="1" ht="16.5" hidden="1">
      <c r="A323" s="227"/>
      <c r="B323" s="227"/>
      <c r="C323" s="227"/>
      <c r="D323" s="227"/>
      <c r="E323" s="210"/>
      <c r="F323" s="748"/>
      <c r="G323" s="752"/>
      <c r="H323" s="748"/>
      <c r="I323" s="753"/>
      <c r="J323" s="753"/>
      <c r="K323" s="753"/>
      <c r="L323" s="201"/>
      <c r="M323" s="227"/>
      <c r="N323" s="227"/>
      <c r="O323" s="227"/>
      <c r="P323" s="227"/>
      <c r="Q323" s="227"/>
      <c r="R323" s="227"/>
      <c r="S323" s="227"/>
      <c r="T323" s="227"/>
      <c r="U323" s="227"/>
      <c r="V323" s="227"/>
    </row>
    <row r="324" spans="1:22" s="211" customFormat="1" ht="16.5" hidden="1">
      <c r="A324" s="227"/>
      <c r="B324" s="227"/>
      <c r="C324" s="227"/>
      <c r="D324" s="227"/>
      <c r="E324" s="210"/>
      <c r="F324" s="748"/>
      <c r="G324" s="752"/>
      <c r="H324" s="748"/>
      <c r="I324" s="753"/>
      <c r="J324" s="753"/>
      <c r="K324" s="753"/>
      <c r="L324" s="201"/>
      <c r="M324" s="227"/>
      <c r="N324" s="227"/>
      <c r="O324" s="227"/>
      <c r="P324" s="227"/>
      <c r="Q324" s="227"/>
      <c r="R324" s="227"/>
      <c r="S324" s="227"/>
      <c r="T324" s="227"/>
      <c r="U324" s="227"/>
      <c r="V324" s="227"/>
    </row>
    <row r="325" spans="1:22" s="211" customFormat="1" ht="16.5" hidden="1">
      <c r="A325" s="227"/>
      <c r="B325" s="227"/>
      <c r="C325" s="227"/>
      <c r="D325" s="227"/>
      <c r="E325" s="210"/>
      <c r="F325" s="748"/>
      <c r="G325" s="752"/>
      <c r="H325" s="748"/>
      <c r="I325" s="753"/>
      <c r="J325" s="753"/>
      <c r="K325" s="753"/>
      <c r="L325" s="201"/>
      <c r="M325" s="227"/>
      <c r="N325" s="227"/>
      <c r="O325" s="227"/>
      <c r="P325" s="227"/>
      <c r="Q325" s="227"/>
      <c r="R325" s="227"/>
      <c r="S325" s="227"/>
      <c r="T325" s="227"/>
      <c r="U325" s="227"/>
      <c r="V325" s="227"/>
    </row>
    <row r="326" spans="1:22" s="211" customFormat="1" ht="16.5" hidden="1">
      <c r="A326" s="227"/>
      <c r="B326" s="227"/>
      <c r="C326" s="227"/>
      <c r="D326" s="227"/>
      <c r="E326" s="210"/>
      <c r="F326" s="748"/>
      <c r="G326" s="752"/>
      <c r="H326" s="748"/>
      <c r="I326" s="753"/>
      <c r="J326" s="753"/>
      <c r="K326" s="753"/>
      <c r="L326" s="201"/>
      <c r="M326" s="227"/>
      <c r="N326" s="227"/>
      <c r="O326" s="227"/>
      <c r="P326" s="227"/>
      <c r="Q326" s="227"/>
      <c r="R326" s="227"/>
      <c r="S326" s="227"/>
      <c r="T326" s="227"/>
      <c r="U326" s="227"/>
      <c r="V326" s="227"/>
    </row>
    <row r="327" spans="1:22" s="211" customFormat="1" ht="16.5" hidden="1">
      <c r="A327" s="227"/>
      <c r="B327" s="227"/>
      <c r="C327" s="227"/>
      <c r="D327" s="227"/>
      <c r="E327" s="210"/>
      <c r="F327" s="748"/>
      <c r="G327" s="752"/>
      <c r="H327" s="748"/>
      <c r="I327" s="753"/>
      <c r="J327" s="753"/>
      <c r="K327" s="753"/>
      <c r="L327" s="201"/>
      <c r="M327" s="227"/>
      <c r="N327" s="227"/>
      <c r="O327" s="227"/>
      <c r="P327" s="227"/>
      <c r="Q327" s="227"/>
      <c r="R327" s="227"/>
      <c r="S327" s="227"/>
      <c r="T327" s="227"/>
      <c r="U327" s="227"/>
      <c r="V327" s="227"/>
    </row>
    <row r="328" spans="1:22" s="211" customFormat="1" ht="16.5" hidden="1">
      <c r="A328" s="227"/>
      <c r="B328" s="227"/>
      <c r="C328" s="227"/>
      <c r="D328" s="227"/>
      <c r="E328" s="210"/>
      <c r="F328" s="748"/>
      <c r="G328" s="752"/>
      <c r="H328" s="748"/>
      <c r="I328" s="753"/>
      <c r="J328" s="753"/>
      <c r="K328" s="753"/>
      <c r="L328" s="201"/>
      <c r="M328" s="227"/>
      <c r="N328" s="227"/>
      <c r="O328" s="227"/>
      <c r="P328" s="227"/>
      <c r="Q328" s="227"/>
      <c r="R328" s="227"/>
      <c r="S328" s="227"/>
      <c r="T328" s="227"/>
      <c r="U328" s="227"/>
      <c r="V328" s="227"/>
    </row>
    <row r="329" spans="1:22" s="211" customFormat="1" ht="16.5" hidden="1">
      <c r="A329" s="227"/>
      <c r="B329" s="227"/>
      <c r="C329" s="227"/>
      <c r="D329" s="227"/>
      <c r="E329" s="210"/>
      <c r="F329" s="748"/>
      <c r="G329" s="752"/>
      <c r="H329" s="748"/>
      <c r="I329" s="753"/>
      <c r="J329" s="753"/>
      <c r="K329" s="753"/>
      <c r="L329" s="201"/>
      <c r="M329" s="227"/>
      <c r="N329" s="227"/>
      <c r="O329" s="227"/>
      <c r="P329" s="227"/>
      <c r="Q329" s="227"/>
      <c r="R329" s="227"/>
      <c r="S329" s="227"/>
      <c r="T329" s="227"/>
      <c r="U329" s="227"/>
      <c r="V329" s="227"/>
    </row>
    <row r="330" spans="1:22" s="211" customFormat="1" ht="16.5" hidden="1">
      <c r="A330" s="227"/>
      <c r="B330" s="227"/>
      <c r="C330" s="227"/>
      <c r="D330" s="227"/>
      <c r="E330" s="210"/>
      <c r="F330" s="748"/>
      <c r="G330" s="752"/>
      <c r="H330" s="748"/>
      <c r="I330" s="753"/>
      <c r="J330" s="753"/>
      <c r="K330" s="753"/>
      <c r="L330" s="201"/>
      <c r="M330" s="227"/>
      <c r="N330" s="227"/>
      <c r="O330" s="227"/>
      <c r="P330" s="227"/>
      <c r="Q330" s="227"/>
      <c r="R330" s="227"/>
      <c r="S330" s="227"/>
      <c r="T330" s="227"/>
      <c r="U330" s="227"/>
      <c r="V330" s="227"/>
    </row>
    <row r="331" spans="1:22" s="211" customFormat="1" ht="16.5" hidden="1">
      <c r="A331" s="227"/>
      <c r="B331" s="227"/>
      <c r="C331" s="227"/>
      <c r="D331" s="227"/>
      <c r="E331" s="210"/>
      <c r="F331" s="748"/>
      <c r="G331" s="752"/>
      <c r="H331" s="748"/>
      <c r="I331" s="753"/>
      <c r="J331" s="753"/>
      <c r="K331" s="753"/>
      <c r="L331" s="201"/>
      <c r="M331" s="227"/>
      <c r="N331" s="227"/>
      <c r="O331" s="227"/>
      <c r="P331" s="227"/>
      <c r="Q331" s="227"/>
      <c r="R331" s="227"/>
      <c r="S331" s="227"/>
      <c r="T331" s="227"/>
      <c r="U331" s="227"/>
      <c r="V331" s="227"/>
    </row>
    <row r="332" spans="1:22" s="211" customFormat="1" ht="16.5" hidden="1">
      <c r="A332" s="227"/>
      <c r="B332" s="227"/>
      <c r="C332" s="227"/>
      <c r="D332" s="227"/>
      <c r="E332" s="210"/>
      <c r="F332" s="748"/>
      <c r="G332" s="752"/>
      <c r="H332" s="748"/>
      <c r="I332" s="753"/>
      <c r="J332" s="753"/>
      <c r="K332" s="753"/>
      <c r="L332" s="201"/>
      <c r="M332" s="227"/>
      <c r="N332" s="227"/>
      <c r="O332" s="227"/>
      <c r="P332" s="227"/>
      <c r="Q332" s="227"/>
      <c r="R332" s="227"/>
      <c r="S332" s="227"/>
      <c r="T332" s="227"/>
      <c r="U332" s="227"/>
      <c r="V332" s="227"/>
    </row>
    <row r="333" spans="1:22" s="211" customFormat="1" ht="16.5" hidden="1">
      <c r="A333" s="227"/>
      <c r="B333" s="227"/>
      <c r="C333" s="227"/>
      <c r="D333" s="227"/>
      <c r="E333" s="210"/>
      <c r="F333" s="748"/>
      <c r="G333" s="752"/>
      <c r="H333" s="748"/>
      <c r="I333" s="753"/>
      <c r="J333" s="753"/>
      <c r="K333" s="753"/>
      <c r="L333" s="201"/>
      <c r="M333" s="227"/>
      <c r="N333" s="227"/>
      <c r="O333" s="227"/>
      <c r="P333" s="227"/>
      <c r="Q333" s="227"/>
      <c r="R333" s="227"/>
      <c r="S333" s="227"/>
      <c r="T333" s="227"/>
      <c r="U333" s="227"/>
      <c r="V333" s="227"/>
    </row>
    <row r="334" spans="1:22" s="211" customFormat="1" ht="16.5" hidden="1">
      <c r="A334" s="227"/>
      <c r="B334" s="227"/>
      <c r="C334" s="227"/>
      <c r="D334" s="227"/>
      <c r="E334" s="210"/>
      <c r="F334" s="748"/>
      <c r="G334" s="752"/>
      <c r="H334" s="748"/>
      <c r="I334" s="753"/>
      <c r="J334" s="753"/>
      <c r="K334" s="753"/>
      <c r="L334" s="201"/>
      <c r="M334" s="227"/>
      <c r="N334" s="227"/>
      <c r="O334" s="227"/>
      <c r="P334" s="227"/>
      <c r="Q334" s="227"/>
      <c r="R334" s="227"/>
      <c r="S334" s="227"/>
      <c r="T334" s="227"/>
      <c r="U334" s="227"/>
      <c r="V334" s="227"/>
    </row>
    <row r="335" spans="1:22" s="211" customFormat="1" ht="16.5" hidden="1">
      <c r="A335" s="227"/>
      <c r="B335" s="227"/>
      <c r="C335" s="227"/>
      <c r="D335" s="227"/>
      <c r="E335" s="210"/>
      <c r="F335" s="748"/>
      <c r="G335" s="752"/>
      <c r="H335" s="748"/>
      <c r="I335" s="753"/>
      <c r="J335" s="753"/>
      <c r="K335" s="753"/>
      <c r="L335" s="201"/>
      <c r="M335" s="227"/>
      <c r="N335" s="227"/>
      <c r="O335" s="227"/>
      <c r="P335" s="227"/>
      <c r="Q335" s="227"/>
      <c r="R335" s="227"/>
      <c r="S335" s="227"/>
      <c r="T335" s="227"/>
      <c r="U335" s="227"/>
      <c r="V335" s="227"/>
    </row>
    <row r="336" spans="1:22" s="211" customFormat="1" ht="16.5" hidden="1">
      <c r="A336" s="227"/>
      <c r="B336" s="227"/>
      <c r="C336" s="227"/>
      <c r="D336" s="227"/>
      <c r="E336" s="210"/>
      <c r="F336" s="748"/>
      <c r="G336" s="752"/>
      <c r="H336" s="748"/>
      <c r="I336" s="753"/>
      <c r="J336" s="753"/>
      <c r="K336" s="753"/>
      <c r="L336" s="201"/>
      <c r="M336" s="227"/>
      <c r="N336" s="227"/>
      <c r="O336" s="227"/>
      <c r="P336" s="227"/>
      <c r="Q336" s="227"/>
      <c r="R336" s="227"/>
      <c r="S336" s="227"/>
      <c r="T336" s="227"/>
      <c r="U336" s="227"/>
      <c r="V336" s="227"/>
    </row>
    <row r="337" spans="1:22" s="211" customFormat="1" ht="16.5" hidden="1">
      <c r="A337" s="227"/>
      <c r="B337" s="227"/>
      <c r="C337" s="227"/>
      <c r="D337" s="227"/>
      <c r="E337" s="210"/>
      <c r="F337" s="748"/>
      <c r="G337" s="752"/>
      <c r="H337" s="748"/>
      <c r="I337" s="753"/>
      <c r="J337" s="753"/>
      <c r="K337" s="753"/>
      <c r="L337" s="201"/>
      <c r="M337" s="227"/>
      <c r="N337" s="227"/>
      <c r="O337" s="227"/>
      <c r="P337" s="227"/>
      <c r="Q337" s="227"/>
      <c r="R337" s="227"/>
      <c r="S337" s="227"/>
      <c r="T337" s="227"/>
      <c r="U337" s="227"/>
      <c r="V337" s="227"/>
    </row>
    <row r="338" spans="1:22" s="211" customFormat="1" ht="16.5" hidden="1">
      <c r="A338" s="227"/>
      <c r="B338" s="227"/>
      <c r="C338" s="227"/>
      <c r="D338" s="227"/>
      <c r="E338" s="210"/>
      <c r="F338" s="748"/>
      <c r="G338" s="752"/>
      <c r="H338" s="748"/>
      <c r="I338" s="753"/>
      <c r="J338" s="753"/>
      <c r="K338" s="753"/>
      <c r="L338" s="201"/>
      <c r="M338" s="227"/>
      <c r="N338" s="227"/>
      <c r="O338" s="227"/>
      <c r="P338" s="227"/>
      <c r="Q338" s="227"/>
      <c r="R338" s="227"/>
      <c r="S338" s="227"/>
      <c r="T338" s="227"/>
      <c r="U338" s="227"/>
      <c r="V338" s="227"/>
    </row>
    <row r="339" spans="1:22" s="211" customFormat="1" ht="16.5" hidden="1">
      <c r="A339" s="227"/>
      <c r="B339" s="227"/>
      <c r="C339" s="227"/>
      <c r="D339" s="227"/>
      <c r="E339" s="210"/>
      <c r="F339" s="748"/>
      <c r="G339" s="752"/>
      <c r="H339" s="748"/>
      <c r="I339" s="753"/>
      <c r="J339" s="753"/>
      <c r="K339" s="753"/>
      <c r="L339" s="201"/>
      <c r="M339" s="227"/>
      <c r="N339" s="227"/>
      <c r="O339" s="227"/>
      <c r="P339" s="227"/>
      <c r="Q339" s="227"/>
      <c r="R339" s="227"/>
      <c r="S339" s="227"/>
      <c r="T339" s="227"/>
      <c r="U339" s="227"/>
      <c r="V339" s="227"/>
    </row>
    <row r="340" spans="1:22" s="211" customFormat="1" ht="16.5" hidden="1">
      <c r="A340" s="227"/>
      <c r="B340" s="227"/>
      <c r="C340" s="227"/>
      <c r="D340" s="227"/>
      <c r="E340" s="210"/>
      <c r="F340" s="748"/>
      <c r="G340" s="752"/>
      <c r="H340" s="748"/>
      <c r="I340" s="753"/>
      <c r="J340" s="753"/>
      <c r="K340" s="753"/>
      <c r="L340" s="201"/>
      <c r="M340" s="227"/>
      <c r="N340" s="227"/>
      <c r="O340" s="227"/>
      <c r="P340" s="227"/>
      <c r="Q340" s="227"/>
      <c r="R340" s="227"/>
      <c r="S340" s="227"/>
      <c r="T340" s="227"/>
      <c r="U340" s="227"/>
      <c r="V340" s="227"/>
    </row>
    <row r="341" spans="1:22" s="211" customFormat="1" ht="16.5" hidden="1">
      <c r="A341" s="227"/>
      <c r="B341" s="227"/>
      <c r="C341" s="227"/>
      <c r="D341" s="227"/>
      <c r="E341" s="210"/>
      <c r="F341" s="748"/>
      <c r="G341" s="752"/>
      <c r="H341" s="748"/>
      <c r="I341" s="753"/>
      <c r="J341" s="753"/>
      <c r="K341" s="753"/>
      <c r="L341" s="201"/>
      <c r="M341" s="227"/>
      <c r="N341" s="227"/>
      <c r="O341" s="227"/>
      <c r="P341" s="227"/>
      <c r="Q341" s="227"/>
      <c r="R341" s="227"/>
      <c r="S341" s="227"/>
      <c r="T341" s="227"/>
      <c r="U341" s="227"/>
      <c r="V341" s="227"/>
    </row>
    <row r="342" spans="1:22" s="211" customFormat="1" ht="16.5" hidden="1">
      <c r="A342" s="227"/>
      <c r="B342" s="227"/>
      <c r="C342" s="227"/>
      <c r="D342" s="227"/>
      <c r="E342" s="210"/>
      <c r="F342" s="748"/>
      <c r="G342" s="752"/>
      <c r="H342" s="748"/>
      <c r="I342" s="753"/>
      <c r="J342" s="753"/>
      <c r="K342" s="753"/>
      <c r="L342" s="201"/>
      <c r="M342" s="227"/>
      <c r="N342" s="227"/>
      <c r="O342" s="227"/>
      <c r="P342" s="227"/>
      <c r="Q342" s="227"/>
      <c r="R342" s="227"/>
      <c r="S342" s="227"/>
      <c r="T342" s="227"/>
      <c r="U342" s="227"/>
      <c r="V342" s="227"/>
    </row>
    <row r="343" spans="1:22" s="211" customFormat="1" ht="16.5" hidden="1">
      <c r="A343" s="227"/>
      <c r="B343" s="227"/>
      <c r="C343" s="227"/>
      <c r="D343" s="227"/>
      <c r="E343" s="210"/>
      <c r="F343" s="748"/>
      <c r="G343" s="752"/>
      <c r="H343" s="748"/>
      <c r="I343" s="753"/>
      <c r="J343" s="753"/>
      <c r="K343" s="753"/>
      <c r="L343" s="201"/>
      <c r="M343" s="227"/>
      <c r="N343" s="227"/>
      <c r="O343" s="227"/>
      <c r="P343" s="227"/>
      <c r="Q343" s="227"/>
      <c r="R343" s="227"/>
      <c r="S343" s="227"/>
      <c r="T343" s="227"/>
      <c r="U343" s="227"/>
      <c r="V343" s="227"/>
    </row>
    <row r="344" spans="1:22" s="211" customFormat="1" ht="16.5" hidden="1">
      <c r="A344" s="227"/>
      <c r="B344" s="227"/>
      <c r="C344" s="227"/>
      <c r="D344" s="227"/>
      <c r="E344" s="210"/>
      <c r="F344" s="748"/>
      <c r="G344" s="752"/>
      <c r="H344" s="748"/>
      <c r="I344" s="753"/>
      <c r="J344" s="753"/>
      <c r="K344" s="753"/>
      <c r="L344" s="201"/>
      <c r="M344" s="227"/>
      <c r="N344" s="227"/>
      <c r="O344" s="227"/>
      <c r="P344" s="227"/>
      <c r="Q344" s="227"/>
      <c r="R344" s="227"/>
      <c r="S344" s="227"/>
      <c r="T344" s="227"/>
      <c r="U344" s="227"/>
      <c r="V344" s="227"/>
    </row>
    <row r="345" spans="1:22" s="211" customFormat="1" ht="16.5" hidden="1">
      <c r="A345" s="227"/>
      <c r="B345" s="227"/>
      <c r="C345" s="227"/>
      <c r="D345" s="227"/>
      <c r="E345" s="210"/>
      <c r="F345" s="748"/>
      <c r="G345" s="752"/>
      <c r="H345" s="748"/>
      <c r="I345" s="753"/>
      <c r="J345" s="753"/>
      <c r="K345" s="753"/>
      <c r="L345" s="201"/>
      <c r="M345" s="227"/>
      <c r="N345" s="227"/>
      <c r="O345" s="227"/>
      <c r="P345" s="227"/>
      <c r="Q345" s="227"/>
      <c r="R345" s="227"/>
      <c r="S345" s="227"/>
      <c r="T345" s="227"/>
      <c r="U345" s="227"/>
      <c r="V345" s="227"/>
    </row>
    <row r="346" spans="1:22" s="211" customFormat="1" ht="16.5" hidden="1">
      <c r="A346" s="227"/>
      <c r="B346" s="227"/>
      <c r="C346" s="227"/>
      <c r="D346" s="227"/>
      <c r="E346" s="210"/>
      <c r="F346" s="748"/>
      <c r="G346" s="752"/>
      <c r="H346" s="748"/>
      <c r="I346" s="753"/>
      <c r="J346" s="753"/>
      <c r="K346" s="753"/>
      <c r="L346" s="201"/>
      <c r="M346" s="227"/>
      <c r="N346" s="227"/>
      <c r="O346" s="227"/>
      <c r="P346" s="227"/>
      <c r="Q346" s="227"/>
      <c r="R346" s="227"/>
      <c r="S346" s="227"/>
      <c r="T346" s="227"/>
      <c r="U346" s="227"/>
      <c r="V346" s="227"/>
    </row>
    <row r="347" spans="1:22" s="211" customFormat="1" ht="16.5" hidden="1">
      <c r="A347" s="227"/>
      <c r="B347" s="227"/>
      <c r="C347" s="227"/>
      <c r="D347" s="227"/>
      <c r="E347" s="210"/>
      <c r="F347" s="748"/>
      <c r="G347" s="752"/>
      <c r="H347" s="748"/>
      <c r="I347" s="753"/>
      <c r="J347" s="753"/>
      <c r="K347" s="753"/>
      <c r="L347" s="201"/>
      <c r="M347" s="227"/>
      <c r="N347" s="227"/>
      <c r="O347" s="227"/>
      <c r="P347" s="227"/>
      <c r="Q347" s="227"/>
      <c r="R347" s="227"/>
      <c r="S347" s="227"/>
      <c r="T347" s="227"/>
      <c r="U347" s="227"/>
      <c r="V347" s="227"/>
    </row>
    <row r="348" spans="1:22" s="211" customFormat="1" ht="16.5" hidden="1">
      <c r="A348" s="227"/>
      <c r="B348" s="227"/>
      <c r="C348" s="227"/>
      <c r="D348" s="227"/>
      <c r="E348" s="210"/>
      <c r="F348" s="748"/>
      <c r="G348" s="752"/>
      <c r="H348" s="748"/>
      <c r="I348" s="753"/>
      <c r="J348" s="753"/>
      <c r="K348" s="753"/>
      <c r="L348" s="201"/>
      <c r="M348" s="227"/>
      <c r="N348" s="227"/>
      <c r="O348" s="227"/>
      <c r="P348" s="227"/>
      <c r="Q348" s="227"/>
      <c r="R348" s="227"/>
      <c r="S348" s="227"/>
      <c r="T348" s="227"/>
      <c r="U348" s="227"/>
      <c r="V348" s="227"/>
    </row>
    <row r="349" spans="1:22" s="211" customFormat="1" ht="16.5" hidden="1">
      <c r="A349" s="227"/>
      <c r="B349" s="227"/>
      <c r="C349" s="227"/>
      <c r="D349" s="227"/>
      <c r="E349" s="210"/>
      <c r="F349" s="748"/>
      <c r="G349" s="752"/>
      <c r="H349" s="748"/>
      <c r="I349" s="753"/>
      <c r="J349" s="753"/>
      <c r="K349" s="753"/>
      <c r="L349" s="201"/>
      <c r="M349" s="227"/>
      <c r="N349" s="227"/>
      <c r="O349" s="227"/>
      <c r="P349" s="227"/>
      <c r="Q349" s="227"/>
      <c r="R349" s="227"/>
      <c r="S349" s="227"/>
      <c r="T349" s="227"/>
      <c r="U349" s="227"/>
      <c r="V349" s="227"/>
    </row>
    <row r="350" spans="1:22" s="211" customFormat="1" ht="16.5" hidden="1">
      <c r="A350" s="227"/>
      <c r="B350" s="227"/>
      <c r="C350" s="227"/>
      <c r="D350" s="227"/>
      <c r="E350" s="210"/>
      <c r="F350" s="748"/>
      <c r="G350" s="752"/>
      <c r="H350" s="748"/>
      <c r="I350" s="753"/>
      <c r="J350" s="753"/>
      <c r="K350" s="753"/>
      <c r="L350" s="201"/>
      <c r="M350" s="227"/>
      <c r="N350" s="227"/>
      <c r="O350" s="227"/>
      <c r="P350" s="227"/>
      <c r="Q350" s="227"/>
      <c r="R350" s="227"/>
      <c r="S350" s="227"/>
      <c r="T350" s="227"/>
      <c r="U350" s="227"/>
      <c r="V350" s="227"/>
    </row>
    <row r="351" spans="1:22" s="211" customFormat="1" ht="16.5" hidden="1">
      <c r="A351" s="227"/>
      <c r="B351" s="227"/>
      <c r="C351" s="227"/>
      <c r="D351" s="227"/>
      <c r="E351" s="210"/>
      <c r="F351" s="748"/>
      <c r="G351" s="752"/>
      <c r="H351" s="748"/>
      <c r="I351" s="753"/>
      <c r="J351" s="753"/>
      <c r="K351" s="753"/>
      <c r="L351" s="201"/>
      <c r="M351" s="227"/>
      <c r="N351" s="227"/>
      <c r="O351" s="227"/>
      <c r="P351" s="227"/>
      <c r="Q351" s="227"/>
      <c r="R351" s="227"/>
      <c r="S351" s="227"/>
      <c r="T351" s="227"/>
      <c r="U351" s="227"/>
      <c r="V351" s="227"/>
    </row>
    <row r="352" spans="1:22" s="211" customFormat="1" ht="16.5" hidden="1">
      <c r="A352" s="227"/>
      <c r="B352" s="227"/>
      <c r="C352" s="227"/>
      <c r="D352" s="227"/>
      <c r="E352" s="210"/>
      <c r="F352" s="748"/>
      <c r="G352" s="752"/>
      <c r="H352" s="748"/>
      <c r="I352" s="753"/>
      <c r="J352" s="753"/>
      <c r="K352" s="753"/>
      <c r="L352" s="201"/>
      <c r="M352" s="227"/>
      <c r="N352" s="227"/>
      <c r="O352" s="227"/>
      <c r="P352" s="227"/>
      <c r="Q352" s="227"/>
      <c r="R352" s="227"/>
      <c r="S352" s="227"/>
      <c r="T352" s="227"/>
      <c r="U352" s="227"/>
      <c r="V352" s="227"/>
    </row>
    <row r="353" spans="1:22" s="211" customFormat="1" ht="16.5" hidden="1">
      <c r="A353" s="227"/>
      <c r="B353" s="227"/>
      <c r="C353" s="227"/>
      <c r="D353" s="227"/>
      <c r="E353" s="210"/>
      <c r="F353" s="748"/>
      <c r="G353" s="752"/>
      <c r="H353" s="748"/>
      <c r="I353" s="753"/>
      <c r="J353" s="753"/>
      <c r="K353" s="753"/>
      <c r="L353" s="201"/>
      <c r="M353" s="227"/>
      <c r="N353" s="227"/>
      <c r="O353" s="227"/>
      <c r="P353" s="227"/>
      <c r="Q353" s="227"/>
      <c r="R353" s="227"/>
      <c r="S353" s="227"/>
      <c r="T353" s="227"/>
      <c r="U353" s="227"/>
      <c r="V353" s="227"/>
    </row>
    <row r="354" spans="1:22" s="211" customFormat="1" ht="16.5" hidden="1">
      <c r="A354" s="227"/>
      <c r="B354" s="227"/>
      <c r="C354" s="227"/>
      <c r="D354" s="227"/>
      <c r="E354" s="210"/>
      <c r="F354" s="748"/>
      <c r="G354" s="752"/>
      <c r="H354" s="748"/>
      <c r="I354" s="753"/>
      <c r="J354" s="753"/>
      <c r="K354" s="753"/>
      <c r="L354" s="201"/>
      <c r="M354" s="227"/>
      <c r="N354" s="227"/>
      <c r="O354" s="227"/>
      <c r="P354" s="227"/>
      <c r="Q354" s="227"/>
      <c r="R354" s="227"/>
      <c r="S354" s="227"/>
      <c r="T354" s="227"/>
      <c r="U354" s="227"/>
      <c r="V354" s="227"/>
    </row>
    <row r="355" spans="1:22" s="211" customFormat="1" ht="16.5" hidden="1">
      <c r="A355" s="227"/>
      <c r="B355" s="227"/>
      <c r="C355" s="227"/>
      <c r="D355" s="227"/>
      <c r="E355" s="210"/>
      <c r="F355" s="748"/>
      <c r="G355" s="752"/>
      <c r="H355" s="748"/>
      <c r="I355" s="753"/>
      <c r="J355" s="753"/>
      <c r="K355" s="753"/>
      <c r="L355" s="201"/>
      <c r="M355" s="227"/>
      <c r="N355" s="227"/>
      <c r="O355" s="227"/>
      <c r="P355" s="227"/>
      <c r="Q355" s="227"/>
      <c r="R355" s="227"/>
      <c r="S355" s="227"/>
      <c r="T355" s="227"/>
      <c r="U355" s="227"/>
      <c r="V355" s="227"/>
    </row>
    <row r="356" spans="1:22" s="211" customFormat="1" ht="16.5" hidden="1">
      <c r="A356" s="227"/>
      <c r="B356" s="227"/>
      <c r="C356" s="227"/>
      <c r="D356" s="227"/>
      <c r="E356" s="210"/>
      <c r="F356" s="748"/>
      <c r="G356" s="752"/>
      <c r="H356" s="748"/>
      <c r="I356" s="753"/>
      <c r="J356" s="753"/>
      <c r="K356" s="753"/>
      <c r="L356" s="201"/>
      <c r="M356" s="227"/>
      <c r="N356" s="227"/>
      <c r="O356" s="227"/>
      <c r="P356" s="227"/>
      <c r="Q356" s="227"/>
      <c r="R356" s="227"/>
      <c r="S356" s="227"/>
      <c r="T356" s="227"/>
      <c r="U356" s="227"/>
      <c r="V356" s="227"/>
    </row>
    <row r="357" spans="1:22" s="211" customFormat="1" ht="16.5" hidden="1">
      <c r="A357" s="227"/>
      <c r="B357" s="227"/>
      <c r="C357" s="227"/>
      <c r="D357" s="227"/>
      <c r="E357" s="210"/>
      <c r="F357" s="748"/>
      <c r="G357" s="752"/>
      <c r="H357" s="748"/>
      <c r="I357" s="753"/>
      <c r="J357" s="753"/>
      <c r="K357" s="753"/>
      <c r="L357" s="201"/>
      <c r="M357" s="227"/>
      <c r="N357" s="227"/>
      <c r="O357" s="227"/>
      <c r="P357" s="227"/>
      <c r="Q357" s="227"/>
      <c r="R357" s="227"/>
      <c r="S357" s="227"/>
      <c r="T357" s="227"/>
      <c r="U357" s="227"/>
      <c r="V357" s="227"/>
    </row>
    <row r="358" spans="1:22" s="211" customFormat="1" ht="16.5" hidden="1">
      <c r="A358" s="227"/>
      <c r="B358" s="227"/>
      <c r="C358" s="227"/>
      <c r="D358" s="227"/>
      <c r="E358" s="210"/>
      <c r="F358" s="748"/>
      <c r="G358" s="752"/>
      <c r="H358" s="748"/>
      <c r="I358" s="753"/>
      <c r="J358" s="753"/>
      <c r="K358" s="753"/>
      <c r="L358" s="201"/>
      <c r="M358" s="227"/>
      <c r="N358" s="227"/>
      <c r="O358" s="227"/>
      <c r="P358" s="227"/>
      <c r="Q358" s="227"/>
      <c r="R358" s="227"/>
      <c r="S358" s="227"/>
      <c r="T358" s="227"/>
      <c r="U358" s="227"/>
      <c r="V358" s="227"/>
    </row>
    <row r="359" spans="1:22" s="211" customFormat="1" ht="16.5" hidden="1">
      <c r="A359" s="227"/>
      <c r="B359" s="227"/>
      <c r="C359" s="227"/>
      <c r="D359" s="227"/>
      <c r="E359" s="210"/>
      <c r="F359" s="748"/>
      <c r="G359" s="752"/>
      <c r="H359" s="748"/>
      <c r="I359" s="753"/>
      <c r="J359" s="753"/>
      <c r="K359" s="753"/>
      <c r="L359" s="201"/>
      <c r="M359" s="227"/>
      <c r="N359" s="227"/>
      <c r="O359" s="227"/>
      <c r="P359" s="227"/>
      <c r="Q359" s="227"/>
      <c r="R359" s="227"/>
      <c r="S359" s="227"/>
      <c r="T359" s="227"/>
      <c r="U359" s="227"/>
      <c r="V359" s="227"/>
    </row>
    <row r="360" spans="1:22" s="211" customFormat="1" ht="16.5" hidden="1">
      <c r="A360" s="227"/>
      <c r="B360" s="227"/>
      <c r="C360" s="227"/>
      <c r="D360" s="227"/>
      <c r="E360" s="210"/>
      <c r="F360" s="748"/>
      <c r="G360" s="752"/>
      <c r="H360" s="748"/>
      <c r="I360" s="753"/>
      <c r="J360" s="753"/>
      <c r="K360" s="753"/>
      <c r="L360" s="201"/>
      <c r="M360" s="227"/>
      <c r="N360" s="227"/>
      <c r="O360" s="227"/>
      <c r="P360" s="227"/>
      <c r="Q360" s="227"/>
      <c r="R360" s="227"/>
      <c r="S360" s="227"/>
      <c r="T360" s="227"/>
      <c r="U360" s="227"/>
      <c r="V360" s="227"/>
    </row>
    <row r="361" spans="1:22" s="211" customFormat="1" ht="16.5" hidden="1">
      <c r="A361" s="227"/>
      <c r="B361" s="227"/>
      <c r="C361" s="227"/>
      <c r="D361" s="227"/>
      <c r="E361" s="210"/>
      <c r="F361" s="748"/>
      <c r="G361" s="752"/>
      <c r="H361" s="748"/>
      <c r="I361" s="753"/>
      <c r="J361" s="753"/>
      <c r="K361" s="753"/>
      <c r="L361" s="201"/>
      <c r="M361" s="227"/>
      <c r="N361" s="227"/>
      <c r="O361" s="227"/>
      <c r="P361" s="227"/>
      <c r="Q361" s="227"/>
      <c r="R361" s="227"/>
      <c r="S361" s="227"/>
      <c r="T361" s="227"/>
      <c r="U361" s="227"/>
      <c r="V361" s="227"/>
    </row>
    <row r="362" spans="1:22" s="211" customFormat="1" ht="16.5" hidden="1">
      <c r="A362" s="227"/>
      <c r="B362" s="227"/>
      <c r="C362" s="227"/>
      <c r="D362" s="227"/>
      <c r="E362" s="210"/>
      <c r="F362" s="748"/>
      <c r="G362" s="752"/>
      <c r="H362" s="748"/>
      <c r="I362" s="753"/>
      <c r="J362" s="753"/>
      <c r="K362" s="753"/>
      <c r="L362" s="201"/>
      <c r="M362" s="227"/>
      <c r="N362" s="227"/>
      <c r="O362" s="227"/>
      <c r="P362" s="227"/>
      <c r="Q362" s="227"/>
      <c r="R362" s="227"/>
      <c r="S362" s="227"/>
      <c r="T362" s="227"/>
      <c r="U362" s="227"/>
      <c r="V362" s="227"/>
    </row>
    <row r="363" spans="1:22" s="211" customFormat="1" ht="16.5" hidden="1">
      <c r="A363" s="227"/>
      <c r="B363" s="227"/>
      <c r="C363" s="227"/>
      <c r="D363" s="227"/>
      <c r="E363" s="210"/>
      <c r="F363" s="748"/>
      <c r="G363" s="752"/>
      <c r="H363" s="748"/>
      <c r="I363" s="753"/>
      <c r="J363" s="753"/>
      <c r="K363" s="753"/>
      <c r="L363" s="201"/>
      <c r="M363" s="227"/>
      <c r="N363" s="227"/>
      <c r="O363" s="227"/>
      <c r="P363" s="227"/>
      <c r="Q363" s="227"/>
      <c r="R363" s="227"/>
      <c r="S363" s="227"/>
      <c r="T363" s="227"/>
      <c r="U363" s="227"/>
      <c r="V363" s="227"/>
    </row>
    <row r="364" spans="1:22" s="211" customFormat="1" ht="16.5" hidden="1">
      <c r="A364" s="227"/>
      <c r="B364" s="227"/>
      <c r="C364" s="227"/>
      <c r="D364" s="227"/>
      <c r="E364" s="210"/>
      <c r="F364" s="748"/>
      <c r="G364" s="752"/>
      <c r="H364" s="748"/>
      <c r="I364" s="753"/>
      <c r="J364" s="753"/>
      <c r="K364" s="753"/>
      <c r="L364" s="201"/>
      <c r="M364" s="227"/>
      <c r="N364" s="227"/>
      <c r="O364" s="227"/>
      <c r="P364" s="227"/>
      <c r="Q364" s="227"/>
      <c r="R364" s="227"/>
      <c r="S364" s="227"/>
      <c r="T364" s="227"/>
      <c r="U364" s="227"/>
      <c r="V364" s="227"/>
    </row>
    <row r="365" spans="1:22" s="211" customFormat="1" ht="16.5" hidden="1">
      <c r="A365" s="227"/>
      <c r="B365" s="227"/>
      <c r="C365" s="227"/>
      <c r="D365" s="227"/>
      <c r="E365" s="210"/>
      <c r="F365" s="748"/>
      <c r="G365" s="752"/>
      <c r="H365" s="748"/>
      <c r="I365" s="753"/>
      <c r="J365" s="753"/>
      <c r="K365" s="753"/>
      <c r="L365" s="201"/>
      <c r="M365" s="227"/>
      <c r="N365" s="227"/>
      <c r="O365" s="227"/>
      <c r="P365" s="227"/>
      <c r="Q365" s="227"/>
      <c r="R365" s="227"/>
      <c r="S365" s="227"/>
      <c r="T365" s="227"/>
      <c r="U365" s="227"/>
      <c r="V365" s="227"/>
    </row>
    <row r="366" spans="1:22" s="211" customFormat="1" ht="16.5" hidden="1">
      <c r="A366" s="227"/>
      <c r="B366" s="227"/>
      <c r="C366" s="227"/>
      <c r="D366" s="227"/>
      <c r="E366" s="210"/>
      <c r="F366" s="748"/>
      <c r="G366" s="752"/>
      <c r="H366" s="748"/>
      <c r="I366" s="753"/>
      <c r="J366" s="753"/>
      <c r="K366" s="753"/>
      <c r="L366" s="201"/>
      <c r="M366" s="227"/>
      <c r="N366" s="227"/>
      <c r="O366" s="227"/>
      <c r="P366" s="227"/>
      <c r="Q366" s="227"/>
      <c r="R366" s="227"/>
      <c r="S366" s="227"/>
      <c r="T366" s="227"/>
      <c r="U366" s="227"/>
      <c r="V366" s="227"/>
    </row>
    <row r="367" spans="1:22" s="211" customFormat="1" ht="16.5" hidden="1">
      <c r="A367" s="227"/>
      <c r="B367" s="227"/>
      <c r="C367" s="227"/>
      <c r="D367" s="227"/>
      <c r="E367" s="210"/>
      <c r="F367" s="748"/>
      <c r="G367" s="752"/>
      <c r="H367" s="748"/>
      <c r="I367" s="753"/>
      <c r="J367" s="753"/>
      <c r="K367" s="753"/>
      <c r="L367" s="201"/>
      <c r="M367" s="227"/>
      <c r="N367" s="227"/>
      <c r="O367" s="227"/>
      <c r="P367" s="227"/>
      <c r="Q367" s="227"/>
      <c r="R367" s="227"/>
      <c r="S367" s="227"/>
      <c r="T367" s="227"/>
      <c r="U367" s="227"/>
      <c r="V367" s="227"/>
    </row>
    <row r="368" spans="1:22" s="211" customFormat="1" ht="16.5" hidden="1">
      <c r="A368" s="227"/>
      <c r="B368" s="227"/>
      <c r="C368" s="227"/>
      <c r="D368" s="227"/>
      <c r="E368" s="210"/>
      <c r="F368" s="748"/>
      <c r="G368" s="752"/>
      <c r="H368" s="748"/>
      <c r="I368" s="753"/>
      <c r="J368" s="753"/>
      <c r="K368" s="753"/>
      <c r="L368" s="201"/>
      <c r="M368" s="227"/>
      <c r="N368" s="227"/>
      <c r="O368" s="227"/>
      <c r="P368" s="227"/>
      <c r="Q368" s="227"/>
      <c r="R368" s="227"/>
      <c r="S368" s="227"/>
      <c r="T368" s="227"/>
      <c r="U368" s="227"/>
      <c r="V368" s="227"/>
    </row>
    <row r="369" spans="1:22" s="211" customFormat="1" ht="16.5" hidden="1">
      <c r="A369" s="227"/>
      <c r="B369" s="227"/>
      <c r="C369" s="227"/>
      <c r="D369" s="227"/>
      <c r="E369" s="210"/>
      <c r="F369" s="748"/>
      <c r="G369" s="752"/>
      <c r="H369" s="748"/>
      <c r="I369" s="753"/>
      <c r="J369" s="753"/>
      <c r="K369" s="753"/>
      <c r="L369" s="201"/>
      <c r="M369" s="227"/>
      <c r="N369" s="227"/>
      <c r="O369" s="227"/>
      <c r="P369" s="227"/>
      <c r="Q369" s="227"/>
      <c r="R369" s="227"/>
      <c r="S369" s="227"/>
      <c r="T369" s="227"/>
      <c r="U369" s="227"/>
      <c r="V369" s="227"/>
    </row>
    <row r="370" spans="1:22" s="211" customFormat="1" ht="16.5" hidden="1">
      <c r="A370" s="227"/>
      <c r="B370" s="227"/>
      <c r="C370" s="227"/>
      <c r="D370" s="227"/>
      <c r="E370" s="210"/>
      <c r="F370" s="748"/>
      <c r="G370" s="752"/>
      <c r="H370" s="748"/>
      <c r="I370" s="753"/>
      <c r="J370" s="753"/>
      <c r="K370" s="753"/>
      <c r="L370" s="201"/>
      <c r="M370" s="227"/>
      <c r="N370" s="227"/>
      <c r="O370" s="227"/>
      <c r="P370" s="227"/>
      <c r="Q370" s="227"/>
      <c r="R370" s="227"/>
      <c r="S370" s="227"/>
      <c r="T370" s="227"/>
      <c r="U370" s="227"/>
      <c r="V370" s="227"/>
    </row>
    <row r="371" spans="1:22" s="211" customFormat="1" ht="16.5" hidden="1">
      <c r="A371" s="227"/>
      <c r="B371" s="227"/>
      <c r="C371" s="227"/>
      <c r="D371" s="227"/>
      <c r="E371" s="210"/>
      <c r="F371" s="748"/>
      <c r="G371" s="752"/>
      <c r="H371" s="748"/>
      <c r="I371" s="753"/>
      <c r="J371" s="753"/>
      <c r="K371" s="753"/>
      <c r="L371" s="201"/>
      <c r="M371" s="227"/>
      <c r="N371" s="227"/>
      <c r="O371" s="227"/>
      <c r="P371" s="227"/>
      <c r="Q371" s="227"/>
      <c r="R371" s="227"/>
      <c r="S371" s="227"/>
      <c r="T371" s="227"/>
      <c r="U371" s="227"/>
      <c r="V371" s="227"/>
    </row>
    <row r="372" spans="1:22" s="211" customFormat="1" ht="16.5" hidden="1">
      <c r="A372" s="227"/>
      <c r="B372" s="227"/>
      <c r="C372" s="227"/>
      <c r="D372" s="227"/>
      <c r="E372" s="210"/>
      <c r="F372" s="748"/>
      <c r="G372" s="752"/>
      <c r="H372" s="748"/>
      <c r="I372" s="753"/>
      <c r="J372" s="753"/>
      <c r="K372" s="753"/>
      <c r="L372" s="201"/>
      <c r="M372" s="227"/>
      <c r="N372" s="227"/>
      <c r="O372" s="227"/>
      <c r="P372" s="227"/>
      <c r="Q372" s="227"/>
      <c r="R372" s="227"/>
      <c r="S372" s="227"/>
      <c r="T372" s="227"/>
      <c r="U372" s="227"/>
      <c r="V372" s="227"/>
    </row>
    <row r="373" spans="1:22" s="211" customFormat="1" ht="16.5" hidden="1">
      <c r="A373" s="227"/>
      <c r="B373" s="227"/>
      <c r="C373" s="227"/>
      <c r="D373" s="227"/>
      <c r="E373" s="210"/>
      <c r="F373" s="748"/>
      <c r="G373" s="752"/>
      <c r="H373" s="748"/>
      <c r="I373" s="753"/>
      <c r="J373" s="753"/>
      <c r="K373" s="753"/>
      <c r="L373" s="201"/>
      <c r="M373" s="227"/>
      <c r="N373" s="227"/>
      <c r="O373" s="227"/>
      <c r="P373" s="227"/>
      <c r="Q373" s="227"/>
      <c r="R373" s="227"/>
      <c r="S373" s="227"/>
      <c r="T373" s="227"/>
      <c r="U373" s="227"/>
      <c r="V373" s="227"/>
    </row>
    <row r="374" spans="1:22" s="211" customFormat="1" ht="16.5" hidden="1">
      <c r="A374" s="227"/>
      <c r="B374" s="227"/>
      <c r="C374" s="227"/>
      <c r="D374" s="227"/>
      <c r="E374" s="210"/>
      <c r="F374" s="748"/>
      <c r="G374" s="752"/>
      <c r="H374" s="748"/>
      <c r="I374" s="753"/>
      <c r="J374" s="753"/>
      <c r="K374" s="753"/>
      <c r="L374" s="201"/>
      <c r="M374" s="227"/>
      <c r="N374" s="227"/>
      <c r="O374" s="227"/>
      <c r="P374" s="227"/>
      <c r="Q374" s="227"/>
      <c r="R374" s="227"/>
      <c r="S374" s="227"/>
      <c r="T374" s="227"/>
      <c r="U374" s="227"/>
      <c r="V374" s="227"/>
    </row>
    <row r="375" spans="1:22" s="211" customFormat="1" ht="16.5" hidden="1">
      <c r="A375" s="227"/>
      <c r="B375" s="227"/>
      <c r="C375" s="227"/>
      <c r="D375" s="227"/>
      <c r="E375" s="210"/>
      <c r="F375" s="748"/>
      <c r="G375" s="752"/>
      <c r="H375" s="748"/>
      <c r="I375" s="753"/>
      <c r="J375" s="753"/>
      <c r="K375" s="753"/>
      <c r="L375" s="201"/>
      <c r="M375" s="227"/>
      <c r="N375" s="227"/>
      <c r="O375" s="227"/>
      <c r="P375" s="227"/>
      <c r="Q375" s="227"/>
      <c r="R375" s="227"/>
      <c r="S375" s="227"/>
      <c r="T375" s="227"/>
      <c r="U375" s="227"/>
      <c r="V375" s="227"/>
    </row>
    <row r="376" spans="1:22" s="211" customFormat="1" ht="16.5" hidden="1">
      <c r="A376" s="227"/>
      <c r="B376" s="227"/>
      <c r="C376" s="227"/>
      <c r="D376" s="227"/>
      <c r="E376" s="210"/>
      <c r="F376" s="748"/>
      <c r="G376" s="752"/>
      <c r="H376" s="748"/>
      <c r="I376" s="753"/>
      <c r="J376" s="753"/>
      <c r="K376" s="753"/>
      <c r="L376" s="201"/>
      <c r="M376" s="227"/>
      <c r="N376" s="227"/>
      <c r="O376" s="227"/>
      <c r="P376" s="227"/>
      <c r="Q376" s="227"/>
      <c r="R376" s="227"/>
      <c r="S376" s="227"/>
      <c r="T376" s="227"/>
      <c r="U376" s="227"/>
      <c r="V376" s="227"/>
    </row>
    <row r="377" spans="1:22" s="211" customFormat="1" ht="16.5" hidden="1">
      <c r="A377" s="227"/>
      <c r="B377" s="227"/>
      <c r="C377" s="227"/>
      <c r="D377" s="227"/>
      <c r="E377" s="210"/>
      <c r="F377" s="748"/>
      <c r="G377" s="752"/>
      <c r="H377" s="748"/>
      <c r="I377" s="753"/>
      <c r="J377" s="753"/>
      <c r="K377" s="753"/>
      <c r="L377" s="201"/>
      <c r="M377" s="227"/>
      <c r="N377" s="227"/>
      <c r="O377" s="227"/>
      <c r="P377" s="227"/>
      <c r="Q377" s="227"/>
      <c r="R377" s="227"/>
      <c r="S377" s="227"/>
      <c r="T377" s="227"/>
      <c r="U377" s="227"/>
      <c r="V377" s="227"/>
    </row>
    <row r="378" spans="1:22" s="211" customFormat="1" ht="16.5" hidden="1">
      <c r="A378" s="227"/>
      <c r="B378" s="227"/>
      <c r="C378" s="227"/>
      <c r="D378" s="227"/>
      <c r="E378" s="210"/>
      <c r="F378" s="748"/>
      <c r="G378" s="752"/>
      <c r="H378" s="748"/>
      <c r="I378" s="753"/>
      <c r="J378" s="753"/>
      <c r="K378" s="753"/>
      <c r="L378" s="201"/>
      <c r="M378" s="227"/>
      <c r="N378" s="227"/>
      <c r="O378" s="227"/>
      <c r="P378" s="227"/>
      <c r="Q378" s="227"/>
      <c r="R378" s="227"/>
      <c r="S378" s="227"/>
      <c r="T378" s="227"/>
      <c r="U378" s="227"/>
      <c r="V378" s="227"/>
    </row>
    <row r="379" spans="1:22" s="211" customFormat="1" ht="16.5" hidden="1">
      <c r="A379" s="227"/>
      <c r="B379" s="227"/>
      <c r="C379" s="227"/>
      <c r="D379" s="227"/>
      <c r="E379" s="210"/>
      <c r="F379" s="748"/>
      <c r="G379" s="752"/>
      <c r="H379" s="748"/>
      <c r="I379" s="753"/>
      <c r="J379" s="753"/>
      <c r="K379" s="753"/>
      <c r="L379" s="201"/>
      <c r="M379" s="227"/>
      <c r="N379" s="227"/>
      <c r="O379" s="227"/>
      <c r="P379" s="227"/>
      <c r="Q379" s="227"/>
      <c r="R379" s="227"/>
      <c r="S379" s="227"/>
      <c r="T379" s="227"/>
      <c r="U379" s="227"/>
      <c r="V379" s="227"/>
    </row>
    <row r="380" spans="1:22" s="211" customFormat="1" ht="16.5" hidden="1">
      <c r="A380" s="227"/>
      <c r="B380" s="227"/>
      <c r="C380" s="227"/>
      <c r="D380" s="227"/>
      <c r="E380" s="210"/>
      <c r="F380" s="748"/>
      <c r="G380" s="752"/>
      <c r="H380" s="748"/>
      <c r="I380" s="753"/>
      <c r="J380" s="753"/>
      <c r="K380" s="753"/>
      <c r="L380" s="201"/>
      <c r="M380" s="227"/>
      <c r="N380" s="227"/>
      <c r="O380" s="227"/>
      <c r="P380" s="227"/>
      <c r="Q380" s="227"/>
      <c r="R380" s="227"/>
      <c r="S380" s="227"/>
      <c r="T380" s="227"/>
      <c r="U380" s="227"/>
      <c r="V380" s="227"/>
    </row>
    <row r="381" spans="1:22" s="211" customFormat="1" ht="16.5" hidden="1">
      <c r="A381" s="227"/>
      <c r="B381" s="227"/>
      <c r="C381" s="227"/>
      <c r="D381" s="227"/>
      <c r="E381" s="210"/>
      <c r="F381" s="748"/>
      <c r="G381" s="752"/>
      <c r="H381" s="748"/>
      <c r="I381" s="753"/>
      <c r="J381" s="753"/>
      <c r="K381" s="753"/>
      <c r="L381" s="201"/>
      <c r="M381" s="227"/>
      <c r="N381" s="227"/>
      <c r="O381" s="227"/>
      <c r="P381" s="227"/>
      <c r="Q381" s="227"/>
      <c r="R381" s="227"/>
      <c r="S381" s="227"/>
      <c r="T381" s="227"/>
      <c r="U381" s="227"/>
      <c r="V381" s="227"/>
    </row>
    <row r="382" spans="1:22" s="211" customFormat="1" ht="16.5" hidden="1">
      <c r="A382" s="227"/>
      <c r="B382" s="227"/>
      <c r="C382" s="227"/>
      <c r="D382" s="227"/>
      <c r="E382" s="210"/>
      <c r="F382" s="748"/>
      <c r="G382" s="752"/>
      <c r="H382" s="748"/>
      <c r="I382" s="753"/>
      <c r="J382" s="753"/>
      <c r="K382" s="753"/>
      <c r="L382" s="201"/>
      <c r="M382" s="227"/>
      <c r="N382" s="227"/>
      <c r="O382" s="227"/>
      <c r="P382" s="227"/>
      <c r="Q382" s="227"/>
      <c r="R382" s="227"/>
      <c r="S382" s="227"/>
      <c r="T382" s="227"/>
      <c r="U382" s="227"/>
      <c r="V382" s="227"/>
    </row>
    <row r="383" spans="1:22" s="211" customFormat="1" ht="16.5" hidden="1">
      <c r="A383" s="227"/>
      <c r="B383" s="227"/>
      <c r="C383" s="227"/>
      <c r="D383" s="227"/>
      <c r="E383" s="210"/>
      <c r="F383" s="748"/>
      <c r="G383" s="752"/>
      <c r="H383" s="748"/>
      <c r="I383" s="753"/>
      <c r="J383" s="753"/>
      <c r="K383" s="753"/>
      <c r="L383" s="201"/>
      <c r="M383" s="227"/>
      <c r="N383" s="227"/>
      <c r="O383" s="227"/>
      <c r="P383" s="227"/>
      <c r="Q383" s="227"/>
      <c r="R383" s="227"/>
      <c r="S383" s="227"/>
      <c r="T383" s="227"/>
      <c r="U383" s="227"/>
      <c r="V383" s="227"/>
    </row>
    <row r="384" spans="1:22" s="211" customFormat="1" ht="16.5" hidden="1">
      <c r="A384" s="227"/>
      <c r="B384" s="227"/>
      <c r="C384" s="227"/>
      <c r="D384" s="227"/>
      <c r="E384" s="210"/>
      <c r="F384" s="748"/>
      <c r="G384" s="752"/>
      <c r="H384" s="748"/>
      <c r="I384" s="753"/>
      <c r="J384" s="753"/>
      <c r="K384" s="753"/>
      <c r="L384" s="201"/>
      <c r="M384" s="227"/>
      <c r="N384" s="227"/>
      <c r="O384" s="227"/>
      <c r="P384" s="227"/>
      <c r="Q384" s="227"/>
      <c r="R384" s="227"/>
      <c r="S384" s="227"/>
      <c r="T384" s="227"/>
      <c r="U384" s="227"/>
      <c r="V384" s="227"/>
    </row>
    <row r="385" spans="1:22" s="211" customFormat="1" ht="16.5" hidden="1">
      <c r="A385" s="227"/>
      <c r="B385" s="227"/>
      <c r="C385" s="227"/>
      <c r="D385" s="227"/>
      <c r="E385" s="210"/>
      <c r="F385" s="748"/>
      <c r="G385" s="752"/>
      <c r="H385" s="748"/>
      <c r="I385" s="753"/>
      <c r="J385" s="753"/>
      <c r="K385" s="753"/>
      <c r="L385" s="201"/>
      <c r="M385" s="227"/>
      <c r="N385" s="227"/>
      <c r="O385" s="227"/>
      <c r="P385" s="227"/>
      <c r="Q385" s="227"/>
      <c r="R385" s="227"/>
      <c r="S385" s="227"/>
      <c r="T385" s="227"/>
      <c r="U385" s="227"/>
      <c r="V385" s="227"/>
    </row>
    <row r="386" spans="1:22" s="211" customFormat="1" ht="16.5" hidden="1">
      <c r="A386" s="227"/>
      <c r="B386" s="227"/>
      <c r="C386" s="227"/>
      <c r="D386" s="227"/>
      <c r="E386" s="210"/>
      <c r="F386" s="748"/>
      <c r="G386" s="752"/>
      <c r="H386" s="748"/>
      <c r="I386" s="753"/>
      <c r="J386" s="753"/>
      <c r="K386" s="753"/>
      <c r="L386" s="201"/>
      <c r="M386" s="227"/>
      <c r="N386" s="227"/>
      <c r="O386" s="227"/>
      <c r="P386" s="227"/>
      <c r="Q386" s="227"/>
      <c r="R386" s="227"/>
      <c r="S386" s="227"/>
      <c r="T386" s="227"/>
      <c r="U386" s="227"/>
      <c r="V386" s="227"/>
    </row>
    <row r="387" spans="1:22" s="211" customFormat="1" ht="16.5" hidden="1">
      <c r="A387" s="227"/>
      <c r="B387" s="227"/>
      <c r="C387" s="227"/>
      <c r="D387" s="227"/>
      <c r="E387" s="210"/>
      <c r="F387" s="748"/>
      <c r="G387" s="752"/>
      <c r="H387" s="748"/>
      <c r="I387" s="753"/>
      <c r="J387" s="753"/>
      <c r="K387" s="753"/>
      <c r="L387" s="201"/>
      <c r="M387" s="227"/>
      <c r="N387" s="227"/>
      <c r="O387" s="227"/>
      <c r="P387" s="227"/>
      <c r="Q387" s="227"/>
      <c r="R387" s="227"/>
      <c r="S387" s="227"/>
      <c r="T387" s="227"/>
      <c r="U387" s="227"/>
      <c r="V387" s="227"/>
    </row>
    <row r="388" spans="1:22" s="211" customFormat="1" ht="16.5" hidden="1">
      <c r="A388" s="227"/>
      <c r="B388" s="227"/>
      <c r="C388" s="227"/>
      <c r="D388" s="227"/>
      <c r="E388" s="210"/>
      <c r="F388" s="748"/>
      <c r="G388" s="752"/>
      <c r="H388" s="748"/>
      <c r="I388" s="753"/>
      <c r="J388" s="753"/>
      <c r="K388" s="753"/>
      <c r="L388" s="201"/>
      <c r="M388" s="227"/>
      <c r="N388" s="227"/>
      <c r="O388" s="227"/>
      <c r="P388" s="227"/>
      <c r="Q388" s="227"/>
      <c r="R388" s="227"/>
      <c r="S388" s="227"/>
      <c r="T388" s="227"/>
      <c r="U388" s="227"/>
      <c r="V388" s="227"/>
    </row>
    <row r="389" spans="1:22" s="211" customFormat="1" ht="16.5" hidden="1">
      <c r="A389" s="227"/>
      <c r="B389" s="227"/>
      <c r="C389" s="227"/>
      <c r="D389" s="227"/>
      <c r="E389" s="210"/>
      <c r="F389" s="748"/>
      <c r="G389" s="752"/>
      <c r="H389" s="748"/>
      <c r="I389" s="753"/>
      <c r="J389" s="753"/>
      <c r="K389" s="753"/>
      <c r="L389" s="201"/>
      <c r="M389" s="227"/>
      <c r="N389" s="227"/>
      <c r="O389" s="227"/>
      <c r="P389" s="227"/>
      <c r="Q389" s="227"/>
      <c r="R389" s="227"/>
      <c r="S389" s="227"/>
      <c r="T389" s="227"/>
      <c r="U389" s="227"/>
      <c r="V389" s="227"/>
    </row>
    <row r="390" spans="1:22" s="211" customFormat="1" ht="16.5" hidden="1">
      <c r="A390" s="227"/>
      <c r="B390" s="227"/>
      <c r="C390" s="227"/>
      <c r="D390" s="227"/>
      <c r="E390" s="210"/>
      <c r="F390" s="748"/>
      <c r="G390" s="752"/>
      <c r="H390" s="748"/>
      <c r="I390" s="753"/>
      <c r="J390" s="753"/>
      <c r="K390" s="753"/>
      <c r="L390" s="201"/>
      <c r="M390" s="227"/>
      <c r="N390" s="227"/>
      <c r="O390" s="227"/>
      <c r="P390" s="227"/>
      <c r="Q390" s="227"/>
      <c r="R390" s="227"/>
      <c r="S390" s="227"/>
      <c r="T390" s="227"/>
      <c r="U390" s="227"/>
      <c r="V390" s="227"/>
    </row>
    <row r="391" spans="1:22" s="211" customFormat="1" ht="16.5" hidden="1">
      <c r="A391" s="227"/>
      <c r="B391" s="227"/>
      <c r="C391" s="227"/>
      <c r="D391" s="227"/>
      <c r="E391" s="210"/>
      <c r="F391" s="748"/>
      <c r="G391" s="752"/>
      <c r="H391" s="748"/>
      <c r="I391" s="753"/>
      <c r="J391" s="753"/>
      <c r="K391" s="753"/>
      <c r="L391" s="201"/>
      <c r="M391" s="227"/>
      <c r="N391" s="227"/>
      <c r="O391" s="227"/>
      <c r="P391" s="227"/>
      <c r="Q391" s="227"/>
      <c r="R391" s="227"/>
      <c r="S391" s="227"/>
      <c r="T391" s="227"/>
      <c r="U391" s="227"/>
      <c r="V391" s="227"/>
    </row>
    <row r="392" spans="1:22" s="211" customFormat="1" ht="16.5" hidden="1">
      <c r="A392" s="227"/>
      <c r="B392" s="227"/>
      <c r="C392" s="227"/>
      <c r="D392" s="227"/>
      <c r="E392" s="210"/>
      <c r="F392" s="748"/>
      <c r="G392" s="752"/>
      <c r="H392" s="748"/>
      <c r="I392" s="753"/>
      <c r="J392" s="753"/>
      <c r="K392" s="753"/>
      <c r="L392" s="201"/>
      <c r="M392" s="227"/>
      <c r="N392" s="227"/>
      <c r="O392" s="227"/>
      <c r="P392" s="227"/>
      <c r="Q392" s="227"/>
      <c r="R392" s="227"/>
      <c r="S392" s="227"/>
      <c r="T392" s="227"/>
      <c r="U392" s="227"/>
      <c r="V392" s="227"/>
    </row>
    <row r="393" spans="1:22" s="211" customFormat="1" ht="16.5" hidden="1">
      <c r="A393" s="227"/>
      <c r="B393" s="227"/>
      <c r="C393" s="227"/>
      <c r="D393" s="227"/>
      <c r="E393" s="210"/>
      <c r="F393" s="748"/>
      <c r="G393" s="752"/>
      <c r="H393" s="748"/>
      <c r="I393" s="753"/>
      <c r="J393" s="753"/>
      <c r="K393" s="753"/>
      <c r="L393" s="201"/>
      <c r="M393" s="227"/>
      <c r="N393" s="227"/>
      <c r="O393" s="227"/>
      <c r="P393" s="227"/>
      <c r="Q393" s="227"/>
      <c r="R393" s="227"/>
      <c r="S393" s="227"/>
      <c r="T393" s="227"/>
      <c r="U393" s="227"/>
      <c r="V393" s="227"/>
    </row>
    <row r="394" spans="1:22" s="211" customFormat="1" ht="16.5" hidden="1">
      <c r="A394" s="227"/>
      <c r="B394" s="227"/>
      <c r="C394" s="227"/>
      <c r="D394" s="227"/>
      <c r="E394" s="210"/>
      <c r="F394" s="748"/>
      <c r="G394" s="752"/>
      <c r="H394" s="748"/>
      <c r="I394" s="753"/>
      <c r="J394" s="753"/>
      <c r="K394" s="753"/>
      <c r="L394" s="201"/>
      <c r="M394" s="227"/>
      <c r="N394" s="227"/>
      <c r="O394" s="227"/>
      <c r="P394" s="227"/>
      <c r="Q394" s="227"/>
      <c r="R394" s="227"/>
      <c r="S394" s="227"/>
      <c r="T394" s="227"/>
      <c r="U394" s="227"/>
      <c r="V394" s="227"/>
    </row>
    <row r="395" spans="1:22" s="211" customFormat="1" ht="16.5" hidden="1">
      <c r="A395" s="227"/>
      <c r="B395" s="227"/>
      <c r="C395" s="227"/>
      <c r="D395" s="227"/>
      <c r="E395" s="210"/>
      <c r="F395" s="748"/>
      <c r="G395" s="752"/>
      <c r="H395" s="748"/>
      <c r="I395" s="753"/>
      <c r="J395" s="753"/>
      <c r="K395" s="753"/>
      <c r="L395" s="201"/>
      <c r="M395" s="227"/>
      <c r="N395" s="227"/>
      <c r="O395" s="227"/>
      <c r="P395" s="227"/>
      <c r="Q395" s="227"/>
      <c r="R395" s="227"/>
      <c r="S395" s="227"/>
      <c r="T395" s="227"/>
      <c r="U395" s="227"/>
      <c r="V395" s="227"/>
    </row>
    <row r="396" spans="1:22" s="211" customFormat="1" ht="16.5" hidden="1">
      <c r="A396" s="227"/>
      <c r="B396" s="227"/>
      <c r="C396" s="227"/>
      <c r="D396" s="227"/>
      <c r="E396" s="210"/>
      <c r="F396" s="748"/>
      <c r="G396" s="752"/>
      <c r="H396" s="748"/>
      <c r="I396" s="753"/>
      <c r="J396" s="753"/>
      <c r="K396" s="753"/>
      <c r="L396" s="201"/>
      <c r="M396" s="227"/>
      <c r="N396" s="227"/>
      <c r="O396" s="227"/>
      <c r="P396" s="227"/>
      <c r="Q396" s="227"/>
      <c r="R396" s="227"/>
      <c r="S396" s="227"/>
      <c r="T396" s="227"/>
      <c r="U396" s="227"/>
      <c r="V396" s="227"/>
    </row>
    <row r="397" spans="1:22" s="211" customFormat="1" ht="16.5" hidden="1">
      <c r="A397" s="227"/>
      <c r="B397" s="227"/>
      <c r="C397" s="227"/>
      <c r="D397" s="227"/>
      <c r="E397" s="210"/>
      <c r="F397" s="748"/>
      <c r="G397" s="752"/>
      <c r="H397" s="748"/>
      <c r="I397" s="753"/>
      <c r="J397" s="753"/>
      <c r="K397" s="753"/>
      <c r="L397" s="201"/>
      <c r="M397" s="227"/>
      <c r="N397" s="227"/>
      <c r="O397" s="227"/>
      <c r="P397" s="227"/>
      <c r="Q397" s="227"/>
      <c r="R397" s="227"/>
      <c r="S397" s="227"/>
      <c r="T397" s="227"/>
      <c r="U397" s="227"/>
      <c r="V397" s="227"/>
    </row>
    <row r="398" spans="1:22" s="211" customFormat="1" ht="16.5" hidden="1">
      <c r="A398" s="227"/>
      <c r="B398" s="227"/>
      <c r="C398" s="227"/>
      <c r="D398" s="227"/>
      <c r="E398" s="210"/>
      <c r="F398" s="748"/>
      <c r="G398" s="752"/>
      <c r="H398" s="748"/>
      <c r="I398" s="753"/>
      <c r="J398" s="753"/>
      <c r="K398" s="753"/>
      <c r="L398" s="201"/>
      <c r="M398" s="227"/>
      <c r="N398" s="227"/>
      <c r="O398" s="227"/>
      <c r="P398" s="227"/>
      <c r="Q398" s="227"/>
      <c r="R398" s="227"/>
      <c r="S398" s="227"/>
      <c r="T398" s="227"/>
      <c r="U398" s="227"/>
      <c r="V398" s="227"/>
    </row>
    <row r="399" spans="1:22" s="211" customFormat="1" ht="16.5" hidden="1">
      <c r="A399" s="227"/>
      <c r="B399" s="227"/>
      <c r="C399" s="227"/>
      <c r="D399" s="227"/>
      <c r="E399" s="210"/>
      <c r="F399" s="748"/>
      <c r="G399" s="752"/>
      <c r="H399" s="748"/>
      <c r="I399" s="753"/>
      <c r="J399" s="753"/>
      <c r="K399" s="753"/>
      <c r="L399" s="201"/>
      <c r="M399" s="227"/>
      <c r="N399" s="227"/>
      <c r="O399" s="227"/>
      <c r="P399" s="227"/>
      <c r="Q399" s="227"/>
      <c r="R399" s="227"/>
      <c r="S399" s="227"/>
      <c r="T399" s="227"/>
      <c r="U399" s="227"/>
      <c r="V399" s="227"/>
    </row>
    <row r="400" spans="1:22" s="211" customFormat="1" ht="16.5" hidden="1">
      <c r="A400" s="227"/>
      <c r="B400" s="227"/>
      <c r="C400" s="227"/>
      <c r="D400" s="227"/>
      <c r="E400" s="210"/>
      <c r="F400" s="748"/>
      <c r="G400" s="752"/>
      <c r="H400" s="748"/>
      <c r="I400" s="753"/>
      <c r="J400" s="753"/>
      <c r="K400" s="753"/>
      <c r="L400" s="201"/>
      <c r="M400" s="227"/>
      <c r="N400" s="227"/>
      <c r="O400" s="227"/>
      <c r="P400" s="227"/>
      <c r="Q400" s="227"/>
      <c r="R400" s="227"/>
      <c r="S400" s="227"/>
      <c r="T400" s="227"/>
      <c r="U400" s="227"/>
      <c r="V400" s="227"/>
    </row>
    <row r="401" spans="1:22" s="211" customFormat="1" ht="16.5" hidden="1">
      <c r="A401" s="227"/>
      <c r="B401" s="227"/>
      <c r="C401" s="227"/>
      <c r="D401" s="227"/>
      <c r="E401" s="210"/>
      <c r="F401" s="748"/>
      <c r="G401" s="752"/>
      <c r="H401" s="748"/>
      <c r="I401" s="753"/>
      <c r="J401" s="753"/>
      <c r="K401" s="753"/>
      <c r="L401" s="201"/>
      <c r="M401" s="227"/>
      <c r="N401" s="227"/>
      <c r="O401" s="227"/>
      <c r="P401" s="227"/>
      <c r="Q401" s="227"/>
      <c r="R401" s="227"/>
      <c r="S401" s="227"/>
      <c r="T401" s="227"/>
      <c r="U401" s="227"/>
      <c r="V401" s="227"/>
    </row>
    <row r="402" spans="1:22" s="211" customFormat="1" ht="16.5" hidden="1">
      <c r="A402" s="227"/>
      <c r="B402" s="227"/>
      <c r="C402" s="227"/>
      <c r="D402" s="227"/>
      <c r="E402" s="210"/>
      <c r="F402" s="748"/>
      <c r="G402" s="752"/>
      <c r="H402" s="748"/>
      <c r="I402" s="753"/>
      <c r="J402" s="753"/>
      <c r="K402" s="753"/>
      <c r="L402" s="201"/>
      <c r="M402" s="227"/>
      <c r="N402" s="227"/>
      <c r="O402" s="227"/>
      <c r="P402" s="227"/>
      <c r="Q402" s="227"/>
      <c r="R402" s="227"/>
      <c r="S402" s="227"/>
      <c r="T402" s="227"/>
      <c r="U402" s="227"/>
      <c r="V402" s="227"/>
    </row>
    <row r="403" spans="1:22" s="211" customFormat="1" ht="16.5" hidden="1">
      <c r="A403" s="227"/>
      <c r="B403" s="227"/>
      <c r="C403" s="227"/>
      <c r="D403" s="227"/>
      <c r="E403" s="210"/>
      <c r="F403" s="748"/>
      <c r="G403" s="752"/>
      <c r="H403" s="748"/>
      <c r="I403" s="753"/>
      <c r="J403" s="753"/>
      <c r="K403" s="753"/>
      <c r="L403" s="201"/>
      <c r="M403" s="227"/>
      <c r="N403" s="227"/>
      <c r="O403" s="227"/>
      <c r="P403" s="227"/>
      <c r="Q403" s="227"/>
      <c r="R403" s="227"/>
      <c r="S403" s="227"/>
      <c r="T403" s="227"/>
      <c r="U403" s="227"/>
      <c r="V403" s="227"/>
    </row>
    <row r="404" spans="1:22" s="211" customFormat="1" ht="16.5" hidden="1">
      <c r="A404" s="227"/>
      <c r="B404" s="227"/>
      <c r="C404" s="227"/>
      <c r="D404" s="227"/>
      <c r="E404" s="210"/>
      <c r="F404" s="748"/>
      <c r="G404" s="752"/>
      <c r="H404" s="748"/>
      <c r="I404" s="753"/>
      <c r="J404" s="753"/>
      <c r="K404" s="753"/>
      <c r="L404" s="201"/>
      <c r="M404" s="227"/>
      <c r="N404" s="227"/>
      <c r="O404" s="227"/>
      <c r="P404" s="227"/>
      <c r="Q404" s="227"/>
      <c r="R404" s="227"/>
      <c r="S404" s="227"/>
      <c r="T404" s="227"/>
      <c r="U404" s="227"/>
      <c r="V404" s="227"/>
    </row>
    <row r="405" spans="1:22" s="211" customFormat="1" ht="16.5" hidden="1">
      <c r="A405" s="227"/>
      <c r="B405" s="227"/>
      <c r="C405" s="227"/>
      <c r="D405" s="227"/>
      <c r="E405" s="210"/>
      <c r="F405" s="748"/>
      <c r="G405" s="752"/>
      <c r="H405" s="748"/>
      <c r="I405" s="753"/>
      <c r="J405" s="753"/>
      <c r="K405" s="753"/>
      <c r="L405" s="201"/>
      <c r="M405" s="227"/>
      <c r="N405" s="227"/>
      <c r="O405" s="227"/>
      <c r="P405" s="227"/>
      <c r="Q405" s="227"/>
      <c r="R405" s="227"/>
      <c r="S405" s="227"/>
      <c r="T405" s="227"/>
      <c r="U405" s="227"/>
      <c r="V405" s="227"/>
    </row>
    <row r="406" spans="1:22" s="211" customFormat="1" ht="16.5" hidden="1">
      <c r="A406" s="227"/>
      <c r="B406" s="227"/>
      <c r="C406" s="227"/>
      <c r="D406" s="227"/>
      <c r="E406" s="210"/>
      <c r="F406" s="748"/>
      <c r="G406" s="752"/>
      <c r="H406" s="748"/>
      <c r="I406" s="753"/>
      <c r="J406" s="753"/>
      <c r="K406" s="753"/>
      <c r="L406" s="201"/>
      <c r="M406" s="227"/>
      <c r="N406" s="227"/>
      <c r="O406" s="227"/>
      <c r="P406" s="227"/>
      <c r="Q406" s="227"/>
      <c r="R406" s="227"/>
      <c r="S406" s="227"/>
      <c r="T406" s="227"/>
      <c r="U406" s="227"/>
      <c r="V406" s="227"/>
    </row>
    <row r="407" spans="1:22" s="211" customFormat="1" ht="16.5" hidden="1">
      <c r="A407" s="227"/>
      <c r="B407" s="227"/>
      <c r="C407" s="227"/>
      <c r="D407" s="227"/>
      <c r="E407" s="210"/>
      <c r="F407" s="748"/>
      <c r="G407" s="752"/>
      <c r="H407" s="748"/>
      <c r="I407" s="753"/>
      <c r="J407" s="753"/>
      <c r="K407" s="753"/>
      <c r="L407" s="201"/>
      <c r="M407" s="227"/>
      <c r="N407" s="227"/>
      <c r="O407" s="227"/>
      <c r="P407" s="227"/>
      <c r="Q407" s="227"/>
      <c r="R407" s="227"/>
      <c r="S407" s="227"/>
      <c r="T407" s="227"/>
      <c r="U407" s="227"/>
      <c r="V407" s="227"/>
    </row>
    <row r="408" spans="1:22" s="211" customFormat="1" ht="16.5" hidden="1">
      <c r="A408" s="227"/>
      <c r="B408" s="227"/>
      <c r="C408" s="227"/>
      <c r="D408" s="227"/>
      <c r="E408" s="210"/>
      <c r="F408" s="748"/>
      <c r="G408" s="752"/>
      <c r="H408" s="748"/>
      <c r="I408" s="753"/>
      <c r="J408" s="753"/>
      <c r="K408" s="753"/>
      <c r="L408" s="201"/>
      <c r="M408" s="227"/>
      <c r="N408" s="227"/>
      <c r="O408" s="227"/>
      <c r="P408" s="227"/>
      <c r="Q408" s="227"/>
      <c r="R408" s="227"/>
      <c r="S408" s="227"/>
      <c r="T408" s="227"/>
      <c r="U408" s="227"/>
      <c r="V408" s="227"/>
    </row>
    <row r="409" spans="1:22" s="211" customFormat="1" ht="16.5" hidden="1">
      <c r="A409" s="227"/>
      <c r="B409" s="227"/>
      <c r="C409" s="227"/>
      <c r="D409" s="227"/>
      <c r="E409" s="210"/>
      <c r="F409" s="748"/>
      <c r="G409" s="752"/>
      <c r="H409" s="748"/>
      <c r="I409" s="753"/>
      <c r="J409" s="753"/>
      <c r="K409" s="753"/>
      <c r="L409" s="201"/>
      <c r="M409" s="227"/>
      <c r="N409" s="227"/>
      <c r="O409" s="227"/>
      <c r="P409" s="227"/>
      <c r="Q409" s="227"/>
      <c r="R409" s="227"/>
      <c r="S409" s="227"/>
      <c r="T409" s="227"/>
      <c r="U409" s="227"/>
      <c r="V409" s="227"/>
    </row>
    <row r="410" spans="1:22" s="211" customFormat="1" ht="16.5" hidden="1">
      <c r="A410" s="227"/>
      <c r="B410" s="227"/>
      <c r="C410" s="227"/>
      <c r="D410" s="227"/>
      <c r="E410" s="210"/>
      <c r="F410" s="748"/>
      <c r="G410" s="752"/>
      <c r="H410" s="748"/>
      <c r="I410" s="753"/>
      <c r="J410" s="753"/>
      <c r="K410" s="753"/>
      <c r="L410" s="201"/>
      <c r="M410" s="227"/>
      <c r="N410" s="227"/>
      <c r="O410" s="227"/>
      <c r="P410" s="227"/>
      <c r="Q410" s="227"/>
      <c r="R410" s="227"/>
      <c r="S410" s="227"/>
      <c r="T410" s="227"/>
      <c r="U410" s="227"/>
      <c r="V410" s="227"/>
    </row>
    <row r="411" spans="1:22" s="211" customFormat="1" ht="16.5" hidden="1">
      <c r="A411" s="227"/>
      <c r="B411" s="227"/>
      <c r="C411" s="227"/>
      <c r="D411" s="227"/>
      <c r="E411" s="210"/>
      <c r="F411" s="748"/>
      <c r="G411" s="752"/>
      <c r="H411" s="748"/>
      <c r="I411" s="753"/>
      <c r="J411" s="753"/>
      <c r="K411" s="753"/>
      <c r="L411" s="201"/>
      <c r="M411" s="227"/>
      <c r="N411" s="227"/>
      <c r="O411" s="227"/>
      <c r="P411" s="227"/>
      <c r="Q411" s="227"/>
      <c r="R411" s="227"/>
      <c r="S411" s="227"/>
      <c r="T411" s="227"/>
      <c r="U411" s="227"/>
      <c r="V411" s="227"/>
    </row>
    <row r="412" spans="1:22" s="211" customFormat="1" ht="16.5" hidden="1">
      <c r="A412" s="227"/>
      <c r="B412" s="227"/>
      <c r="C412" s="227"/>
      <c r="D412" s="227"/>
      <c r="E412" s="210"/>
      <c r="F412" s="748"/>
      <c r="G412" s="752"/>
      <c r="H412" s="748"/>
      <c r="I412" s="753"/>
      <c r="J412" s="753"/>
      <c r="K412" s="753"/>
      <c r="L412" s="201"/>
      <c r="M412" s="227"/>
      <c r="N412" s="227"/>
      <c r="O412" s="227"/>
      <c r="P412" s="227"/>
      <c r="Q412" s="227"/>
      <c r="R412" s="227"/>
      <c r="S412" s="227"/>
      <c r="T412" s="227"/>
      <c r="U412" s="227"/>
      <c r="V412" s="227"/>
    </row>
    <row r="413" spans="1:22" s="211" customFormat="1" ht="16.5" hidden="1">
      <c r="A413" s="227"/>
      <c r="B413" s="227"/>
      <c r="C413" s="227"/>
      <c r="D413" s="227"/>
      <c r="E413" s="210"/>
      <c r="F413" s="748"/>
      <c r="G413" s="752"/>
      <c r="H413" s="748"/>
      <c r="I413" s="753"/>
      <c r="J413" s="753"/>
      <c r="K413" s="753"/>
      <c r="L413" s="201"/>
      <c r="M413" s="227"/>
      <c r="N413" s="227"/>
      <c r="O413" s="227"/>
      <c r="P413" s="227"/>
      <c r="Q413" s="227"/>
      <c r="R413" s="227"/>
      <c r="S413" s="227"/>
      <c r="T413" s="227"/>
      <c r="U413" s="227"/>
      <c r="V413" s="227"/>
    </row>
    <row r="414" spans="1:22" s="211" customFormat="1" ht="16.5" hidden="1">
      <c r="A414" s="227"/>
      <c r="B414" s="227"/>
      <c r="C414" s="227"/>
      <c r="D414" s="227"/>
      <c r="E414" s="210"/>
      <c r="F414" s="748"/>
      <c r="G414" s="752"/>
      <c r="H414" s="748"/>
      <c r="I414" s="753"/>
      <c r="J414" s="753"/>
      <c r="K414" s="753"/>
      <c r="L414" s="201"/>
      <c r="M414" s="227"/>
      <c r="N414" s="227"/>
      <c r="O414" s="227"/>
      <c r="P414" s="227"/>
      <c r="Q414" s="227"/>
      <c r="R414" s="227"/>
      <c r="S414" s="227"/>
      <c r="T414" s="227"/>
      <c r="U414" s="227"/>
      <c r="V414" s="227"/>
    </row>
    <row r="415" spans="1:22" s="211" customFormat="1" ht="16.5" hidden="1">
      <c r="A415" s="227"/>
      <c r="B415" s="227"/>
      <c r="C415" s="227"/>
      <c r="D415" s="227"/>
      <c r="E415" s="210"/>
      <c r="F415" s="748"/>
      <c r="G415" s="752"/>
      <c r="H415" s="748"/>
      <c r="I415" s="753"/>
      <c r="J415" s="753"/>
      <c r="K415" s="753"/>
      <c r="L415" s="201"/>
      <c r="M415" s="227"/>
      <c r="N415" s="227"/>
      <c r="O415" s="227"/>
      <c r="P415" s="227"/>
      <c r="Q415" s="227"/>
      <c r="R415" s="227"/>
      <c r="S415" s="227"/>
      <c r="T415" s="227"/>
      <c r="U415" s="227"/>
      <c r="V415" s="227"/>
    </row>
    <row r="416" spans="1:22" s="211" customFormat="1" ht="16.5" hidden="1">
      <c r="A416" s="227"/>
      <c r="B416" s="227"/>
      <c r="C416" s="227"/>
      <c r="D416" s="227"/>
      <c r="E416" s="210"/>
      <c r="F416" s="748"/>
      <c r="G416" s="752"/>
      <c r="H416" s="748"/>
      <c r="I416" s="753"/>
      <c r="J416" s="753"/>
      <c r="K416" s="753"/>
      <c r="L416" s="201"/>
      <c r="M416" s="227"/>
      <c r="N416" s="227"/>
      <c r="O416" s="227"/>
      <c r="P416" s="227"/>
      <c r="Q416" s="227"/>
      <c r="R416" s="227"/>
      <c r="S416" s="227"/>
      <c r="T416" s="227"/>
      <c r="U416" s="227"/>
      <c r="V416" s="227"/>
    </row>
    <row r="417" spans="1:22" s="211" customFormat="1" ht="16.5" hidden="1">
      <c r="A417" s="227"/>
      <c r="B417" s="227"/>
      <c r="C417" s="227"/>
      <c r="D417" s="227"/>
      <c r="E417" s="210"/>
      <c r="F417" s="748"/>
      <c r="G417" s="752"/>
      <c r="H417" s="748"/>
      <c r="I417" s="753"/>
      <c r="J417" s="753"/>
      <c r="K417" s="753"/>
      <c r="L417" s="201"/>
      <c r="M417" s="227"/>
      <c r="N417" s="227"/>
      <c r="O417" s="227"/>
      <c r="P417" s="227"/>
      <c r="Q417" s="227"/>
      <c r="R417" s="227"/>
      <c r="S417" s="227"/>
      <c r="T417" s="227"/>
      <c r="U417" s="227"/>
      <c r="V417" s="227"/>
    </row>
    <row r="418" spans="1:22" s="211" customFormat="1" ht="16.5" hidden="1">
      <c r="A418" s="227"/>
      <c r="B418" s="227"/>
      <c r="C418" s="227"/>
      <c r="D418" s="227"/>
      <c r="E418" s="210"/>
      <c r="F418" s="748"/>
      <c r="G418" s="752"/>
      <c r="H418" s="748"/>
      <c r="I418" s="753"/>
      <c r="J418" s="753"/>
      <c r="K418" s="753"/>
      <c r="L418" s="201"/>
      <c r="M418" s="227"/>
      <c r="N418" s="227"/>
      <c r="O418" s="227"/>
      <c r="P418" s="227"/>
      <c r="Q418" s="227"/>
      <c r="R418" s="227"/>
      <c r="S418" s="227"/>
      <c r="T418" s="227"/>
      <c r="U418" s="227"/>
      <c r="V418" s="227"/>
    </row>
    <row r="419" spans="1:22" s="211" customFormat="1" ht="16.5" hidden="1">
      <c r="A419" s="227"/>
      <c r="B419" s="227"/>
      <c r="C419" s="227"/>
      <c r="D419" s="227"/>
      <c r="E419" s="210"/>
      <c r="F419" s="748"/>
      <c r="G419" s="752"/>
      <c r="H419" s="748"/>
      <c r="I419" s="753"/>
      <c r="J419" s="753"/>
      <c r="K419" s="753"/>
      <c r="L419" s="201"/>
      <c r="M419" s="227"/>
      <c r="N419" s="227"/>
      <c r="O419" s="227"/>
      <c r="P419" s="227"/>
      <c r="Q419" s="227"/>
      <c r="R419" s="227"/>
      <c r="S419" s="227"/>
      <c r="T419" s="227"/>
      <c r="U419" s="227"/>
      <c r="V419" s="227"/>
    </row>
    <row r="420" spans="1:22" s="211" customFormat="1" ht="16.5" hidden="1">
      <c r="A420" s="227"/>
      <c r="B420" s="227"/>
      <c r="C420" s="227"/>
      <c r="D420" s="227"/>
      <c r="E420" s="210"/>
      <c r="F420" s="748"/>
      <c r="G420" s="752"/>
      <c r="H420" s="748"/>
      <c r="I420" s="753"/>
      <c r="J420" s="753"/>
      <c r="K420" s="753"/>
      <c r="L420" s="201"/>
      <c r="M420" s="227"/>
      <c r="N420" s="227"/>
      <c r="O420" s="227"/>
      <c r="P420" s="227"/>
      <c r="Q420" s="227"/>
      <c r="R420" s="227"/>
      <c r="S420" s="227"/>
      <c r="T420" s="227"/>
      <c r="U420" s="227"/>
      <c r="V420" s="227"/>
    </row>
    <row r="421" spans="1:22" s="211" customFormat="1" ht="16.5" hidden="1">
      <c r="A421" s="227"/>
      <c r="B421" s="227"/>
      <c r="C421" s="227"/>
      <c r="D421" s="227"/>
      <c r="E421" s="210"/>
      <c r="F421" s="748"/>
      <c r="G421" s="752"/>
      <c r="H421" s="748"/>
      <c r="I421" s="753"/>
      <c r="J421" s="753"/>
      <c r="K421" s="753"/>
      <c r="L421" s="201"/>
      <c r="M421" s="227"/>
      <c r="N421" s="227"/>
      <c r="O421" s="227"/>
      <c r="P421" s="227"/>
      <c r="Q421" s="227"/>
      <c r="R421" s="227"/>
      <c r="S421" s="227"/>
      <c r="T421" s="227"/>
      <c r="U421" s="227"/>
      <c r="V421" s="227"/>
    </row>
    <row r="422" spans="1:22" s="211" customFormat="1" ht="16.5" hidden="1">
      <c r="A422" s="227"/>
      <c r="B422" s="227"/>
      <c r="C422" s="227"/>
      <c r="D422" s="227"/>
      <c r="E422" s="210"/>
      <c r="F422" s="748"/>
      <c r="G422" s="752"/>
      <c r="H422" s="748"/>
      <c r="I422" s="753"/>
      <c r="J422" s="753"/>
      <c r="K422" s="753"/>
      <c r="L422" s="201"/>
      <c r="M422" s="227"/>
      <c r="N422" s="227"/>
      <c r="O422" s="227"/>
      <c r="P422" s="227"/>
      <c r="Q422" s="227"/>
      <c r="R422" s="227"/>
      <c r="S422" s="227"/>
      <c r="T422" s="227"/>
      <c r="U422" s="227"/>
      <c r="V422" s="227"/>
    </row>
    <row r="423" spans="1:22" s="211" customFormat="1" ht="16.5" hidden="1">
      <c r="A423" s="227"/>
      <c r="B423" s="227"/>
      <c r="C423" s="227"/>
      <c r="D423" s="227"/>
      <c r="E423" s="210"/>
      <c r="F423" s="646"/>
      <c r="G423" s="652"/>
      <c r="H423" s="646"/>
      <c r="I423" s="653"/>
      <c r="J423" s="653"/>
      <c r="K423" s="653"/>
      <c r="L423" s="201"/>
      <c r="M423" s="227"/>
      <c r="N423" s="227"/>
      <c r="O423" s="227"/>
      <c r="P423" s="227"/>
      <c r="Q423" s="227"/>
      <c r="R423" s="227"/>
      <c r="S423" s="227"/>
      <c r="T423" s="227"/>
      <c r="U423" s="227"/>
      <c r="V423" s="227"/>
    </row>
    <row r="424" spans="1:22" s="211" customFormat="1" ht="16.5" hidden="1">
      <c r="A424" s="227"/>
      <c r="B424" s="227"/>
      <c r="C424" s="227"/>
      <c r="D424" s="227"/>
      <c r="E424" s="210"/>
      <c r="F424" s="646"/>
      <c r="G424" s="652"/>
      <c r="H424" s="646"/>
      <c r="I424" s="653"/>
      <c r="J424" s="653"/>
      <c r="K424" s="653"/>
      <c r="L424" s="201"/>
      <c r="M424" s="227"/>
      <c r="N424" s="227"/>
      <c r="O424" s="227"/>
      <c r="P424" s="227"/>
      <c r="Q424" s="227"/>
      <c r="R424" s="227"/>
      <c r="S424" s="227"/>
      <c r="T424" s="227"/>
      <c r="U424" s="227"/>
      <c r="V424" s="227"/>
    </row>
    <row r="425" spans="1:22" s="211" customFormat="1" ht="16.5" hidden="1">
      <c r="A425" s="227"/>
      <c r="B425" s="227"/>
      <c r="C425" s="227"/>
      <c r="D425" s="227"/>
      <c r="E425" s="210"/>
      <c r="F425" s="646"/>
      <c r="G425" s="652"/>
      <c r="H425" s="646"/>
      <c r="I425" s="653"/>
      <c r="J425" s="653"/>
      <c r="K425" s="653"/>
      <c r="L425" s="201"/>
      <c r="M425" s="227"/>
      <c r="N425" s="227"/>
      <c r="O425" s="227"/>
      <c r="P425" s="227"/>
      <c r="Q425" s="227"/>
      <c r="R425" s="227"/>
      <c r="S425" s="227"/>
      <c r="T425" s="227"/>
      <c r="U425" s="227"/>
      <c r="V425" s="227"/>
    </row>
    <row r="426" spans="1:22" s="211" customFormat="1" ht="16.5" hidden="1">
      <c r="A426" s="227"/>
      <c r="B426" s="227"/>
      <c r="C426" s="227"/>
      <c r="D426" s="227"/>
      <c r="E426" s="210"/>
      <c r="F426" s="646"/>
      <c r="G426" s="652"/>
      <c r="H426" s="646"/>
      <c r="I426" s="653"/>
      <c r="J426" s="653"/>
      <c r="K426" s="653"/>
      <c r="L426" s="201"/>
      <c r="M426" s="227"/>
      <c r="N426" s="227"/>
      <c r="O426" s="227"/>
      <c r="P426" s="227"/>
      <c r="Q426" s="227"/>
      <c r="R426" s="227"/>
      <c r="S426" s="227"/>
      <c r="T426" s="227"/>
      <c r="U426" s="227"/>
      <c r="V426" s="227"/>
    </row>
    <row r="427" spans="1:22" s="211" customFormat="1" ht="16.5" hidden="1">
      <c r="A427" s="227"/>
      <c r="B427" s="227"/>
      <c r="C427" s="227"/>
      <c r="D427" s="227"/>
      <c r="E427" s="210"/>
      <c r="F427" s="646"/>
      <c r="G427" s="652"/>
      <c r="H427" s="646"/>
      <c r="I427" s="653"/>
      <c r="J427" s="653"/>
      <c r="K427" s="653"/>
      <c r="L427" s="201"/>
      <c r="M427" s="227"/>
      <c r="N427" s="227"/>
      <c r="O427" s="227"/>
      <c r="P427" s="227"/>
      <c r="Q427" s="227"/>
      <c r="R427" s="227"/>
      <c r="S427" s="227"/>
      <c r="T427" s="227"/>
      <c r="U427" s="227"/>
      <c r="V427" s="227"/>
    </row>
    <row r="428" spans="1:22" s="211" customFormat="1" ht="16.5" hidden="1">
      <c r="A428" s="227"/>
      <c r="B428" s="227"/>
      <c r="C428" s="227"/>
      <c r="D428" s="227"/>
      <c r="E428" s="210"/>
      <c r="F428" s="646"/>
      <c r="G428" s="652"/>
      <c r="H428" s="646"/>
      <c r="I428" s="653"/>
      <c r="J428" s="653"/>
      <c r="K428" s="653"/>
      <c r="L428" s="201"/>
      <c r="M428" s="227"/>
      <c r="N428" s="227"/>
      <c r="O428" s="227"/>
      <c r="P428" s="227"/>
      <c r="Q428" s="227"/>
      <c r="R428" s="227"/>
      <c r="S428" s="227"/>
      <c r="T428" s="227"/>
      <c r="U428" s="227"/>
      <c r="V428" s="227"/>
    </row>
    <row r="429" spans="1:22" s="211" customFormat="1" ht="16.5" hidden="1">
      <c r="A429" s="227"/>
      <c r="B429" s="227"/>
      <c r="C429" s="227"/>
      <c r="D429" s="227"/>
      <c r="E429" s="210"/>
      <c r="F429" s="646"/>
      <c r="G429" s="652"/>
      <c r="H429" s="646"/>
      <c r="I429" s="653"/>
      <c r="J429" s="653"/>
      <c r="K429" s="653"/>
      <c r="L429" s="201"/>
      <c r="M429" s="227"/>
      <c r="N429" s="227"/>
      <c r="O429" s="227"/>
      <c r="P429" s="227"/>
      <c r="Q429" s="227"/>
      <c r="R429" s="227"/>
      <c r="S429" s="227"/>
      <c r="T429" s="227"/>
      <c r="U429" s="227"/>
      <c r="V429" s="227"/>
    </row>
    <row r="430" spans="1:22" s="211" customFormat="1" ht="16.5" hidden="1">
      <c r="A430" s="227"/>
      <c r="B430" s="227"/>
      <c r="C430" s="227"/>
      <c r="D430" s="227"/>
      <c r="E430" s="210"/>
      <c r="F430" s="646"/>
      <c r="G430" s="652"/>
      <c r="H430" s="646"/>
      <c r="I430" s="653"/>
      <c r="J430" s="653"/>
      <c r="K430" s="653"/>
      <c r="L430" s="201"/>
      <c r="M430" s="227"/>
      <c r="N430" s="227"/>
      <c r="O430" s="227"/>
      <c r="P430" s="227"/>
      <c r="Q430" s="227"/>
      <c r="R430" s="227"/>
      <c r="S430" s="227"/>
      <c r="T430" s="227"/>
      <c r="U430" s="227"/>
      <c r="V430" s="227"/>
    </row>
    <row r="431" spans="1:22" s="211" customFormat="1" ht="16.5" hidden="1">
      <c r="A431" s="227"/>
      <c r="B431" s="227"/>
      <c r="C431" s="227"/>
      <c r="D431" s="227"/>
      <c r="E431" s="210"/>
      <c r="F431" s="646"/>
      <c r="G431" s="652"/>
      <c r="H431" s="646"/>
      <c r="I431" s="653"/>
      <c r="J431" s="653"/>
      <c r="K431" s="653"/>
      <c r="L431" s="201"/>
      <c r="M431" s="227"/>
      <c r="N431" s="227"/>
      <c r="O431" s="227"/>
      <c r="P431" s="227"/>
      <c r="Q431" s="227"/>
      <c r="R431" s="227"/>
      <c r="S431" s="227"/>
      <c r="T431" s="227"/>
      <c r="U431" s="227"/>
      <c r="V431" s="227"/>
    </row>
    <row r="432" spans="1:22" s="211" customFormat="1" ht="16.5" hidden="1">
      <c r="A432" s="227"/>
      <c r="B432" s="227"/>
      <c r="C432" s="227"/>
      <c r="D432" s="227"/>
      <c r="E432" s="210"/>
      <c r="F432" s="624"/>
      <c r="G432" s="625"/>
      <c r="H432" s="626"/>
      <c r="I432" s="754"/>
      <c r="J432" s="754"/>
      <c r="K432" s="754"/>
      <c r="L432" s="201"/>
      <c r="M432" s="227"/>
      <c r="N432" s="227"/>
      <c r="O432" s="227"/>
      <c r="P432" s="227"/>
      <c r="Q432" s="227"/>
      <c r="R432" s="227"/>
      <c r="S432" s="227"/>
      <c r="T432" s="227"/>
      <c r="U432" s="227"/>
      <c r="V432" s="227"/>
    </row>
    <row r="433" spans="1:25" s="211" customFormat="1" ht="16.5" hidden="1">
      <c r="A433" s="227"/>
      <c r="B433" s="227"/>
      <c r="C433" s="227"/>
      <c r="D433" s="227"/>
      <c r="E433" s="210"/>
      <c r="F433" s="624"/>
      <c r="G433" s="625"/>
      <c r="H433" s="626"/>
      <c r="I433" s="754"/>
      <c r="J433" s="754"/>
      <c r="K433" s="754"/>
      <c r="L433" s="201"/>
      <c r="M433" s="227"/>
      <c r="N433" s="227"/>
      <c r="O433" s="227"/>
      <c r="P433" s="227"/>
      <c r="Q433" s="227"/>
      <c r="R433" s="227"/>
      <c r="S433" s="227"/>
      <c r="T433" s="227"/>
      <c r="U433" s="227"/>
      <c r="V433" s="227"/>
    </row>
    <row r="434" spans="1:25" s="211" customFormat="1" ht="16.5" hidden="1">
      <c r="A434" s="227"/>
      <c r="B434" s="227"/>
      <c r="C434" s="227"/>
      <c r="D434" s="227"/>
      <c r="E434" s="210"/>
      <c r="F434" s="624"/>
      <c r="G434" s="625"/>
      <c r="H434" s="626"/>
      <c r="I434" s="754"/>
      <c r="J434" s="754"/>
      <c r="K434" s="754"/>
      <c r="L434" s="201"/>
      <c r="M434" s="227"/>
      <c r="N434" s="227"/>
      <c r="O434" s="227"/>
      <c r="P434" s="227"/>
      <c r="Q434" s="227"/>
      <c r="R434" s="227"/>
      <c r="S434" s="227"/>
      <c r="T434" s="227"/>
      <c r="U434" s="227"/>
      <c r="V434" s="227"/>
    </row>
    <row r="435" spans="1:25" s="211" customFormat="1" ht="16.5" hidden="1">
      <c r="A435" s="227"/>
      <c r="B435" s="227"/>
      <c r="C435" s="227"/>
      <c r="D435" s="227"/>
      <c r="E435" s="210"/>
      <c r="F435" s="624"/>
      <c r="G435" s="625"/>
      <c r="H435" s="626"/>
      <c r="I435" s="754"/>
      <c r="J435" s="754"/>
      <c r="K435" s="754"/>
      <c r="L435" s="201"/>
      <c r="M435" s="227"/>
      <c r="N435" s="227"/>
      <c r="O435" s="227"/>
      <c r="P435" s="227"/>
      <c r="Q435" s="227"/>
      <c r="R435" s="227"/>
      <c r="S435" s="227"/>
      <c r="T435" s="227"/>
      <c r="U435" s="227"/>
      <c r="V435" s="227"/>
    </row>
    <row r="436" spans="1:25" s="211" customFormat="1" ht="16.5" hidden="1">
      <c r="A436" s="227"/>
      <c r="B436" s="227"/>
      <c r="C436" s="227"/>
      <c r="D436" s="227"/>
      <c r="E436" s="210"/>
      <c r="F436" s="624"/>
      <c r="G436" s="625"/>
      <c r="H436" s="626"/>
      <c r="I436" s="754"/>
      <c r="J436" s="754"/>
      <c r="K436" s="754"/>
      <c r="L436" s="201"/>
      <c r="M436" s="227"/>
      <c r="N436" s="227"/>
      <c r="O436" s="227"/>
      <c r="P436" s="227"/>
      <c r="Q436" s="227"/>
      <c r="R436" s="227"/>
      <c r="S436" s="227"/>
      <c r="T436" s="227"/>
      <c r="U436" s="227"/>
      <c r="V436" s="227"/>
    </row>
    <row r="437" spans="1:25" s="211" customFormat="1" ht="16.5" hidden="1">
      <c r="A437" s="227"/>
      <c r="B437" s="227"/>
      <c r="C437" s="227"/>
      <c r="D437" s="227"/>
      <c r="E437" s="210"/>
      <c r="F437" s="624"/>
      <c r="G437" s="625"/>
      <c r="H437" s="626"/>
      <c r="I437" s="754"/>
      <c r="J437" s="754"/>
      <c r="K437" s="754"/>
      <c r="L437" s="201"/>
      <c r="M437" s="227"/>
      <c r="N437" s="227"/>
      <c r="O437" s="227"/>
      <c r="P437" s="227"/>
      <c r="Q437" s="227"/>
      <c r="R437" s="227"/>
      <c r="S437" s="227"/>
      <c r="T437" s="227"/>
      <c r="U437" s="227"/>
      <c r="V437" s="227"/>
    </row>
    <row r="438" spans="1:25" s="211" customFormat="1" ht="16.5" hidden="1">
      <c r="A438" s="227"/>
      <c r="B438" s="227"/>
      <c r="C438" s="227"/>
      <c r="D438" s="227"/>
      <c r="E438" s="210"/>
      <c r="F438" s="624"/>
      <c r="G438" s="625"/>
      <c r="H438" s="626"/>
      <c r="I438" s="754"/>
      <c r="J438" s="754"/>
      <c r="K438" s="754"/>
      <c r="L438" s="201"/>
      <c r="M438" s="227"/>
      <c r="N438" s="227"/>
      <c r="O438" s="227"/>
      <c r="P438" s="227"/>
      <c r="Q438" s="227"/>
      <c r="R438" s="227"/>
      <c r="S438" s="227"/>
      <c r="T438" s="227"/>
      <c r="U438" s="227"/>
      <c r="V438" s="227"/>
    </row>
    <row r="439" spans="1:25" s="211" customFormat="1" ht="16.5" hidden="1">
      <c r="A439" s="227"/>
      <c r="B439" s="227"/>
      <c r="C439" s="227"/>
      <c r="D439" s="227"/>
      <c r="E439" s="210"/>
      <c r="F439" s="624"/>
      <c r="G439" s="625"/>
      <c r="H439" s="626"/>
      <c r="I439" s="754"/>
      <c r="J439" s="754"/>
      <c r="K439" s="754"/>
      <c r="L439" s="201"/>
      <c r="M439" s="227"/>
      <c r="N439" s="227"/>
      <c r="O439" s="227"/>
      <c r="P439" s="227"/>
      <c r="Q439" s="227"/>
      <c r="R439" s="227"/>
      <c r="S439" s="227"/>
      <c r="T439" s="227"/>
      <c r="U439" s="227"/>
      <c r="V439" s="227"/>
    </row>
    <row r="440" spans="1:25" s="211" customFormat="1" ht="16.5" hidden="1">
      <c r="A440" s="227"/>
      <c r="B440" s="227"/>
      <c r="C440" s="227"/>
      <c r="D440" s="227"/>
      <c r="E440" s="210"/>
      <c r="F440" s="624"/>
      <c r="G440" s="625"/>
      <c r="H440" s="626"/>
      <c r="I440" s="754"/>
      <c r="J440" s="754"/>
      <c r="K440" s="754"/>
      <c r="L440" s="201"/>
      <c r="M440" s="227"/>
      <c r="N440" s="227"/>
      <c r="O440" s="227"/>
      <c r="P440" s="227"/>
      <c r="Q440" s="227"/>
      <c r="R440" s="227"/>
      <c r="S440" s="227"/>
      <c r="T440" s="227"/>
      <c r="U440" s="227"/>
      <c r="V440" s="227"/>
    </row>
    <row r="441" spans="1:25" s="211" customFormat="1" ht="9.75" customHeight="1">
      <c r="A441" s="227"/>
      <c r="B441" s="227"/>
      <c r="C441" s="227"/>
      <c r="D441" s="227"/>
      <c r="E441" s="210"/>
      <c r="F441" s="751"/>
      <c r="G441" s="310"/>
      <c r="H441" s="313"/>
      <c r="I441" s="755"/>
      <c r="J441" s="755"/>
      <c r="K441" s="755"/>
      <c r="L441" s="201"/>
      <c r="M441" s="227"/>
      <c r="N441" s="227"/>
      <c r="O441" s="227"/>
      <c r="P441" s="227"/>
      <c r="Q441" s="227"/>
      <c r="R441" s="227"/>
      <c r="S441" s="227"/>
      <c r="T441" s="227"/>
      <c r="U441" s="227"/>
      <c r="V441" s="227"/>
    </row>
    <row r="442" spans="1:25" s="211" customFormat="1" ht="16.5">
      <c r="A442" s="227"/>
      <c r="B442" s="227"/>
      <c r="C442" s="227"/>
      <c r="D442" s="227"/>
      <c r="E442" s="223" t="str">
        <f>IF(E43&lt;&gt;"","7/","6/")</f>
        <v>7/</v>
      </c>
      <c r="F442" s="208" t="s">
        <v>4381</v>
      </c>
      <c r="G442" s="224"/>
      <c r="H442" s="224"/>
      <c r="I442" s="224"/>
      <c r="J442" s="224"/>
      <c r="K442" s="210"/>
      <c r="L442" s="210"/>
      <c r="M442" s="227"/>
      <c r="N442" s="227"/>
      <c r="O442" s="227"/>
      <c r="P442" s="227"/>
      <c r="Q442" s="227"/>
      <c r="R442" s="227"/>
      <c r="S442" s="227"/>
      <c r="T442" s="227"/>
      <c r="U442" s="227"/>
      <c r="V442" s="227"/>
    </row>
    <row r="443" spans="1:25" s="211" customFormat="1" ht="20.25" customHeight="1">
      <c r="A443" s="227"/>
      <c r="B443" s="227"/>
      <c r="C443" s="227"/>
      <c r="D443" s="227"/>
      <c r="E443" s="223" t="str">
        <f>IF(E43&lt;&gt;"","8/","7/")</f>
        <v>8/</v>
      </c>
      <c r="F443" s="208" t="s">
        <v>4382</v>
      </c>
      <c r="G443" s="225"/>
      <c r="H443" s="225"/>
      <c r="I443" s="225"/>
      <c r="J443" s="225"/>
      <c r="K443" s="210"/>
      <c r="L443" s="210"/>
      <c r="M443" s="227"/>
      <c r="N443" s="227"/>
      <c r="O443" s="227"/>
      <c r="P443" s="227"/>
      <c r="Q443" s="227"/>
      <c r="R443" s="227"/>
      <c r="S443" s="227"/>
      <c r="T443" s="227"/>
      <c r="U443" s="227"/>
      <c r="V443" s="227"/>
      <c r="W443" s="1634"/>
      <c r="X443" s="1634"/>
      <c r="Y443" s="1634"/>
    </row>
    <row r="444" spans="1:25" s="211" customFormat="1" ht="6.75" customHeight="1">
      <c r="A444" s="227"/>
      <c r="B444" s="227"/>
      <c r="C444" s="227"/>
      <c r="D444" s="227"/>
      <c r="E444" s="223"/>
      <c r="F444" s="208"/>
      <c r="G444" s="225"/>
      <c r="H444" s="225"/>
      <c r="I444" s="225"/>
      <c r="J444" s="225"/>
      <c r="K444" s="210"/>
      <c r="L444" s="210"/>
      <c r="M444" s="227"/>
      <c r="N444" s="227"/>
      <c r="O444" s="227"/>
      <c r="P444" s="227"/>
      <c r="Q444" s="227"/>
      <c r="R444" s="227"/>
      <c r="S444" s="227"/>
      <c r="T444" s="227"/>
      <c r="U444" s="227"/>
      <c r="V444" s="227"/>
      <c r="W444" s="750"/>
      <c r="X444" s="750"/>
      <c r="Y444" s="750"/>
    </row>
    <row r="445" spans="1:25" ht="16.5">
      <c r="A445" s="227"/>
      <c r="B445" s="227"/>
      <c r="C445" s="227"/>
      <c r="D445" s="227"/>
      <c r="E445" s="1635" t="s">
        <v>446</v>
      </c>
      <c r="F445" s="1635"/>
      <c r="G445" s="1635"/>
      <c r="H445" s="256"/>
      <c r="I445" s="1635" t="str">
        <f>BBKT_Dap!L168</f>
        <v>ĐƠN VỊ THI CÔNG</v>
      </c>
      <c r="J445" s="1635"/>
      <c r="K445" s="1635"/>
      <c r="L445" s="1635"/>
      <c r="M445" s="227"/>
      <c r="N445" s="227"/>
      <c r="O445" s="227"/>
      <c r="P445" s="227"/>
      <c r="Q445" s="227"/>
      <c r="R445" s="227"/>
      <c r="S445" s="227"/>
      <c r="T445" s="227"/>
      <c r="U445" s="227"/>
      <c r="V445" s="227"/>
    </row>
    <row r="446" spans="1:25" ht="16.5">
      <c r="A446" s="227"/>
      <c r="B446" s="227"/>
      <c r="C446" s="227"/>
      <c r="D446" s="227"/>
      <c r="E446" s="224"/>
      <c r="F446" s="224"/>
      <c r="G446" s="434"/>
      <c r="H446" s="434"/>
      <c r="I446" s="224"/>
      <c r="J446" s="224"/>
      <c r="K446" s="224"/>
      <c r="L446" s="224"/>
      <c r="M446" s="227"/>
      <c r="N446" s="227"/>
      <c r="O446" s="227"/>
      <c r="P446" s="227"/>
      <c r="Q446" s="227"/>
      <c r="R446" s="227"/>
      <c r="S446" s="227"/>
      <c r="T446" s="227"/>
      <c r="U446" s="227"/>
      <c r="V446" s="227"/>
    </row>
    <row r="447" spans="1:25" ht="16.5">
      <c r="A447" s="227"/>
      <c r="B447" s="227"/>
      <c r="C447" s="227"/>
      <c r="D447" s="227"/>
      <c r="E447" s="224"/>
      <c r="F447" s="224"/>
      <c r="G447" s="434"/>
      <c r="H447" s="434"/>
      <c r="I447" s="224"/>
      <c r="J447" s="224"/>
      <c r="K447" s="224"/>
      <c r="L447" s="224"/>
      <c r="M447" s="227"/>
      <c r="N447" s="227"/>
      <c r="O447" s="227"/>
      <c r="P447" s="227"/>
      <c r="Q447" s="227"/>
      <c r="R447" s="227"/>
      <c r="S447" s="227"/>
      <c r="T447" s="227"/>
      <c r="U447" s="227"/>
      <c r="V447" s="227"/>
    </row>
    <row r="448" spans="1:25" ht="16.5">
      <c r="A448" s="227"/>
      <c r="B448" s="227"/>
      <c r="C448" s="227"/>
      <c r="D448" s="227"/>
      <c r="E448" s="224"/>
      <c r="F448" s="224"/>
      <c r="G448" s="434"/>
      <c r="H448" s="434"/>
      <c r="I448" s="224"/>
      <c r="J448" s="224"/>
      <c r="K448" s="224"/>
      <c r="L448" s="224"/>
      <c r="M448" s="227"/>
      <c r="N448" s="227"/>
      <c r="O448" s="227"/>
      <c r="P448" s="227"/>
      <c r="Q448" s="227"/>
      <c r="R448" s="227"/>
      <c r="S448" s="227"/>
      <c r="T448" s="227"/>
      <c r="U448" s="227"/>
      <c r="V448" s="227"/>
    </row>
    <row r="449" spans="1:22" ht="16.5">
      <c r="A449" s="227"/>
      <c r="B449" s="227"/>
      <c r="C449" s="227"/>
      <c r="D449" s="227"/>
      <c r="E449" s="224"/>
      <c r="F449" s="224"/>
      <c r="G449" s="224"/>
      <c r="H449" s="224"/>
      <c r="I449" s="224"/>
      <c r="J449" s="224"/>
      <c r="K449" s="224"/>
      <c r="L449" s="224"/>
      <c r="M449" s="227"/>
      <c r="N449" s="227"/>
      <c r="O449" s="227"/>
      <c r="P449" s="227"/>
      <c r="Q449" s="227"/>
      <c r="R449" s="227"/>
      <c r="S449" s="227"/>
      <c r="T449" s="227"/>
      <c r="U449" s="227"/>
      <c r="V449" s="227"/>
    </row>
    <row r="450" spans="1:22" ht="16.5">
      <c r="A450" s="227"/>
      <c r="B450" s="227"/>
      <c r="C450" s="227"/>
      <c r="D450" s="227"/>
      <c r="E450" s="1635" t="str">
        <f>CBGS1</f>
        <v>Trần Trọng Liêm</v>
      </c>
      <c r="F450" s="1635"/>
      <c r="G450" s="1635"/>
      <c r="H450" s="256"/>
      <c r="I450" s="1635" t="str">
        <f>CBKT1</f>
        <v>Hoàng Đình Tảng</v>
      </c>
      <c r="J450" s="1635"/>
      <c r="K450" s="1635"/>
      <c r="L450" s="1635"/>
      <c r="M450" s="227"/>
      <c r="N450" s="227"/>
      <c r="O450" s="227"/>
      <c r="P450" s="227"/>
      <c r="Q450" s="227"/>
      <c r="R450" s="227"/>
      <c r="S450" s="227"/>
      <c r="T450" s="227"/>
      <c r="U450" s="227"/>
      <c r="V450" s="227"/>
    </row>
    <row r="451" spans="1:22" ht="16.5">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sheetData>
  <mergeCells count="37">
    <mergeCell ref="G42:H42"/>
    <mergeCell ref="W443:Y443"/>
    <mergeCell ref="E445:G445"/>
    <mergeCell ref="I445:L445"/>
    <mergeCell ref="E450:G450"/>
    <mergeCell ref="I450:L450"/>
    <mergeCell ref="F44:K44"/>
    <mergeCell ref="F45:K52"/>
    <mergeCell ref="E33:L33"/>
    <mergeCell ref="E34:L34"/>
    <mergeCell ref="E35:L35"/>
    <mergeCell ref="E25:L25"/>
    <mergeCell ref="E21:L21"/>
    <mergeCell ref="F31:L31"/>
    <mergeCell ref="G41:H41"/>
    <mergeCell ref="F36:G36"/>
    <mergeCell ref="F37:K37"/>
    <mergeCell ref="F38:F39"/>
    <mergeCell ref="G38:H39"/>
    <mergeCell ref="I38:J38"/>
    <mergeCell ref="K38:K39"/>
    <mergeCell ref="G40:H40"/>
    <mergeCell ref="E7:L7"/>
    <mergeCell ref="E1:L1"/>
    <mergeCell ref="E2:L2"/>
    <mergeCell ref="E3:L3"/>
    <mergeCell ref="E5:L5"/>
    <mergeCell ref="E6:L6"/>
    <mergeCell ref="E15:L15"/>
    <mergeCell ref="F30:L30"/>
    <mergeCell ref="E8:L8"/>
    <mergeCell ref="E10:L10"/>
    <mergeCell ref="E12:L12"/>
    <mergeCell ref="E13:L13"/>
    <mergeCell ref="E14:L14"/>
    <mergeCell ref="E18:L18"/>
    <mergeCell ref="E19:L19"/>
  </mergeCells>
  <pageMargins left="0.70866141732283472" right="0.43307086614173229" top="0.31496062992125984" bottom="0.3149606299212598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425" r:id="rId4" name="Spinner 1">
              <controlPr defaultSize="0" autoPict="0" macro="[0]!BBKT_VK_Spinner1_Change">
                <anchor moveWithCells="1" sizeWithCells="1">
                  <from>
                    <xdr:col>14</xdr:col>
                    <xdr:colOff>133350</xdr:colOff>
                    <xdr:row>0</xdr:row>
                    <xdr:rowOff>0</xdr:rowOff>
                  </from>
                  <to>
                    <xdr:col>14</xdr:col>
                    <xdr:colOff>400050</xdr:colOff>
                    <xdr:row>2</xdr:row>
                    <xdr:rowOff>133350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dimension ref="A1:U65"/>
  <sheetViews>
    <sheetView showGridLines="0" zoomScale="90" zoomScaleNormal="90" workbookViewId="0">
      <pane xSplit="19" ySplit="4" topLeftCell="T21" activePane="bottomRight" state="frozen"/>
      <selection pane="topRight" activeCell="T1" sqref="T1"/>
      <selection pane="bottomLeft" activeCell="A5" sqref="A5"/>
      <selection pane="bottomRight" activeCell="H31" sqref="H31:K31"/>
    </sheetView>
  </sheetViews>
  <sheetFormatPr defaultColWidth="7.109375" defaultRowHeight="0" customHeight="1" zeroHeight="1"/>
  <cols>
    <col min="1" max="1" width="6.21875" style="1000" customWidth="1"/>
    <col min="2" max="2" width="10.77734375" style="1000" customWidth="1"/>
    <col min="3" max="3" width="10.21875" style="1000" customWidth="1"/>
    <col min="4" max="4" width="2.21875" style="1000" customWidth="1"/>
    <col min="5" max="5" width="2" style="1000" customWidth="1"/>
    <col min="6" max="6" width="4.21875" style="1000" customWidth="1"/>
    <col min="7" max="7" width="19.6640625" style="1000" customWidth="1"/>
    <col min="8" max="8" width="23.21875" style="1000" customWidth="1"/>
    <col min="9" max="9" width="17.21875" style="1000" customWidth="1"/>
    <col min="10" max="10" width="7" style="1000" customWidth="1"/>
    <col min="11" max="11" width="2" style="1000" customWidth="1"/>
    <col min="12" max="12" width="2.109375" style="1000" customWidth="1"/>
    <col min="13" max="13" width="5.77734375" style="1000" customWidth="1"/>
    <col min="14" max="14" width="3.109375" style="1000" customWidth="1"/>
    <col min="15" max="17" width="7.109375" style="1000"/>
    <col min="18" max="18" width="5.77734375" style="1000" customWidth="1"/>
    <col min="19" max="19" width="8.88671875" style="1000" customWidth="1"/>
    <col min="20" max="16384" width="7.109375" style="1000"/>
  </cols>
  <sheetData>
    <row r="1" spans="1:21" ht="20.25">
      <c r="A1" s="1208" t="e">
        <f ca="1">SUBSTITUTE(CELL("address",#REF!),"$","")</f>
        <v>#REF!</v>
      </c>
      <c r="B1" s="999"/>
      <c r="C1" s="999"/>
      <c r="D1" s="1738" t="s">
        <v>5645</v>
      </c>
      <c r="E1" s="1738"/>
      <c r="F1" s="1738"/>
      <c r="G1" s="1738"/>
      <c r="H1" s="1738"/>
      <c r="I1" s="1738"/>
      <c r="J1" s="1738"/>
      <c r="K1" s="1738"/>
      <c r="L1" s="1738"/>
      <c r="M1" s="999"/>
      <c r="N1" s="999"/>
      <c r="O1" s="999"/>
      <c r="P1" s="999"/>
      <c r="Q1" s="999"/>
      <c r="R1" s="999"/>
      <c r="S1" s="999"/>
      <c r="T1" s="1000" t="str">
        <f>IFERROR(IF(VLOOKUP(N2,ListTNVL!$A$6:$H$500,8,0)=0,"",VLOOKUP(N2,ListTNVL!$A$6:$H$500,8,0)),"")</f>
        <v>Cát vàng(Sông Dinh)/Đá 1x2cm(Đèo Cậu)/Xi măng(Kim Đỉnh)/Thép tròn D6(Miền Nam)/Thép tròn D8(Miền Nam)/Thép tròn D10(Miền Nam)/Thép tròn D14(Miền Nam)/Đất TNCL(Tại công trình)</v>
      </c>
    </row>
    <row r="2" spans="1:21" ht="16.5">
      <c r="A2" s="1208" t="e">
        <f ca="1">SUBSTITUTE(CELL("address",#REF!),"$","")</f>
        <v>#REF!</v>
      </c>
      <c r="B2" s="999"/>
      <c r="C2" s="999"/>
      <c r="D2" s="1739" t="str">
        <f>BBKT_KTHHBT!E2</f>
        <v xml:space="preserve">     Công trình: Gia cố nâng cấp kênh Bà Xoài từ K0+300÷K0+600 - Hệ thống thủy lợi Nha Trinh, huyện Ninh Hải, tỉnh Ninh Thuận</v>
      </c>
      <c r="E2" s="1739"/>
      <c r="F2" s="1739"/>
      <c r="G2" s="1739"/>
      <c r="H2" s="1739"/>
      <c r="I2" s="1739"/>
      <c r="J2" s="1739"/>
      <c r="K2" s="1739"/>
      <c r="L2" s="1739"/>
      <c r="M2" s="999"/>
      <c r="N2" s="294">
        <v>1</v>
      </c>
      <c r="O2" s="999"/>
      <c r="P2" s="999"/>
      <c r="Q2" s="999"/>
      <c r="R2" s="999"/>
      <c r="S2" s="999"/>
    </row>
    <row r="3" spans="1:21" ht="16.5">
      <c r="A3" s="1001" t="s">
        <v>5604</v>
      </c>
      <c r="B3" s="999"/>
      <c r="C3" s="999"/>
      <c r="D3" s="1739" t="str">
        <f>BBKT_KTHHBT!E3</f>
        <v xml:space="preserve">     Địa điểm XD: Huyện Ninh Hải - Tỉnh Ninh Thuận</v>
      </c>
      <c r="E3" s="1739"/>
      <c r="F3" s="1739"/>
      <c r="G3" s="1739"/>
      <c r="H3" s="1739"/>
      <c r="I3" s="1739"/>
      <c r="J3" s="1739"/>
      <c r="K3" s="1739"/>
      <c r="L3" s="1739"/>
      <c r="M3" s="999"/>
      <c r="N3" s="999"/>
      <c r="O3" s="999"/>
      <c r="P3" s="999"/>
      <c r="Q3" s="999"/>
      <c r="R3" s="999"/>
      <c r="S3" s="999"/>
    </row>
    <row r="4" spans="1:21" ht="8.25" customHeight="1">
      <c r="A4" s="999"/>
      <c r="B4" s="999"/>
      <c r="C4" s="999"/>
      <c r="D4" s="999"/>
      <c r="E4" s="999"/>
      <c r="F4" s="999"/>
      <c r="G4" s="999"/>
      <c r="H4" s="999"/>
      <c r="I4" s="999"/>
      <c r="J4" s="999"/>
      <c r="K4" s="999"/>
      <c r="L4" s="999"/>
      <c r="M4" s="999"/>
      <c r="N4" s="999"/>
      <c r="O4" s="999"/>
      <c r="P4" s="999"/>
      <c r="Q4" s="999"/>
      <c r="R4" s="999"/>
      <c r="S4" s="999"/>
    </row>
    <row r="5" spans="1:21" ht="13.5" customHeight="1">
      <c r="A5" s="999"/>
      <c r="B5" s="999"/>
      <c r="C5" s="999"/>
      <c r="D5" s="1002"/>
      <c r="E5" s="1002"/>
      <c r="F5" s="1002"/>
      <c r="G5" s="1002"/>
      <c r="H5" s="1002"/>
      <c r="I5" s="1002"/>
      <c r="J5" s="1002"/>
      <c r="K5" s="1002"/>
      <c r="L5" s="1002"/>
      <c r="M5" s="999"/>
      <c r="N5" s="999"/>
      <c r="O5" s="999"/>
      <c r="P5" s="999"/>
      <c r="Q5" s="999"/>
      <c r="R5" s="999"/>
      <c r="S5" s="999"/>
    </row>
    <row r="6" spans="1:21" ht="16.5" customHeight="1">
      <c r="A6" s="999"/>
      <c r="B6" s="999"/>
      <c r="C6" s="999"/>
      <c r="D6" s="1003"/>
      <c r="E6" s="1746" t="s">
        <v>3927</v>
      </c>
      <c r="F6" s="1746"/>
      <c r="G6" s="1746"/>
      <c r="H6" s="1746"/>
      <c r="I6" s="1746"/>
      <c r="J6" s="1746"/>
      <c r="K6" s="1746"/>
      <c r="L6" s="1003"/>
      <c r="M6" s="999"/>
      <c r="N6" s="999"/>
      <c r="O6" s="999"/>
      <c r="P6" s="999"/>
      <c r="Q6" s="999"/>
      <c r="R6" s="999"/>
      <c r="S6" s="999"/>
    </row>
    <row r="7" spans="1:21" ht="16.5" customHeight="1">
      <c r="A7" s="999"/>
      <c r="B7" s="999"/>
      <c r="C7" s="999"/>
      <c r="D7" s="1003"/>
      <c r="E7" s="1747" t="s">
        <v>178</v>
      </c>
      <c r="F7" s="1747"/>
      <c r="G7" s="1747"/>
      <c r="H7" s="1747"/>
      <c r="I7" s="1747"/>
      <c r="J7" s="1747"/>
      <c r="K7" s="1747"/>
      <c r="L7" s="1003"/>
      <c r="M7" s="999"/>
      <c r="N7" s="999"/>
      <c r="O7" s="999"/>
      <c r="P7" s="999"/>
      <c r="Q7" s="999"/>
      <c r="R7" s="999"/>
      <c r="S7" s="999"/>
    </row>
    <row r="8" spans="1:21" ht="16.5" customHeight="1">
      <c r="A8" s="999"/>
      <c r="B8" s="999"/>
      <c r="C8" s="999"/>
      <c r="D8" s="1003"/>
      <c r="E8" s="1732" t="s">
        <v>179</v>
      </c>
      <c r="F8" s="1732"/>
      <c r="G8" s="1732"/>
      <c r="H8" s="1732"/>
      <c r="I8" s="1732"/>
      <c r="J8" s="1732"/>
      <c r="K8" s="1732"/>
      <c r="L8" s="1003"/>
      <c r="M8" s="999"/>
      <c r="N8" s="999"/>
      <c r="O8" s="999"/>
      <c r="P8" s="999"/>
      <c r="Q8" s="999"/>
      <c r="R8" s="999"/>
      <c r="S8" s="999"/>
    </row>
    <row r="9" spans="1:21" ht="3.75" customHeight="1">
      <c r="A9" s="999"/>
      <c r="B9" s="999"/>
      <c r="C9" s="999"/>
      <c r="D9" s="1003"/>
      <c r="F9" s="1004"/>
      <c r="G9" s="1004"/>
      <c r="L9" s="1003"/>
      <c r="M9" s="999"/>
      <c r="N9" s="999"/>
      <c r="O9" s="999"/>
      <c r="P9" s="999"/>
      <c r="Q9" s="999"/>
      <c r="R9" s="999"/>
      <c r="S9" s="999"/>
    </row>
    <row r="10" spans="1:21" ht="18.75" customHeight="1">
      <c r="A10" s="999"/>
      <c r="B10" s="999"/>
      <c r="C10" s="999"/>
      <c r="D10" s="1003"/>
      <c r="E10" s="1733" t="s">
        <v>5605</v>
      </c>
      <c r="F10" s="1733"/>
      <c r="G10" s="1733"/>
      <c r="H10" s="1733"/>
      <c r="I10" s="1733"/>
      <c r="J10" s="1733"/>
      <c r="K10" s="1733"/>
      <c r="L10" s="1003"/>
      <c r="M10" s="999"/>
      <c r="N10" s="999"/>
      <c r="O10" s="999"/>
      <c r="P10" s="999"/>
      <c r="Q10" s="999"/>
      <c r="R10" s="999"/>
      <c r="S10" s="999"/>
    </row>
    <row r="11" spans="1:21" ht="16.5" customHeight="1">
      <c r="A11" s="999"/>
      <c r="B11" s="999"/>
      <c r="C11" s="999"/>
      <c r="D11" s="1003"/>
      <c r="E11" s="1734" t="str">
        <f>IFERROR("Số: "&amp;TEXT(VLOOKUP($N$2,ListTNVL!$A$6:$Q$800,6,0),"ddmm")&amp;"/BBLM/"&amp;TEXT(VLOOKUP($N$2,ListTNVL!$A$6:$Q$800,6,0),"yyyy"),"Số …../BBLM/…....")</f>
        <v>Số: 0305/BBLM/2020</v>
      </c>
      <c r="F11" s="1734"/>
      <c r="G11" s="1734"/>
      <c r="H11" s="1734"/>
      <c r="I11" s="1734"/>
      <c r="J11" s="1734"/>
      <c r="K11" s="1734"/>
      <c r="L11" s="1003"/>
      <c r="M11" s="999"/>
      <c r="N11" s="999"/>
      <c r="O11" s="999"/>
      <c r="P11" s="999"/>
      <c r="Q11" s="999"/>
      <c r="R11" s="999"/>
      <c r="S11" s="999"/>
    </row>
    <row r="12" spans="1:21" ht="3.75" customHeight="1">
      <c r="A12" s="999"/>
      <c r="B12" s="999"/>
      <c r="C12" s="999"/>
      <c r="D12" s="1003"/>
      <c r="E12" s="1005"/>
      <c r="F12" s="1005"/>
      <c r="G12" s="1005"/>
      <c r="H12" s="1005"/>
      <c r="I12" s="1005"/>
      <c r="J12" s="1005"/>
      <c r="K12" s="1004"/>
      <c r="L12" s="1003"/>
      <c r="M12" s="999"/>
      <c r="N12" s="999"/>
      <c r="O12" s="999"/>
      <c r="P12" s="999"/>
      <c r="Q12" s="999"/>
      <c r="R12" s="999"/>
      <c r="S12" s="999"/>
    </row>
    <row r="13" spans="1:21" ht="16.5" customHeight="1">
      <c r="A13" s="999"/>
      <c r="B13" s="999"/>
      <c r="C13" s="999"/>
      <c r="D13" s="1003"/>
      <c r="E13" s="1736" t="str">
        <f>IFERROR("Hôm nay, ngày "&amp;TEXT(VLOOKUP($N$2,ListTNVL!$A$6:$H$800,6,0),"dd")&amp;" tháng "&amp;TEXT(VLOOKUP($N$2,ListTNVL!$A$6:$H$800,6,0),"mm")&amp;" năm "&amp;TEXT(VLOOKUP($N$2,ListTNVL!$A$6:$H$800,6,0),"yyyy")&amp;", tại hiện trường thi công:"," Hôm nay, ngày … tháng ... năm ......, tại hiện trường thi công: ")</f>
        <v>Hôm nay, ngày 03 tháng 05 năm 2020, tại hiện trường thi công:</v>
      </c>
      <c r="F13" s="1736"/>
      <c r="G13" s="1736"/>
      <c r="H13" s="1736"/>
      <c r="I13" s="1736"/>
      <c r="J13" s="1736"/>
      <c r="K13" s="1736"/>
      <c r="L13" s="1003"/>
      <c r="M13" s="999"/>
      <c r="N13" s="999"/>
      <c r="O13" s="999"/>
      <c r="P13" s="999"/>
      <c r="Q13" s="999"/>
      <c r="R13" s="999"/>
      <c r="S13" s="999"/>
    </row>
    <row r="14" spans="1:21" ht="36.6" customHeight="1">
      <c r="A14" s="999"/>
      <c r="B14" s="999"/>
      <c r="C14" s="999"/>
      <c r="D14" s="1003"/>
      <c r="E14" s="1736" t="str">
        <f>IF(NDtieude1&lt;&gt;"",Tieude1&amp;": "&amp;NDtieude1,"")</f>
        <v>Công trình: Gia cố nâng cấp kênh Bà Xoài từ K0+300÷K0+600 - Hệ thống thủy lợi Nha Trinh, huyện Ninh Hải, tỉnh Ninh Thuận</v>
      </c>
      <c r="F14" s="1736"/>
      <c r="G14" s="1736"/>
      <c r="H14" s="1736"/>
      <c r="I14" s="1736"/>
      <c r="J14" s="1736"/>
      <c r="K14" s="1736"/>
      <c r="L14" s="1003"/>
      <c r="M14" s="999"/>
      <c r="N14" s="999"/>
      <c r="O14" s="999"/>
      <c r="P14" s="999"/>
      <c r="Q14" s="999"/>
      <c r="R14" s="999"/>
      <c r="S14" s="999"/>
      <c r="U14" s="1000">
        <f>ROW()</f>
        <v>14</v>
      </c>
    </row>
    <row r="15" spans="1:21" ht="20.100000000000001" hidden="1" customHeight="1">
      <c r="A15" s="999"/>
      <c r="B15" s="999"/>
      <c r="C15" s="999"/>
      <c r="D15" s="1003"/>
      <c r="E15" s="1736" t="str">
        <f>IF(NDtieude2&lt;&gt;"",Tieude2&amp;": "&amp;NDtieude2,"")</f>
        <v/>
      </c>
      <c r="F15" s="1736"/>
      <c r="G15" s="1736"/>
      <c r="H15" s="1736"/>
      <c r="I15" s="1736"/>
      <c r="J15" s="1736"/>
      <c r="K15" s="1736"/>
      <c r="L15" s="1003"/>
      <c r="M15" s="999"/>
      <c r="N15" s="999"/>
      <c r="O15" s="999"/>
      <c r="P15" s="999"/>
      <c r="Q15" s="999"/>
      <c r="R15" s="999"/>
      <c r="S15" s="999"/>
      <c r="U15" s="1000">
        <f>ROW()</f>
        <v>15</v>
      </c>
    </row>
    <row r="16" spans="1:21" ht="20.100000000000001" customHeight="1">
      <c r="A16" s="999"/>
      <c r="B16" s="999"/>
      <c r="C16" s="999"/>
      <c r="D16" s="1003"/>
      <c r="E16" s="1736" t="str">
        <f>IF(NDtieude3&lt;&gt;"",Tieude3&amp;": "&amp;NDtieude3,"")</f>
        <v>Hạng mục: Kênh và Công trình trên kênh</v>
      </c>
      <c r="F16" s="1736"/>
      <c r="G16" s="1736"/>
      <c r="H16" s="1736"/>
      <c r="I16" s="1736"/>
      <c r="J16" s="1736"/>
      <c r="K16" s="1736"/>
      <c r="L16" s="1003"/>
      <c r="M16" s="999"/>
      <c r="N16" s="999"/>
      <c r="O16" s="999"/>
      <c r="P16" s="999"/>
      <c r="Q16" s="999"/>
      <c r="R16" s="999"/>
      <c r="S16" s="999"/>
      <c r="U16" s="1000">
        <f>ROW()</f>
        <v>16</v>
      </c>
    </row>
    <row r="17" spans="1:21" ht="16.5">
      <c r="A17" s="999"/>
      <c r="B17" s="999"/>
      <c r="C17" s="999"/>
      <c r="D17" s="1003"/>
      <c r="E17" s="1736" t="str">
        <f>"Địa điểm: "&amp;DDXD</f>
        <v>Địa điểm: Huyện Ninh Hải - Tỉnh Ninh Thuận</v>
      </c>
      <c r="F17" s="1736"/>
      <c r="G17" s="1736"/>
      <c r="H17" s="1736"/>
      <c r="I17" s="1736"/>
      <c r="J17" s="1736"/>
      <c r="K17" s="1736"/>
      <c r="L17" s="1003"/>
      <c r="M17" s="999"/>
      <c r="N17" s="999"/>
      <c r="O17" s="999"/>
      <c r="P17" s="999"/>
      <c r="Q17" s="999"/>
      <c r="R17" s="999"/>
      <c r="S17" s="999"/>
    </row>
    <row r="18" spans="1:21" ht="12" customHeight="1">
      <c r="A18" s="999"/>
      <c r="B18" s="999"/>
      <c r="C18" s="999"/>
      <c r="D18" s="1003"/>
      <c r="E18" s="1044"/>
      <c r="F18" s="1044"/>
      <c r="G18" s="1044"/>
      <c r="H18" s="1044"/>
      <c r="I18" s="1044"/>
      <c r="J18" s="1044"/>
      <c r="K18" s="1044"/>
      <c r="L18" s="1003"/>
      <c r="M18" s="999"/>
      <c r="N18" s="999"/>
      <c r="O18" s="999"/>
      <c r="P18" s="999"/>
      <c r="Q18" s="999"/>
      <c r="R18" s="999"/>
      <c r="S18" s="999"/>
    </row>
    <row r="19" spans="1:21" ht="16.5">
      <c r="A19" s="999"/>
      <c r="B19" s="999"/>
      <c r="C19" s="999"/>
      <c r="D19" s="1003"/>
      <c r="E19" s="1740" t="s">
        <v>5646</v>
      </c>
      <c r="F19" s="1741"/>
      <c r="G19" s="1741"/>
      <c r="H19" s="1741"/>
      <c r="I19" s="1741"/>
      <c r="J19" s="1741"/>
      <c r="K19" s="1741"/>
      <c r="L19" s="1003"/>
      <c r="M19" s="999"/>
      <c r="N19" s="999"/>
      <c r="O19" s="999"/>
      <c r="P19" s="999"/>
      <c r="Q19" s="999"/>
      <c r="R19" s="999"/>
      <c r="S19" s="999"/>
    </row>
    <row r="20" spans="1:21" ht="16.5">
      <c r="A20" s="999"/>
      <c r="B20" s="999"/>
      <c r="C20" s="999"/>
      <c r="D20" s="1003"/>
      <c r="E20" s="1742" t="str">
        <f>"- Đối tượng lấy mẫu: "&amp;IFERROR(VLOOKUP($N$2,ListTNVL!$A$6:$Q$800,4,0),"")</f>
        <v>- Đối tượng lấy mẫu: Vật liệu đầu vào</v>
      </c>
      <c r="F20" s="1742"/>
      <c r="G20" s="1742"/>
      <c r="H20" s="1742"/>
      <c r="I20" s="1742"/>
      <c r="J20" s="1742"/>
      <c r="K20" s="1742"/>
      <c r="L20" s="1003"/>
      <c r="M20" s="999"/>
      <c r="N20" s="999"/>
      <c r="O20" s="999"/>
      <c r="P20" s="999"/>
      <c r="Q20" s="999"/>
      <c r="R20" s="999"/>
      <c r="S20" s="999"/>
    </row>
    <row r="21" spans="1:21" ht="16.5">
      <c r="A21" s="999"/>
      <c r="B21" s="999"/>
      <c r="C21" s="999"/>
      <c r="D21" s="1003"/>
      <c r="E21" s="1742" t="str">
        <f>"- Vị trí xây dựng trên công trình: "&amp;IFERROR(VLOOKUP($N$2,ListTNVL!$A$6:$Q$800,5,0),"")</f>
        <v xml:space="preserve">- Vị trí xây dựng trên công trình: </v>
      </c>
      <c r="F21" s="1742"/>
      <c r="G21" s="1742"/>
      <c r="H21" s="1742"/>
      <c r="I21" s="1742"/>
      <c r="J21" s="1742"/>
      <c r="K21" s="1742"/>
      <c r="L21" s="1003"/>
      <c r="M21" s="999"/>
      <c r="N21" s="999"/>
      <c r="O21" s="999"/>
      <c r="P21" s="999"/>
      <c r="Q21" s="999"/>
      <c r="R21" s="999"/>
      <c r="S21" s="999"/>
    </row>
    <row r="22" spans="1:21" ht="16.5">
      <c r="A22" s="999"/>
      <c r="B22" s="999"/>
      <c r="C22" s="999"/>
      <c r="D22" s="1003"/>
      <c r="E22" s="1743" t="s">
        <v>5647</v>
      </c>
      <c r="F22" s="1744"/>
      <c r="G22" s="1744"/>
      <c r="H22" s="1744"/>
      <c r="I22" s="1744"/>
      <c r="J22" s="1744"/>
      <c r="K22" s="1744"/>
      <c r="L22" s="1003"/>
      <c r="M22" s="999"/>
      <c r="N22" s="999"/>
      <c r="O22" s="999"/>
      <c r="P22" s="999"/>
      <c r="Q22" s="999"/>
      <c r="R22" s="999"/>
      <c r="S22" s="999"/>
    </row>
    <row r="23" spans="1:21" ht="16.5" customHeight="1">
      <c r="A23" s="999"/>
      <c r="B23" s="999"/>
      <c r="C23" s="999"/>
      <c r="D23" s="1003"/>
      <c r="E23" s="1745" t="str">
        <f>"a. Đại diện "&amp;LOWER(MID(Td_DVGS,1,1))&amp;MID(Td_DVGS,2,LEN(Td_DVGS))&amp;": "&amp;DVGS</f>
        <v>a. Đại diện đơn vị tư vấn giám sát: Công ty TNHH Tư vấn Đầu tư Xây dựng Huy Đạt</v>
      </c>
      <c r="F23" s="1524"/>
      <c r="G23" s="1524"/>
      <c r="H23" s="1524"/>
      <c r="I23" s="1524"/>
      <c r="J23" s="1524"/>
      <c r="K23" s="1524"/>
      <c r="L23" s="1003"/>
      <c r="M23" s="999"/>
      <c r="N23" s="999"/>
      <c r="O23" s="999"/>
      <c r="P23" s="999"/>
      <c r="Q23" s="999"/>
      <c r="R23" s="999"/>
      <c r="S23" s="999"/>
      <c r="U23" s="1000">
        <f>ROW()</f>
        <v>23</v>
      </c>
    </row>
    <row r="24" spans="1:21" s="1007" customFormat="1" ht="21" customHeight="1">
      <c r="A24" s="1073"/>
      <c r="B24" s="1073"/>
      <c r="C24" s="1073"/>
      <c r="D24" s="1003"/>
      <c r="F24" s="1074" t="str">
        <f>GT_GS1&amp;CBGS1</f>
        <v>Ông: Trần Trọng Liêm</v>
      </c>
      <c r="G24" s="1074"/>
      <c r="H24" s="1731" t="str">
        <f>"                    Chức vụ: "&amp;CV_CBGS1</f>
        <v xml:space="preserve">                    Chức vụ: Giám sát trưởng</v>
      </c>
      <c r="I24" s="1731"/>
      <c r="J24" s="1731"/>
      <c r="K24" s="1731"/>
      <c r="L24" s="1003"/>
      <c r="M24" s="1073"/>
      <c r="N24" s="1073"/>
      <c r="O24" s="1073"/>
      <c r="P24" s="1073"/>
      <c r="Q24" s="1073"/>
      <c r="R24" s="1073"/>
      <c r="S24" s="1073"/>
    </row>
    <row r="25" spans="1:21" s="1007" customFormat="1" ht="21" customHeight="1">
      <c r="A25" s="1073"/>
      <c r="B25" s="1073"/>
      <c r="C25" s="1073"/>
      <c r="D25" s="1003"/>
      <c r="F25" s="1074" t="str">
        <f>GT_GS2&amp;CBGS2</f>
        <v>Bà  : Nguyễn Thị Minh</v>
      </c>
      <c r="G25" s="1074"/>
      <c r="H25" s="1731" t="str">
        <f>"                    Chức vụ: "&amp;CV_CBGS2</f>
        <v xml:space="preserve">                    Chức vụ: Giám sát viên</v>
      </c>
      <c r="I25" s="1731"/>
      <c r="J25" s="1731"/>
      <c r="K25" s="1731"/>
      <c r="L25" s="1003"/>
      <c r="M25" s="1073"/>
      <c r="N25" s="1073"/>
      <c r="O25" s="1073"/>
      <c r="P25" s="1073"/>
      <c r="Q25" s="1073"/>
      <c r="R25" s="1073"/>
      <c r="S25" s="1073"/>
    </row>
    <row r="26" spans="1:21" ht="16.5" hidden="1">
      <c r="A26" s="999"/>
      <c r="B26" s="999"/>
      <c r="C26" s="999"/>
      <c r="D26" s="1003"/>
      <c r="E26" s="1735" t="str">
        <f>IF(Liendanh&lt;&gt;"","b) Đại diện đơn vị thi công:  "&amp;Liendanh,"")</f>
        <v/>
      </c>
      <c r="F26" s="1735"/>
      <c r="G26" s="1735"/>
      <c r="H26" s="1735"/>
      <c r="I26" s="1735"/>
      <c r="J26" s="1735"/>
      <c r="K26" s="1735"/>
      <c r="L26" s="1003"/>
      <c r="M26" s="999"/>
      <c r="N26" s="999"/>
      <c r="O26" s="999"/>
      <c r="P26" s="999"/>
      <c r="Q26" s="999"/>
      <c r="R26" s="999"/>
      <c r="S26" s="999"/>
      <c r="U26" s="1000">
        <f>ROW()</f>
        <v>26</v>
      </c>
    </row>
    <row r="27" spans="1:21" ht="16.5" customHeight="1">
      <c r="A27" s="999"/>
      <c r="B27" s="999"/>
      <c r="C27" s="999"/>
      <c r="D27" s="1003"/>
      <c r="E27" s="1735" t="str">
        <f>IF(Liendanh="","b) Đại diện đơn vị thi công:  "&amp;DVTC,"   * Đại diện đơn vị thi công trực tiếp:  "&amp;DVTC)</f>
        <v>b) Đại diện đơn vị thi công:  Công ty TNHH Xây dựng Thịnh Dũng</v>
      </c>
      <c r="F27" s="1564"/>
      <c r="G27" s="1564"/>
      <c r="H27" s="1564"/>
      <c r="I27" s="1564"/>
      <c r="J27" s="1564"/>
      <c r="K27" s="1564"/>
      <c r="L27" s="1003"/>
      <c r="M27" s="999"/>
      <c r="N27" s="999"/>
      <c r="O27" s="999"/>
      <c r="P27" s="999"/>
      <c r="Q27" s="999"/>
      <c r="R27" s="999"/>
      <c r="S27" s="999"/>
      <c r="U27" s="1000">
        <f>ROW()</f>
        <v>27</v>
      </c>
    </row>
    <row r="28" spans="1:21" s="1007" customFormat="1" ht="22.5" customHeight="1">
      <c r="A28" s="1073"/>
      <c r="B28" s="1073"/>
      <c r="C28" s="1073"/>
      <c r="D28" s="1003"/>
      <c r="F28" s="1074" t="str">
        <f>GT_CBKT1&amp;CBKT1</f>
        <v>Ông: Hoàng Đình Tảng</v>
      </c>
      <c r="G28" s="1074"/>
      <c r="H28" s="1731" t="str">
        <f>"                    Chức vụ: "&amp;CV_CBKT1</f>
        <v xml:space="preserve">                    Chức vụ: Chỉ huy công trường</v>
      </c>
      <c r="I28" s="1731"/>
      <c r="J28" s="1731"/>
      <c r="K28" s="1731"/>
      <c r="L28" s="1003"/>
      <c r="M28" s="1073"/>
      <c r="N28" s="1073"/>
      <c r="O28" s="1073"/>
      <c r="P28" s="1073"/>
      <c r="Q28" s="1073"/>
      <c r="R28" s="1073"/>
      <c r="S28" s="1073"/>
    </row>
    <row r="29" spans="1:21" s="1007" customFormat="1" ht="22.5" customHeight="1">
      <c r="A29" s="1073"/>
      <c r="B29" s="1073"/>
      <c r="C29" s="1073"/>
      <c r="D29" s="1003"/>
      <c r="F29" s="1074" t="str">
        <f>GT_CBKT2&amp;CBKT2</f>
        <v>Ông: Lê Thiên Phương</v>
      </c>
      <c r="G29" s="123"/>
      <c r="H29" s="1731" t="str">
        <f>"                    Chức vụ: "&amp;CV_CBKT2</f>
        <v xml:space="preserve">                    Chức vụ: Kỹ thuật thi công</v>
      </c>
      <c r="I29" s="1731"/>
      <c r="J29" s="1731"/>
      <c r="K29" s="1731"/>
      <c r="L29" s="1003"/>
      <c r="M29" s="1073"/>
      <c r="N29" s="1073"/>
      <c r="O29" s="1073"/>
      <c r="P29" s="1073"/>
      <c r="Q29" s="1073"/>
      <c r="R29" s="1073"/>
      <c r="S29" s="1073"/>
      <c r="U29" s="1000">
        <f>ROW()</f>
        <v>29</v>
      </c>
    </row>
    <row r="30" spans="1:21" ht="39.75" customHeight="1">
      <c r="A30" s="999"/>
      <c r="B30" s="999"/>
      <c r="C30" s="999"/>
      <c r="D30" s="1003"/>
      <c r="E30" s="1735" t="str">
        <f>"c) Đại diện đơn vị thí nghiệm: "&amp;DVTN</f>
        <v>c) Đại diện đơn vị thí nghiệm: Phòng TNVL &amp; KĐCLCT Xây dựng LAS-XD 1931 thuộc Công ty TNHH Xây dựng Gia Lộc Khang</v>
      </c>
      <c r="F30" s="1735"/>
      <c r="G30" s="1735"/>
      <c r="H30" s="1735"/>
      <c r="I30" s="1735"/>
      <c r="J30" s="1735"/>
      <c r="K30" s="1735"/>
      <c r="L30" s="1003"/>
      <c r="M30" s="999"/>
      <c r="N30" s="999"/>
      <c r="O30" s="999"/>
      <c r="P30" s="999"/>
      <c r="Q30" s="999"/>
      <c r="R30" s="999"/>
      <c r="S30" s="999"/>
    </row>
    <row r="31" spans="1:21" s="1007" customFormat="1" ht="21.95" customHeight="1">
      <c r="A31" s="1073"/>
      <c r="B31" s="1073"/>
      <c r="C31" s="1073"/>
      <c r="D31" s="1003"/>
      <c r="F31" s="1074" t="str">
        <f>GT_TN2&amp;Nguoi_TN2</f>
        <v>Ông: Đoàn Hữu Quy</v>
      </c>
      <c r="G31" s="123"/>
      <c r="H31" s="1731" t="str">
        <f>"                    Chức vụ: "&amp;CV_TN2</f>
        <v xml:space="preserve">                    Chức vụ: Cán bộ thí nghiệm</v>
      </c>
      <c r="I31" s="1731"/>
      <c r="J31" s="1731"/>
      <c r="K31" s="1731"/>
      <c r="L31" s="1003"/>
      <c r="M31" s="1073"/>
      <c r="N31" s="1073"/>
      <c r="O31" s="1073"/>
      <c r="P31" s="1073"/>
      <c r="Q31" s="1073"/>
      <c r="R31" s="1073"/>
      <c r="S31" s="1073"/>
    </row>
    <row r="32" spans="1:21" s="1007" customFormat="1" ht="21.95" customHeight="1">
      <c r="A32" s="1073"/>
      <c r="B32" s="1073"/>
      <c r="C32" s="1073"/>
      <c r="D32" s="1003"/>
      <c r="F32" s="1074" t="str">
        <f>GT_TN3&amp;Nguoi_TN3</f>
        <v>Ông: ………………………..</v>
      </c>
      <c r="G32" s="123"/>
      <c r="H32" s="1731" t="str">
        <f>"                    Chức vụ: "&amp;CV_TN3</f>
        <v xml:space="preserve">                    Chức vụ: ………………………..</v>
      </c>
      <c r="I32" s="1731"/>
      <c r="J32" s="1731"/>
      <c r="K32" s="1731"/>
      <c r="L32" s="1003"/>
      <c r="M32" s="1073"/>
      <c r="N32" s="1073"/>
      <c r="O32" s="1073"/>
      <c r="P32" s="1073"/>
      <c r="Q32" s="1073"/>
      <c r="R32" s="1073"/>
      <c r="S32" s="1073"/>
    </row>
    <row r="33" spans="1:20" ht="16.5">
      <c r="A33" s="999"/>
      <c r="B33" s="999"/>
      <c r="C33" s="999"/>
      <c r="D33" s="1003"/>
      <c r="E33" s="1737" t="s">
        <v>5825</v>
      </c>
      <c r="F33" s="1737"/>
      <c r="G33" s="1737"/>
      <c r="H33" s="1737"/>
      <c r="I33" s="1737"/>
      <c r="J33" s="1737"/>
      <c r="K33" s="1737"/>
      <c r="L33" s="1003"/>
      <c r="M33" s="999"/>
      <c r="N33" s="999"/>
      <c r="O33" s="999"/>
      <c r="P33" s="999"/>
      <c r="Q33" s="999"/>
      <c r="R33" s="999"/>
      <c r="S33" s="999"/>
    </row>
    <row r="34" spans="1:20" ht="39.75" customHeight="1">
      <c r="A34" s="999"/>
      <c r="B34" s="999"/>
      <c r="C34" s="999"/>
      <c r="D34" s="1003"/>
      <c r="E34" s="1748" t="str">
        <f>"     "&amp;SUBSTITUTE(IFERROR(VLOOKUP($N$2,ListTNVL!$A$6:$Q$800,8,0),""),"/","; ")</f>
        <v xml:space="preserve">     Cát vàng(Sông Dinh); Đá 1x2cm(Đèo Cậu); Xi măng(Kim Đỉnh); Thép tròn D6(Miền Nam); Thép tròn D8(Miền Nam); Thép tròn D10(Miền Nam); Thép tròn D14(Miền Nam); Đất TNCL(Tại công trình)</v>
      </c>
      <c r="F34" s="1748"/>
      <c r="G34" s="1748"/>
      <c r="H34" s="1748"/>
      <c r="I34" s="1748"/>
      <c r="J34" s="1748"/>
      <c r="K34" s="1748"/>
      <c r="L34" s="1003"/>
      <c r="M34" s="999"/>
      <c r="N34" s="999"/>
      <c r="O34" s="999"/>
      <c r="P34" s="999"/>
      <c r="Q34" s="999"/>
      <c r="R34" s="999"/>
      <c r="S34" s="999"/>
      <c r="T34" s="1000">
        <f>ROW()</f>
        <v>34</v>
      </c>
    </row>
    <row r="35" spans="1:20" s="1007" customFormat="1" ht="21.75" customHeight="1">
      <c r="A35" s="1073"/>
      <c r="B35" s="1073"/>
      <c r="C35" s="1073"/>
      <c r="D35" s="1003"/>
      <c r="E35" s="1751" t="s">
        <v>5711</v>
      </c>
      <c r="F35" s="1751"/>
      <c r="G35" s="1751"/>
      <c r="H35" s="1751"/>
      <c r="I35" s="1751"/>
      <c r="J35" s="1751"/>
      <c r="K35" s="1751"/>
      <c r="L35" s="1003"/>
      <c r="M35" s="1073"/>
      <c r="N35" s="1073"/>
      <c r="O35" s="1073"/>
      <c r="P35" s="1073"/>
      <c r="Q35" s="1073"/>
      <c r="R35" s="1073"/>
      <c r="S35" s="1073"/>
    </row>
    <row r="36" spans="1:20" s="1007" customFormat="1" ht="27.75" customHeight="1">
      <c r="A36" s="1073"/>
      <c r="B36" s="1073"/>
      <c r="C36" s="1073"/>
      <c r="D36" s="1003"/>
      <c r="E36" s="1753" t="s">
        <v>5712</v>
      </c>
      <c r="F36" s="1753"/>
      <c r="G36" s="1753"/>
      <c r="H36" s="1753"/>
      <c r="I36" s="1753"/>
      <c r="J36" s="1753"/>
      <c r="K36" s="1753"/>
      <c r="L36" s="1003"/>
      <c r="M36" s="1073"/>
      <c r="N36" s="1073"/>
      <c r="O36" s="1073"/>
      <c r="P36" s="1073"/>
      <c r="Q36" s="1073"/>
      <c r="R36" s="1073"/>
      <c r="S36" s="1073"/>
    </row>
    <row r="37" spans="1:20" ht="24.75" customHeight="1">
      <c r="A37" s="999"/>
      <c r="B37" s="999"/>
      <c r="C37" s="999"/>
      <c r="D37" s="1003"/>
      <c r="E37" s="1749" t="s">
        <v>5334</v>
      </c>
      <c r="F37" s="1749"/>
      <c r="G37" s="1749"/>
      <c r="H37" s="1749"/>
      <c r="I37" s="1749"/>
      <c r="J37" s="1749"/>
      <c r="K37" s="1749"/>
      <c r="L37" s="1003"/>
      <c r="M37" s="999"/>
      <c r="N37" s="999"/>
      <c r="O37" s="999"/>
      <c r="P37" s="999"/>
      <c r="Q37" s="999"/>
      <c r="R37" s="999"/>
      <c r="S37" s="999"/>
    </row>
    <row r="38" spans="1:20" ht="16.5">
      <c r="A38" s="999"/>
      <c r="B38" s="999"/>
      <c r="C38" s="999"/>
      <c r="D38" s="1003"/>
      <c r="E38" s="1752" t="str">
        <f>BBLMBT!F40</f>
        <v>Đ/D ĐƠN VỊ TVGS</v>
      </c>
      <c r="F38" s="1752"/>
      <c r="G38" s="1752"/>
      <c r="H38" s="1072" t="str">
        <f>BBLMBT!I40</f>
        <v>Đ/D ĐƠN VỊ THI CÔNG</v>
      </c>
      <c r="I38" s="1752" t="str">
        <f>BBLMBT!L40</f>
        <v>Đ/D ĐƠN VỊ THÍ NGHIỆM</v>
      </c>
      <c r="J38" s="1752"/>
      <c r="K38" s="1752"/>
      <c r="L38" s="1003"/>
      <c r="M38" s="999"/>
      <c r="N38" s="999"/>
      <c r="O38" s="999"/>
      <c r="P38" s="999"/>
      <c r="Q38" s="999"/>
      <c r="R38" s="999"/>
      <c r="S38" s="999"/>
    </row>
    <row r="39" spans="1:20" ht="16.5">
      <c r="A39" s="999"/>
      <c r="B39" s="999"/>
      <c r="C39" s="999"/>
      <c r="D39" s="1003"/>
      <c r="F39" s="1006"/>
      <c r="G39" s="1006"/>
      <c r="L39" s="1003"/>
      <c r="M39" s="999"/>
      <c r="N39" s="999"/>
      <c r="O39" s="999"/>
      <c r="P39" s="999"/>
      <c r="Q39" s="999"/>
      <c r="R39" s="999"/>
      <c r="S39" s="999"/>
    </row>
    <row r="40" spans="1:20" ht="16.5">
      <c r="A40" s="999"/>
      <c r="B40" s="999"/>
      <c r="C40" s="999"/>
      <c r="D40" s="1003"/>
      <c r="F40" s="1006"/>
      <c r="G40" s="1006"/>
      <c r="L40" s="1003"/>
      <c r="M40" s="999"/>
      <c r="N40" s="999"/>
      <c r="O40" s="999"/>
      <c r="P40" s="999"/>
      <c r="Q40" s="999"/>
      <c r="R40" s="999"/>
      <c r="S40" s="999"/>
    </row>
    <row r="41" spans="1:20" ht="16.5">
      <c r="A41" s="999"/>
      <c r="B41" s="999"/>
      <c r="C41" s="999"/>
      <c r="D41" s="1003"/>
      <c r="F41" s="1006"/>
      <c r="G41" s="1006"/>
      <c r="L41" s="1003"/>
      <c r="M41" s="999"/>
      <c r="N41" s="999"/>
      <c r="O41" s="999"/>
      <c r="P41" s="999"/>
      <c r="Q41" s="999"/>
      <c r="R41" s="999"/>
      <c r="S41" s="999"/>
    </row>
    <row r="42" spans="1:20" ht="16.5">
      <c r="A42" s="999"/>
      <c r="B42" s="999"/>
      <c r="C42" s="999"/>
      <c r="D42" s="1003"/>
      <c r="F42" s="1006"/>
      <c r="G42" s="1006"/>
      <c r="L42" s="1003"/>
      <c r="M42" s="999"/>
      <c r="N42" s="999"/>
      <c r="O42" s="999"/>
      <c r="P42" s="999"/>
      <c r="Q42" s="999"/>
      <c r="R42" s="999"/>
      <c r="S42" s="999"/>
    </row>
    <row r="43" spans="1:20" s="1007" customFormat="1" ht="24" customHeight="1">
      <c r="A43" s="999"/>
      <c r="B43" s="999"/>
      <c r="C43" s="999"/>
      <c r="D43" s="1003"/>
      <c r="E43" s="1750" t="str">
        <f>CBGS1</f>
        <v>Trần Trọng Liêm</v>
      </c>
      <c r="F43" s="1750"/>
      <c r="G43" s="1750"/>
      <c r="H43" s="1045" t="str">
        <f>CBKT1</f>
        <v>Hoàng Đình Tảng</v>
      </c>
      <c r="I43" s="1750" t="str">
        <f>Nguoi_TN2</f>
        <v>Đoàn Hữu Quy</v>
      </c>
      <c r="J43" s="1750"/>
      <c r="K43" s="1750"/>
      <c r="L43" s="1003"/>
      <c r="M43" s="999"/>
      <c r="N43" s="999"/>
      <c r="O43" s="999"/>
      <c r="P43" s="999"/>
      <c r="Q43" s="999"/>
      <c r="R43" s="999"/>
      <c r="S43" s="999"/>
    </row>
    <row r="44" spans="1:20" ht="12" customHeight="1">
      <c r="A44" s="999"/>
      <c r="B44" s="999"/>
      <c r="C44" s="999"/>
      <c r="D44" s="1003"/>
      <c r="E44" s="1003"/>
      <c r="F44" s="1003"/>
      <c r="G44" s="1003"/>
      <c r="H44" s="1003"/>
      <c r="I44" s="1003"/>
      <c r="J44" s="1003"/>
      <c r="K44" s="1003"/>
      <c r="L44" s="1003"/>
      <c r="M44" s="999"/>
      <c r="N44" s="999"/>
      <c r="O44" s="999"/>
      <c r="P44" s="999"/>
      <c r="Q44" s="999"/>
      <c r="R44" s="999"/>
      <c r="S44" s="999"/>
    </row>
    <row r="45" spans="1:20" ht="42.75" customHeight="1">
      <c r="A45" s="999"/>
      <c r="B45" s="999"/>
      <c r="C45" s="999"/>
      <c r="D45" s="999"/>
      <c r="E45" s="999"/>
      <c r="F45" s="999"/>
      <c r="G45" s="999"/>
      <c r="H45" s="999"/>
      <c r="I45" s="999"/>
      <c r="J45" s="999"/>
      <c r="K45" s="999"/>
      <c r="L45" s="999"/>
      <c r="M45" s="999"/>
      <c r="N45" s="999"/>
      <c r="O45" s="999"/>
      <c r="P45" s="999"/>
      <c r="Q45" s="999"/>
      <c r="R45" s="999"/>
      <c r="S45" s="999"/>
    </row>
    <row r="46" spans="1:20" ht="48" customHeight="1">
      <c r="A46" s="999"/>
      <c r="B46" s="999"/>
      <c r="C46" s="999"/>
      <c r="D46" s="999"/>
      <c r="E46" s="999"/>
      <c r="F46" s="999"/>
      <c r="G46" s="999"/>
      <c r="H46" s="999"/>
      <c r="I46" s="999"/>
      <c r="J46" s="999"/>
      <c r="K46" s="999"/>
      <c r="L46" s="999"/>
      <c r="M46" s="999"/>
      <c r="N46" s="999"/>
      <c r="O46" s="999"/>
      <c r="P46" s="999"/>
      <c r="Q46" s="999"/>
      <c r="R46" s="999"/>
      <c r="S46" s="999"/>
    </row>
    <row r="47" spans="1:20" ht="16.5" hidden="1"/>
    <row r="48" spans="1:20" ht="16.5" hidden="1">
      <c r="H48" s="1000" t="s">
        <v>5614</v>
      </c>
    </row>
    <row r="49" spans="8:8" ht="16.5" hidden="1">
      <c r="H49" s="1000" t="e">
        <f>NguoncatBT</f>
        <v>#NAME?</v>
      </c>
    </row>
    <row r="50" spans="8:8" ht="16.5" hidden="1">
      <c r="H50" s="1000" t="e">
        <f>Nguoncatxay</f>
        <v>#NAME?</v>
      </c>
    </row>
    <row r="51" spans="8:8" ht="16.5" hidden="1">
      <c r="H51" s="1000" t="e">
        <f>Nguonda1x2</f>
        <v>#NAME?</v>
      </c>
    </row>
    <row r="52" spans="8:8" ht="16.5" hidden="1">
      <c r="H52" s="1000" t="e">
        <f>Nguonda2x4</f>
        <v>#NAME?</v>
      </c>
    </row>
    <row r="53" spans="8:8" ht="16.5" hidden="1">
      <c r="H53" s="1000" t="s">
        <v>5844</v>
      </c>
    </row>
    <row r="54" spans="8:8" ht="16.5" hidden="1">
      <c r="H54" s="1000" t="s">
        <v>5844</v>
      </c>
    </row>
    <row r="55" spans="8:8" ht="16.5" hidden="1">
      <c r="H55" s="1000" t="e">
        <f>Nguonximang</f>
        <v>#NAME?</v>
      </c>
    </row>
    <row r="56" spans="8:8" ht="16.5" hidden="1">
      <c r="H56" s="1000" t="s">
        <v>5845</v>
      </c>
    </row>
    <row r="57" spans="8:8" ht="16.5" hidden="1">
      <c r="H57" s="1000" t="s">
        <v>5845</v>
      </c>
    </row>
    <row r="58" spans="8:8" ht="16.5" hidden="1">
      <c r="H58" s="1000" t="s">
        <v>5846</v>
      </c>
    </row>
    <row r="59" spans="8:8" ht="16.5" hidden="1">
      <c r="H59" s="1000" t="s">
        <v>5847</v>
      </c>
    </row>
    <row r="60" spans="8:8" ht="16.5" hidden="1">
      <c r="H60" s="1000" t="s">
        <v>5848</v>
      </c>
    </row>
    <row r="61" spans="8:8" ht="16.5" hidden="1">
      <c r="H61" s="1000" t="s">
        <v>5849</v>
      </c>
    </row>
    <row r="62" spans="8:8" ht="16.5" hidden="1">
      <c r="H62" s="1000" t="s">
        <v>5849</v>
      </c>
    </row>
    <row r="63" spans="8:8" ht="16.5" hidden="1">
      <c r="H63" s="1000" t="s">
        <v>5849</v>
      </c>
    </row>
    <row r="64" spans="8:8" ht="16.5" hidden="1">
      <c r="H64" s="1000" t="s">
        <v>5849</v>
      </c>
    </row>
    <row r="65" ht="16.5" hidden="1"/>
  </sheetData>
  <mergeCells count="36">
    <mergeCell ref="E34:K34"/>
    <mergeCell ref="E37:K37"/>
    <mergeCell ref="E43:G43"/>
    <mergeCell ref="E35:K35"/>
    <mergeCell ref="I38:K38"/>
    <mergeCell ref="I43:K43"/>
    <mergeCell ref="E38:G38"/>
    <mergeCell ref="E36:K36"/>
    <mergeCell ref="E33:K33"/>
    <mergeCell ref="H32:K32"/>
    <mergeCell ref="D1:L1"/>
    <mergeCell ref="D2:L2"/>
    <mergeCell ref="D3:L3"/>
    <mergeCell ref="H24:K24"/>
    <mergeCell ref="H25:K25"/>
    <mergeCell ref="E19:K19"/>
    <mergeCell ref="E20:K20"/>
    <mergeCell ref="E21:K21"/>
    <mergeCell ref="E22:K22"/>
    <mergeCell ref="E23:K23"/>
    <mergeCell ref="E6:K6"/>
    <mergeCell ref="E7:K7"/>
    <mergeCell ref="E26:K26"/>
    <mergeCell ref="E13:K13"/>
    <mergeCell ref="H31:K31"/>
    <mergeCell ref="E8:K8"/>
    <mergeCell ref="E10:K10"/>
    <mergeCell ref="E11:K11"/>
    <mergeCell ref="H28:K28"/>
    <mergeCell ref="H29:K29"/>
    <mergeCell ref="E27:K27"/>
    <mergeCell ref="E30:K30"/>
    <mergeCell ref="E14:K14"/>
    <mergeCell ref="E15:K15"/>
    <mergeCell ref="E16:K16"/>
    <mergeCell ref="E17:K17"/>
  </mergeCells>
  <pageMargins left="0.89" right="0.45" top="0.39" bottom="0.28999999999999998"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52996" r:id="rId4" name="Spinner 4">
              <controlPr defaultSize="0" autoPict="0">
                <anchor moveWithCells="1" sizeWithCells="1">
                  <from>
                    <xdr:col>14</xdr:col>
                    <xdr:colOff>200025</xdr:colOff>
                    <xdr:row>0</xdr:row>
                    <xdr:rowOff>85725</xdr:rowOff>
                  </from>
                  <to>
                    <xdr:col>14</xdr:col>
                    <xdr:colOff>476250</xdr:colOff>
                    <xdr:row>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3">
    <pageSetUpPr fitToPage="1"/>
  </sheetPr>
  <dimension ref="A1:U55"/>
  <sheetViews>
    <sheetView showGridLines="0" zoomScaleNormal="100" workbookViewId="0">
      <pane xSplit="21" ySplit="4" topLeftCell="V5" activePane="bottomRight" state="frozen"/>
      <selection pane="topRight" activeCell="V1" sqref="V1"/>
      <selection pane="bottomLeft" activeCell="A5" sqref="A5"/>
      <selection pane="bottomRight" activeCell="E19" sqref="E19:O19"/>
    </sheetView>
  </sheetViews>
  <sheetFormatPr defaultRowHeight="16.5"/>
  <cols>
    <col min="1" max="1" width="8.33203125" style="1008" customWidth="1"/>
    <col min="2" max="2" width="7.109375" style="1008" customWidth="1"/>
    <col min="3" max="3" width="14" style="1008" customWidth="1"/>
    <col min="4" max="4" width="2.21875" style="1008" customWidth="1"/>
    <col min="5" max="5" width="1.77734375" style="1008" customWidth="1"/>
    <col min="6" max="6" width="11.109375" style="1008" customWidth="1"/>
    <col min="7" max="7" width="7.5546875" style="1008" customWidth="1"/>
    <col min="8" max="8" width="5.33203125" style="1008" customWidth="1"/>
    <col min="9" max="9" width="8" style="1008" customWidth="1"/>
    <col min="10" max="10" width="6.44140625" style="1008" customWidth="1"/>
    <col min="11" max="11" width="8.88671875" style="1008"/>
    <col min="12" max="12" width="6.77734375" style="1008" customWidth="1"/>
    <col min="13" max="13" width="5.88671875" style="1008" customWidth="1"/>
    <col min="14" max="14" width="6.77734375" style="1008" customWidth="1"/>
    <col min="15" max="15" width="7.5546875" style="1008" customWidth="1"/>
    <col min="16" max="16" width="2.5546875" style="1008" customWidth="1"/>
    <col min="17" max="17" width="4.44140625" style="1008" customWidth="1"/>
    <col min="18" max="18" width="4.109375" style="1008" customWidth="1"/>
    <col min="19" max="257" width="8.88671875" style="1008"/>
    <col min="258" max="258" width="7.109375" style="1008" customWidth="1"/>
    <col min="259" max="260" width="8.88671875" style="1008"/>
    <col min="261" max="261" width="1.77734375" style="1008" customWidth="1"/>
    <col min="262" max="262" width="11.109375" style="1008" customWidth="1"/>
    <col min="263" max="264" width="8.88671875" style="1008"/>
    <col min="265" max="265" width="7.109375" style="1008" customWidth="1"/>
    <col min="266" max="266" width="6.44140625" style="1008" customWidth="1"/>
    <col min="267" max="267" width="8.88671875" style="1008"/>
    <col min="268" max="268" width="6.77734375" style="1008" customWidth="1"/>
    <col min="269" max="269" width="5.88671875" style="1008" customWidth="1"/>
    <col min="270" max="270" width="6.77734375" style="1008" customWidth="1"/>
    <col min="271" max="271" width="5.33203125" style="1008" customWidth="1"/>
    <col min="272" max="272" width="8.77734375" style="1008" bestFit="1" customWidth="1"/>
    <col min="273" max="273" width="8" style="1008" customWidth="1"/>
    <col min="274" max="513" width="8.88671875" style="1008"/>
    <col min="514" max="514" width="7.109375" style="1008" customWidth="1"/>
    <col min="515" max="516" width="8.88671875" style="1008"/>
    <col min="517" max="517" width="1.77734375" style="1008" customWidth="1"/>
    <col min="518" max="518" width="11.109375" style="1008" customWidth="1"/>
    <col min="519" max="520" width="8.88671875" style="1008"/>
    <col min="521" max="521" width="7.109375" style="1008" customWidth="1"/>
    <col min="522" max="522" width="6.44140625" style="1008" customWidth="1"/>
    <col min="523" max="523" width="8.88671875" style="1008"/>
    <col min="524" max="524" width="6.77734375" style="1008" customWidth="1"/>
    <col min="525" max="525" width="5.88671875" style="1008" customWidth="1"/>
    <col min="526" max="526" width="6.77734375" style="1008" customWidth="1"/>
    <col min="527" max="527" width="5.33203125" style="1008" customWidth="1"/>
    <col min="528" max="528" width="8.77734375" style="1008" bestFit="1" customWidth="1"/>
    <col min="529" max="529" width="8" style="1008" customWidth="1"/>
    <col min="530" max="769" width="8.88671875" style="1008"/>
    <col min="770" max="770" width="7.109375" style="1008" customWidth="1"/>
    <col min="771" max="772" width="8.88671875" style="1008"/>
    <col min="773" max="773" width="1.77734375" style="1008" customWidth="1"/>
    <col min="774" max="774" width="11.109375" style="1008" customWidth="1"/>
    <col min="775" max="776" width="8.88671875" style="1008"/>
    <col min="777" max="777" width="7.109375" style="1008" customWidth="1"/>
    <col min="778" max="778" width="6.44140625" style="1008" customWidth="1"/>
    <col min="779" max="779" width="8.88671875" style="1008"/>
    <col min="780" max="780" width="6.77734375" style="1008" customWidth="1"/>
    <col min="781" max="781" width="5.88671875" style="1008" customWidth="1"/>
    <col min="782" max="782" width="6.77734375" style="1008" customWidth="1"/>
    <col min="783" max="783" width="5.33203125" style="1008" customWidth="1"/>
    <col min="784" max="784" width="8.77734375" style="1008" bestFit="1" customWidth="1"/>
    <col min="785" max="785" width="8" style="1008" customWidth="1"/>
    <col min="786" max="1025" width="8.88671875" style="1008"/>
    <col min="1026" max="1026" width="7.109375" style="1008" customWidth="1"/>
    <col min="1027" max="1028" width="8.88671875" style="1008"/>
    <col min="1029" max="1029" width="1.77734375" style="1008" customWidth="1"/>
    <col min="1030" max="1030" width="11.109375" style="1008" customWidth="1"/>
    <col min="1031" max="1032" width="8.88671875" style="1008"/>
    <col min="1033" max="1033" width="7.109375" style="1008" customWidth="1"/>
    <col min="1034" max="1034" width="6.44140625" style="1008" customWidth="1"/>
    <col min="1035" max="1035" width="8.88671875" style="1008"/>
    <col min="1036" max="1036" width="6.77734375" style="1008" customWidth="1"/>
    <col min="1037" max="1037" width="5.88671875" style="1008" customWidth="1"/>
    <col min="1038" max="1038" width="6.77734375" style="1008" customWidth="1"/>
    <col min="1039" max="1039" width="5.33203125" style="1008" customWidth="1"/>
    <col min="1040" max="1040" width="8.77734375" style="1008" bestFit="1" customWidth="1"/>
    <col min="1041" max="1041" width="8" style="1008" customWidth="1"/>
    <col min="1042" max="1281" width="8.88671875" style="1008"/>
    <col min="1282" max="1282" width="7.109375" style="1008" customWidth="1"/>
    <col min="1283" max="1284" width="8.88671875" style="1008"/>
    <col min="1285" max="1285" width="1.77734375" style="1008" customWidth="1"/>
    <col min="1286" max="1286" width="11.109375" style="1008" customWidth="1"/>
    <col min="1287" max="1288" width="8.88671875" style="1008"/>
    <col min="1289" max="1289" width="7.109375" style="1008" customWidth="1"/>
    <col min="1290" max="1290" width="6.44140625" style="1008" customWidth="1"/>
    <col min="1291" max="1291" width="8.88671875" style="1008"/>
    <col min="1292" max="1292" width="6.77734375" style="1008" customWidth="1"/>
    <col min="1293" max="1293" width="5.88671875" style="1008" customWidth="1"/>
    <col min="1294" max="1294" width="6.77734375" style="1008" customWidth="1"/>
    <col min="1295" max="1295" width="5.33203125" style="1008" customWidth="1"/>
    <col min="1296" max="1296" width="8.77734375" style="1008" bestFit="1" customWidth="1"/>
    <col min="1297" max="1297" width="8" style="1008" customWidth="1"/>
    <col min="1298" max="1537" width="8.88671875" style="1008"/>
    <col min="1538" max="1538" width="7.109375" style="1008" customWidth="1"/>
    <col min="1539" max="1540" width="8.88671875" style="1008"/>
    <col min="1541" max="1541" width="1.77734375" style="1008" customWidth="1"/>
    <col min="1542" max="1542" width="11.109375" style="1008" customWidth="1"/>
    <col min="1543" max="1544" width="8.88671875" style="1008"/>
    <col min="1545" max="1545" width="7.109375" style="1008" customWidth="1"/>
    <col min="1546" max="1546" width="6.44140625" style="1008" customWidth="1"/>
    <col min="1547" max="1547" width="8.88671875" style="1008"/>
    <col min="1548" max="1548" width="6.77734375" style="1008" customWidth="1"/>
    <col min="1549" max="1549" width="5.88671875" style="1008" customWidth="1"/>
    <col min="1550" max="1550" width="6.77734375" style="1008" customWidth="1"/>
    <col min="1551" max="1551" width="5.33203125" style="1008" customWidth="1"/>
    <col min="1552" max="1552" width="8.77734375" style="1008" bestFit="1" customWidth="1"/>
    <col min="1553" max="1553" width="8" style="1008" customWidth="1"/>
    <col min="1554" max="1793" width="8.88671875" style="1008"/>
    <col min="1794" max="1794" width="7.109375" style="1008" customWidth="1"/>
    <col min="1795" max="1796" width="8.88671875" style="1008"/>
    <col min="1797" max="1797" width="1.77734375" style="1008" customWidth="1"/>
    <col min="1798" max="1798" width="11.109375" style="1008" customWidth="1"/>
    <col min="1799" max="1800" width="8.88671875" style="1008"/>
    <col min="1801" max="1801" width="7.109375" style="1008" customWidth="1"/>
    <col min="1802" max="1802" width="6.44140625" style="1008" customWidth="1"/>
    <col min="1803" max="1803" width="8.88671875" style="1008"/>
    <col min="1804" max="1804" width="6.77734375" style="1008" customWidth="1"/>
    <col min="1805" max="1805" width="5.88671875" style="1008" customWidth="1"/>
    <col min="1806" max="1806" width="6.77734375" style="1008" customWidth="1"/>
    <col min="1807" max="1807" width="5.33203125" style="1008" customWidth="1"/>
    <col min="1808" max="1808" width="8.77734375" style="1008" bestFit="1" customWidth="1"/>
    <col min="1809" max="1809" width="8" style="1008" customWidth="1"/>
    <col min="1810" max="2049" width="8.88671875" style="1008"/>
    <col min="2050" max="2050" width="7.109375" style="1008" customWidth="1"/>
    <col min="2051" max="2052" width="8.88671875" style="1008"/>
    <col min="2053" max="2053" width="1.77734375" style="1008" customWidth="1"/>
    <col min="2054" max="2054" width="11.109375" style="1008" customWidth="1"/>
    <col min="2055" max="2056" width="8.88671875" style="1008"/>
    <col min="2057" max="2057" width="7.109375" style="1008" customWidth="1"/>
    <col min="2058" max="2058" width="6.44140625" style="1008" customWidth="1"/>
    <col min="2059" max="2059" width="8.88671875" style="1008"/>
    <col min="2060" max="2060" width="6.77734375" style="1008" customWidth="1"/>
    <col min="2061" max="2061" width="5.88671875" style="1008" customWidth="1"/>
    <col min="2062" max="2062" width="6.77734375" style="1008" customWidth="1"/>
    <col min="2063" max="2063" width="5.33203125" style="1008" customWidth="1"/>
    <col min="2064" max="2064" width="8.77734375" style="1008" bestFit="1" customWidth="1"/>
    <col min="2065" max="2065" width="8" style="1008" customWidth="1"/>
    <col min="2066" max="2305" width="8.88671875" style="1008"/>
    <col min="2306" max="2306" width="7.109375" style="1008" customWidth="1"/>
    <col min="2307" max="2308" width="8.88671875" style="1008"/>
    <col min="2309" max="2309" width="1.77734375" style="1008" customWidth="1"/>
    <col min="2310" max="2310" width="11.109375" style="1008" customWidth="1"/>
    <col min="2311" max="2312" width="8.88671875" style="1008"/>
    <col min="2313" max="2313" width="7.109375" style="1008" customWidth="1"/>
    <col min="2314" max="2314" width="6.44140625" style="1008" customWidth="1"/>
    <col min="2315" max="2315" width="8.88671875" style="1008"/>
    <col min="2316" max="2316" width="6.77734375" style="1008" customWidth="1"/>
    <col min="2317" max="2317" width="5.88671875" style="1008" customWidth="1"/>
    <col min="2318" max="2318" width="6.77734375" style="1008" customWidth="1"/>
    <col min="2319" max="2319" width="5.33203125" style="1008" customWidth="1"/>
    <col min="2320" max="2320" width="8.77734375" style="1008" bestFit="1" customWidth="1"/>
    <col min="2321" max="2321" width="8" style="1008" customWidth="1"/>
    <col min="2322" max="2561" width="8.88671875" style="1008"/>
    <col min="2562" max="2562" width="7.109375" style="1008" customWidth="1"/>
    <col min="2563" max="2564" width="8.88671875" style="1008"/>
    <col min="2565" max="2565" width="1.77734375" style="1008" customWidth="1"/>
    <col min="2566" max="2566" width="11.109375" style="1008" customWidth="1"/>
    <col min="2567" max="2568" width="8.88671875" style="1008"/>
    <col min="2569" max="2569" width="7.109375" style="1008" customWidth="1"/>
    <col min="2570" max="2570" width="6.44140625" style="1008" customWidth="1"/>
    <col min="2571" max="2571" width="8.88671875" style="1008"/>
    <col min="2572" max="2572" width="6.77734375" style="1008" customWidth="1"/>
    <col min="2573" max="2573" width="5.88671875" style="1008" customWidth="1"/>
    <col min="2574" max="2574" width="6.77734375" style="1008" customWidth="1"/>
    <col min="2575" max="2575" width="5.33203125" style="1008" customWidth="1"/>
    <col min="2576" max="2576" width="8.77734375" style="1008" bestFit="1" customWidth="1"/>
    <col min="2577" max="2577" width="8" style="1008" customWidth="1"/>
    <col min="2578" max="2817" width="8.88671875" style="1008"/>
    <col min="2818" max="2818" width="7.109375" style="1008" customWidth="1"/>
    <col min="2819" max="2820" width="8.88671875" style="1008"/>
    <col min="2821" max="2821" width="1.77734375" style="1008" customWidth="1"/>
    <col min="2822" max="2822" width="11.109375" style="1008" customWidth="1"/>
    <col min="2823" max="2824" width="8.88671875" style="1008"/>
    <col min="2825" max="2825" width="7.109375" style="1008" customWidth="1"/>
    <col min="2826" max="2826" width="6.44140625" style="1008" customWidth="1"/>
    <col min="2827" max="2827" width="8.88671875" style="1008"/>
    <col min="2828" max="2828" width="6.77734375" style="1008" customWidth="1"/>
    <col min="2829" max="2829" width="5.88671875" style="1008" customWidth="1"/>
    <col min="2830" max="2830" width="6.77734375" style="1008" customWidth="1"/>
    <col min="2831" max="2831" width="5.33203125" style="1008" customWidth="1"/>
    <col min="2832" max="2832" width="8.77734375" style="1008" bestFit="1" customWidth="1"/>
    <col min="2833" max="2833" width="8" style="1008" customWidth="1"/>
    <col min="2834" max="3073" width="8.88671875" style="1008"/>
    <col min="3074" max="3074" width="7.109375" style="1008" customWidth="1"/>
    <col min="3075" max="3076" width="8.88671875" style="1008"/>
    <col min="3077" max="3077" width="1.77734375" style="1008" customWidth="1"/>
    <col min="3078" max="3078" width="11.109375" style="1008" customWidth="1"/>
    <col min="3079" max="3080" width="8.88671875" style="1008"/>
    <col min="3081" max="3081" width="7.109375" style="1008" customWidth="1"/>
    <col min="3082" max="3082" width="6.44140625" style="1008" customWidth="1"/>
    <col min="3083" max="3083" width="8.88671875" style="1008"/>
    <col min="3084" max="3084" width="6.77734375" style="1008" customWidth="1"/>
    <col min="3085" max="3085" width="5.88671875" style="1008" customWidth="1"/>
    <col min="3086" max="3086" width="6.77734375" style="1008" customWidth="1"/>
    <col min="3087" max="3087" width="5.33203125" style="1008" customWidth="1"/>
    <col min="3088" max="3088" width="8.77734375" style="1008" bestFit="1" customWidth="1"/>
    <col min="3089" max="3089" width="8" style="1008" customWidth="1"/>
    <col min="3090" max="3329" width="8.88671875" style="1008"/>
    <col min="3330" max="3330" width="7.109375" style="1008" customWidth="1"/>
    <col min="3331" max="3332" width="8.88671875" style="1008"/>
    <col min="3333" max="3333" width="1.77734375" style="1008" customWidth="1"/>
    <col min="3334" max="3334" width="11.109375" style="1008" customWidth="1"/>
    <col min="3335" max="3336" width="8.88671875" style="1008"/>
    <col min="3337" max="3337" width="7.109375" style="1008" customWidth="1"/>
    <col min="3338" max="3338" width="6.44140625" style="1008" customWidth="1"/>
    <col min="3339" max="3339" width="8.88671875" style="1008"/>
    <col min="3340" max="3340" width="6.77734375" style="1008" customWidth="1"/>
    <col min="3341" max="3341" width="5.88671875" style="1008" customWidth="1"/>
    <col min="3342" max="3342" width="6.77734375" style="1008" customWidth="1"/>
    <col min="3343" max="3343" width="5.33203125" style="1008" customWidth="1"/>
    <col min="3344" max="3344" width="8.77734375" style="1008" bestFit="1" customWidth="1"/>
    <col min="3345" max="3345" width="8" style="1008" customWidth="1"/>
    <col min="3346" max="3585" width="8.88671875" style="1008"/>
    <col min="3586" max="3586" width="7.109375" style="1008" customWidth="1"/>
    <col min="3587" max="3588" width="8.88671875" style="1008"/>
    <col min="3589" max="3589" width="1.77734375" style="1008" customWidth="1"/>
    <col min="3590" max="3590" width="11.109375" style="1008" customWidth="1"/>
    <col min="3591" max="3592" width="8.88671875" style="1008"/>
    <col min="3593" max="3593" width="7.109375" style="1008" customWidth="1"/>
    <col min="3594" max="3594" width="6.44140625" style="1008" customWidth="1"/>
    <col min="3595" max="3595" width="8.88671875" style="1008"/>
    <col min="3596" max="3596" width="6.77734375" style="1008" customWidth="1"/>
    <col min="3597" max="3597" width="5.88671875" style="1008" customWidth="1"/>
    <col min="3598" max="3598" width="6.77734375" style="1008" customWidth="1"/>
    <col min="3599" max="3599" width="5.33203125" style="1008" customWidth="1"/>
    <col min="3600" max="3600" width="8.77734375" style="1008" bestFit="1" customWidth="1"/>
    <col min="3601" max="3601" width="8" style="1008" customWidth="1"/>
    <col min="3602" max="3841" width="8.88671875" style="1008"/>
    <col min="3842" max="3842" width="7.109375" style="1008" customWidth="1"/>
    <col min="3843" max="3844" width="8.88671875" style="1008"/>
    <col min="3845" max="3845" width="1.77734375" style="1008" customWidth="1"/>
    <col min="3846" max="3846" width="11.109375" style="1008" customWidth="1"/>
    <col min="3847" max="3848" width="8.88671875" style="1008"/>
    <col min="3849" max="3849" width="7.109375" style="1008" customWidth="1"/>
    <col min="3850" max="3850" width="6.44140625" style="1008" customWidth="1"/>
    <col min="3851" max="3851" width="8.88671875" style="1008"/>
    <col min="3852" max="3852" width="6.77734375" style="1008" customWidth="1"/>
    <col min="3853" max="3853" width="5.88671875" style="1008" customWidth="1"/>
    <col min="3854" max="3854" width="6.77734375" style="1008" customWidth="1"/>
    <col min="3855" max="3855" width="5.33203125" style="1008" customWidth="1"/>
    <col min="3856" max="3856" width="8.77734375" style="1008" bestFit="1" customWidth="1"/>
    <col min="3857" max="3857" width="8" style="1008" customWidth="1"/>
    <col min="3858" max="4097" width="8.88671875" style="1008"/>
    <col min="4098" max="4098" width="7.109375" style="1008" customWidth="1"/>
    <col min="4099" max="4100" width="8.88671875" style="1008"/>
    <col min="4101" max="4101" width="1.77734375" style="1008" customWidth="1"/>
    <col min="4102" max="4102" width="11.109375" style="1008" customWidth="1"/>
    <col min="4103" max="4104" width="8.88671875" style="1008"/>
    <col min="4105" max="4105" width="7.109375" style="1008" customWidth="1"/>
    <col min="4106" max="4106" width="6.44140625" style="1008" customWidth="1"/>
    <col min="4107" max="4107" width="8.88671875" style="1008"/>
    <col min="4108" max="4108" width="6.77734375" style="1008" customWidth="1"/>
    <col min="4109" max="4109" width="5.88671875" style="1008" customWidth="1"/>
    <col min="4110" max="4110" width="6.77734375" style="1008" customWidth="1"/>
    <col min="4111" max="4111" width="5.33203125" style="1008" customWidth="1"/>
    <col min="4112" max="4112" width="8.77734375" style="1008" bestFit="1" customWidth="1"/>
    <col min="4113" max="4113" width="8" style="1008" customWidth="1"/>
    <col min="4114" max="4353" width="8.88671875" style="1008"/>
    <col min="4354" max="4354" width="7.109375" style="1008" customWidth="1"/>
    <col min="4355" max="4356" width="8.88671875" style="1008"/>
    <col min="4357" max="4357" width="1.77734375" style="1008" customWidth="1"/>
    <col min="4358" max="4358" width="11.109375" style="1008" customWidth="1"/>
    <col min="4359" max="4360" width="8.88671875" style="1008"/>
    <col min="4361" max="4361" width="7.109375" style="1008" customWidth="1"/>
    <col min="4362" max="4362" width="6.44140625" style="1008" customWidth="1"/>
    <col min="4363" max="4363" width="8.88671875" style="1008"/>
    <col min="4364" max="4364" width="6.77734375" style="1008" customWidth="1"/>
    <col min="4365" max="4365" width="5.88671875" style="1008" customWidth="1"/>
    <col min="4366" max="4366" width="6.77734375" style="1008" customWidth="1"/>
    <col min="4367" max="4367" width="5.33203125" style="1008" customWidth="1"/>
    <col min="4368" max="4368" width="8.77734375" style="1008" bestFit="1" customWidth="1"/>
    <col min="4369" max="4369" width="8" style="1008" customWidth="1"/>
    <col min="4370" max="4609" width="8.88671875" style="1008"/>
    <col min="4610" max="4610" width="7.109375" style="1008" customWidth="1"/>
    <col min="4611" max="4612" width="8.88671875" style="1008"/>
    <col min="4613" max="4613" width="1.77734375" style="1008" customWidth="1"/>
    <col min="4614" max="4614" width="11.109375" style="1008" customWidth="1"/>
    <col min="4615" max="4616" width="8.88671875" style="1008"/>
    <col min="4617" max="4617" width="7.109375" style="1008" customWidth="1"/>
    <col min="4618" max="4618" width="6.44140625" style="1008" customWidth="1"/>
    <col min="4619" max="4619" width="8.88671875" style="1008"/>
    <col min="4620" max="4620" width="6.77734375" style="1008" customWidth="1"/>
    <col min="4621" max="4621" width="5.88671875" style="1008" customWidth="1"/>
    <col min="4622" max="4622" width="6.77734375" style="1008" customWidth="1"/>
    <col min="4623" max="4623" width="5.33203125" style="1008" customWidth="1"/>
    <col min="4624" max="4624" width="8.77734375" style="1008" bestFit="1" customWidth="1"/>
    <col min="4625" max="4625" width="8" style="1008" customWidth="1"/>
    <col min="4626" max="4865" width="8.88671875" style="1008"/>
    <col min="4866" max="4866" width="7.109375" style="1008" customWidth="1"/>
    <col min="4867" max="4868" width="8.88671875" style="1008"/>
    <col min="4869" max="4869" width="1.77734375" style="1008" customWidth="1"/>
    <col min="4870" max="4870" width="11.109375" style="1008" customWidth="1"/>
    <col min="4871" max="4872" width="8.88671875" style="1008"/>
    <col min="4873" max="4873" width="7.109375" style="1008" customWidth="1"/>
    <col min="4874" max="4874" width="6.44140625" style="1008" customWidth="1"/>
    <col min="4875" max="4875" width="8.88671875" style="1008"/>
    <col min="4876" max="4876" width="6.77734375" style="1008" customWidth="1"/>
    <col min="4877" max="4877" width="5.88671875" style="1008" customWidth="1"/>
    <col min="4878" max="4878" width="6.77734375" style="1008" customWidth="1"/>
    <col min="4879" max="4879" width="5.33203125" style="1008" customWidth="1"/>
    <col min="4880" max="4880" width="8.77734375" style="1008" bestFit="1" customWidth="1"/>
    <col min="4881" max="4881" width="8" style="1008" customWidth="1"/>
    <col min="4882" max="5121" width="8.88671875" style="1008"/>
    <col min="5122" max="5122" width="7.109375" style="1008" customWidth="1"/>
    <col min="5123" max="5124" width="8.88671875" style="1008"/>
    <col min="5125" max="5125" width="1.77734375" style="1008" customWidth="1"/>
    <col min="5126" max="5126" width="11.109375" style="1008" customWidth="1"/>
    <col min="5127" max="5128" width="8.88671875" style="1008"/>
    <col min="5129" max="5129" width="7.109375" style="1008" customWidth="1"/>
    <col min="5130" max="5130" width="6.44140625" style="1008" customWidth="1"/>
    <col min="5131" max="5131" width="8.88671875" style="1008"/>
    <col min="5132" max="5132" width="6.77734375" style="1008" customWidth="1"/>
    <col min="5133" max="5133" width="5.88671875" style="1008" customWidth="1"/>
    <col min="5134" max="5134" width="6.77734375" style="1008" customWidth="1"/>
    <col min="5135" max="5135" width="5.33203125" style="1008" customWidth="1"/>
    <col min="5136" max="5136" width="8.77734375" style="1008" bestFit="1" customWidth="1"/>
    <col min="5137" max="5137" width="8" style="1008" customWidth="1"/>
    <col min="5138" max="5377" width="8.88671875" style="1008"/>
    <col min="5378" max="5378" width="7.109375" style="1008" customWidth="1"/>
    <col min="5379" max="5380" width="8.88671875" style="1008"/>
    <col min="5381" max="5381" width="1.77734375" style="1008" customWidth="1"/>
    <col min="5382" max="5382" width="11.109375" style="1008" customWidth="1"/>
    <col min="5383" max="5384" width="8.88671875" style="1008"/>
    <col min="5385" max="5385" width="7.109375" style="1008" customWidth="1"/>
    <col min="5386" max="5386" width="6.44140625" style="1008" customWidth="1"/>
    <col min="5387" max="5387" width="8.88671875" style="1008"/>
    <col min="5388" max="5388" width="6.77734375" style="1008" customWidth="1"/>
    <col min="5389" max="5389" width="5.88671875" style="1008" customWidth="1"/>
    <col min="5390" max="5390" width="6.77734375" style="1008" customWidth="1"/>
    <col min="5391" max="5391" width="5.33203125" style="1008" customWidth="1"/>
    <col min="5392" max="5392" width="8.77734375" style="1008" bestFit="1" customWidth="1"/>
    <col min="5393" max="5393" width="8" style="1008" customWidth="1"/>
    <col min="5394" max="5633" width="8.88671875" style="1008"/>
    <col min="5634" max="5634" width="7.109375" style="1008" customWidth="1"/>
    <col min="5635" max="5636" width="8.88671875" style="1008"/>
    <col min="5637" max="5637" width="1.77734375" style="1008" customWidth="1"/>
    <col min="5638" max="5638" width="11.109375" style="1008" customWidth="1"/>
    <col min="5639" max="5640" width="8.88671875" style="1008"/>
    <col min="5641" max="5641" width="7.109375" style="1008" customWidth="1"/>
    <col min="5642" max="5642" width="6.44140625" style="1008" customWidth="1"/>
    <col min="5643" max="5643" width="8.88671875" style="1008"/>
    <col min="5644" max="5644" width="6.77734375" style="1008" customWidth="1"/>
    <col min="5645" max="5645" width="5.88671875" style="1008" customWidth="1"/>
    <col min="5646" max="5646" width="6.77734375" style="1008" customWidth="1"/>
    <col min="5647" max="5647" width="5.33203125" style="1008" customWidth="1"/>
    <col min="5648" max="5648" width="8.77734375" style="1008" bestFit="1" customWidth="1"/>
    <col min="5649" max="5649" width="8" style="1008" customWidth="1"/>
    <col min="5650" max="5889" width="8.88671875" style="1008"/>
    <col min="5890" max="5890" width="7.109375" style="1008" customWidth="1"/>
    <col min="5891" max="5892" width="8.88671875" style="1008"/>
    <col min="5893" max="5893" width="1.77734375" style="1008" customWidth="1"/>
    <col min="5894" max="5894" width="11.109375" style="1008" customWidth="1"/>
    <col min="5895" max="5896" width="8.88671875" style="1008"/>
    <col min="5897" max="5897" width="7.109375" style="1008" customWidth="1"/>
    <col min="5898" max="5898" width="6.44140625" style="1008" customWidth="1"/>
    <col min="5899" max="5899" width="8.88671875" style="1008"/>
    <col min="5900" max="5900" width="6.77734375" style="1008" customWidth="1"/>
    <col min="5901" max="5901" width="5.88671875" style="1008" customWidth="1"/>
    <col min="5902" max="5902" width="6.77734375" style="1008" customWidth="1"/>
    <col min="5903" max="5903" width="5.33203125" style="1008" customWidth="1"/>
    <col min="5904" max="5904" width="8.77734375" style="1008" bestFit="1" customWidth="1"/>
    <col min="5905" max="5905" width="8" style="1008" customWidth="1"/>
    <col min="5906" max="6145" width="8.88671875" style="1008"/>
    <col min="6146" max="6146" width="7.109375" style="1008" customWidth="1"/>
    <col min="6147" max="6148" width="8.88671875" style="1008"/>
    <col min="6149" max="6149" width="1.77734375" style="1008" customWidth="1"/>
    <col min="6150" max="6150" width="11.109375" style="1008" customWidth="1"/>
    <col min="6151" max="6152" width="8.88671875" style="1008"/>
    <col min="6153" max="6153" width="7.109375" style="1008" customWidth="1"/>
    <col min="6154" max="6154" width="6.44140625" style="1008" customWidth="1"/>
    <col min="6155" max="6155" width="8.88671875" style="1008"/>
    <col min="6156" max="6156" width="6.77734375" style="1008" customWidth="1"/>
    <col min="6157" max="6157" width="5.88671875" style="1008" customWidth="1"/>
    <col min="6158" max="6158" width="6.77734375" style="1008" customWidth="1"/>
    <col min="6159" max="6159" width="5.33203125" style="1008" customWidth="1"/>
    <col min="6160" max="6160" width="8.77734375" style="1008" bestFit="1" customWidth="1"/>
    <col min="6161" max="6161" width="8" style="1008" customWidth="1"/>
    <col min="6162" max="6401" width="8.88671875" style="1008"/>
    <col min="6402" max="6402" width="7.109375" style="1008" customWidth="1"/>
    <col min="6403" max="6404" width="8.88671875" style="1008"/>
    <col min="6405" max="6405" width="1.77734375" style="1008" customWidth="1"/>
    <col min="6406" max="6406" width="11.109375" style="1008" customWidth="1"/>
    <col min="6407" max="6408" width="8.88671875" style="1008"/>
    <col min="6409" max="6409" width="7.109375" style="1008" customWidth="1"/>
    <col min="6410" max="6410" width="6.44140625" style="1008" customWidth="1"/>
    <col min="6411" max="6411" width="8.88671875" style="1008"/>
    <col min="6412" max="6412" width="6.77734375" style="1008" customWidth="1"/>
    <col min="6413" max="6413" width="5.88671875" style="1008" customWidth="1"/>
    <col min="6414" max="6414" width="6.77734375" style="1008" customWidth="1"/>
    <col min="6415" max="6415" width="5.33203125" style="1008" customWidth="1"/>
    <col min="6416" max="6416" width="8.77734375" style="1008" bestFit="1" customWidth="1"/>
    <col min="6417" max="6417" width="8" style="1008" customWidth="1"/>
    <col min="6418" max="6657" width="8.88671875" style="1008"/>
    <col min="6658" max="6658" width="7.109375" style="1008" customWidth="1"/>
    <col min="6659" max="6660" width="8.88671875" style="1008"/>
    <col min="6661" max="6661" width="1.77734375" style="1008" customWidth="1"/>
    <col min="6662" max="6662" width="11.109375" style="1008" customWidth="1"/>
    <col min="6663" max="6664" width="8.88671875" style="1008"/>
    <col min="6665" max="6665" width="7.109375" style="1008" customWidth="1"/>
    <col min="6666" max="6666" width="6.44140625" style="1008" customWidth="1"/>
    <col min="6667" max="6667" width="8.88671875" style="1008"/>
    <col min="6668" max="6668" width="6.77734375" style="1008" customWidth="1"/>
    <col min="6669" max="6669" width="5.88671875" style="1008" customWidth="1"/>
    <col min="6670" max="6670" width="6.77734375" style="1008" customWidth="1"/>
    <col min="6671" max="6671" width="5.33203125" style="1008" customWidth="1"/>
    <col min="6672" max="6672" width="8.77734375" style="1008" bestFit="1" customWidth="1"/>
    <col min="6673" max="6673" width="8" style="1008" customWidth="1"/>
    <col min="6674" max="6913" width="8.88671875" style="1008"/>
    <col min="6914" max="6914" width="7.109375" style="1008" customWidth="1"/>
    <col min="6915" max="6916" width="8.88671875" style="1008"/>
    <col min="6917" max="6917" width="1.77734375" style="1008" customWidth="1"/>
    <col min="6918" max="6918" width="11.109375" style="1008" customWidth="1"/>
    <col min="6919" max="6920" width="8.88671875" style="1008"/>
    <col min="6921" max="6921" width="7.109375" style="1008" customWidth="1"/>
    <col min="6922" max="6922" width="6.44140625" style="1008" customWidth="1"/>
    <col min="6923" max="6923" width="8.88671875" style="1008"/>
    <col min="6924" max="6924" width="6.77734375" style="1008" customWidth="1"/>
    <col min="6925" max="6925" width="5.88671875" style="1008" customWidth="1"/>
    <col min="6926" max="6926" width="6.77734375" style="1008" customWidth="1"/>
    <col min="6927" max="6927" width="5.33203125" style="1008" customWidth="1"/>
    <col min="6928" max="6928" width="8.77734375" style="1008" bestFit="1" customWidth="1"/>
    <col min="6929" max="6929" width="8" style="1008" customWidth="1"/>
    <col min="6930" max="7169" width="8.88671875" style="1008"/>
    <col min="7170" max="7170" width="7.109375" style="1008" customWidth="1"/>
    <col min="7171" max="7172" width="8.88671875" style="1008"/>
    <col min="7173" max="7173" width="1.77734375" style="1008" customWidth="1"/>
    <col min="7174" max="7174" width="11.109375" style="1008" customWidth="1"/>
    <col min="7175" max="7176" width="8.88671875" style="1008"/>
    <col min="7177" max="7177" width="7.109375" style="1008" customWidth="1"/>
    <col min="7178" max="7178" width="6.44140625" style="1008" customWidth="1"/>
    <col min="7179" max="7179" width="8.88671875" style="1008"/>
    <col min="7180" max="7180" width="6.77734375" style="1008" customWidth="1"/>
    <col min="7181" max="7181" width="5.88671875" style="1008" customWidth="1"/>
    <col min="7182" max="7182" width="6.77734375" style="1008" customWidth="1"/>
    <col min="7183" max="7183" width="5.33203125" style="1008" customWidth="1"/>
    <col min="7184" max="7184" width="8.77734375" style="1008" bestFit="1" customWidth="1"/>
    <col min="7185" max="7185" width="8" style="1008" customWidth="1"/>
    <col min="7186" max="7425" width="8.88671875" style="1008"/>
    <col min="7426" max="7426" width="7.109375" style="1008" customWidth="1"/>
    <col min="7427" max="7428" width="8.88671875" style="1008"/>
    <col min="7429" max="7429" width="1.77734375" style="1008" customWidth="1"/>
    <col min="7430" max="7430" width="11.109375" style="1008" customWidth="1"/>
    <col min="7431" max="7432" width="8.88671875" style="1008"/>
    <col min="7433" max="7433" width="7.109375" style="1008" customWidth="1"/>
    <col min="7434" max="7434" width="6.44140625" style="1008" customWidth="1"/>
    <col min="7435" max="7435" width="8.88671875" style="1008"/>
    <col min="7436" max="7436" width="6.77734375" style="1008" customWidth="1"/>
    <col min="7437" max="7437" width="5.88671875" style="1008" customWidth="1"/>
    <col min="7438" max="7438" width="6.77734375" style="1008" customWidth="1"/>
    <col min="7439" max="7439" width="5.33203125" style="1008" customWidth="1"/>
    <col min="7440" max="7440" width="8.77734375" style="1008" bestFit="1" customWidth="1"/>
    <col min="7441" max="7441" width="8" style="1008" customWidth="1"/>
    <col min="7442" max="7681" width="8.88671875" style="1008"/>
    <col min="7682" max="7682" width="7.109375" style="1008" customWidth="1"/>
    <col min="7683" max="7684" width="8.88671875" style="1008"/>
    <col min="7685" max="7685" width="1.77734375" style="1008" customWidth="1"/>
    <col min="7686" max="7686" width="11.109375" style="1008" customWidth="1"/>
    <col min="7687" max="7688" width="8.88671875" style="1008"/>
    <col min="7689" max="7689" width="7.109375" style="1008" customWidth="1"/>
    <col min="7690" max="7690" width="6.44140625" style="1008" customWidth="1"/>
    <col min="7691" max="7691" width="8.88671875" style="1008"/>
    <col min="7692" max="7692" width="6.77734375" style="1008" customWidth="1"/>
    <col min="7693" max="7693" width="5.88671875" style="1008" customWidth="1"/>
    <col min="7694" max="7694" width="6.77734375" style="1008" customWidth="1"/>
    <col min="7695" max="7695" width="5.33203125" style="1008" customWidth="1"/>
    <col min="7696" max="7696" width="8.77734375" style="1008" bestFit="1" customWidth="1"/>
    <col min="7697" max="7697" width="8" style="1008" customWidth="1"/>
    <col min="7698" max="7937" width="8.88671875" style="1008"/>
    <col min="7938" max="7938" width="7.109375" style="1008" customWidth="1"/>
    <col min="7939" max="7940" width="8.88671875" style="1008"/>
    <col min="7941" max="7941" width="1.77734375" style="1008" customWidth="1"/>
    <col min="7942" max="7942" width="11.109375" style="1008" customWidth="1"/>
    <col min="7943" max="7944" width="8.88671875" style="1008"/>
    <col min="7945" max="7945" width="7.109375" style="1008" customWidth="1"/>
    <col min="7946" max="7946" width="6.44140625" style="1008" customWidth="1"/>
    <col min="7947" max="7947" width="8.88671875" style="1008"/>
    <col min="7948" max="7948" width="6.77734375" style="1008" customWidth="1"/>
    <col min="7949" max="7949" width="5.88671875" style="1008" customWidth="1"/>
    <col min="7950" max="7950" width="6.77734375" style="1008" customWidth="1"/>
    <col min="7951" max="7951" width="5.33203125" style="1008" customWidth="1"/>
    <col min="7952" max="7952" width="8.77734375" style="1008" bestFit="1" customWidth="1"/>
    <col min="7953" max="7953" width="8" style="1008" customWidth="1"/>
    <col min="7954" max="8193" width="8.88671875" style="1008"/>
    <col min="8194" max="8194" width="7.109375" style="1008" customWidth="1"/>
    <col min="8195" max="8196" width="8.88671875" style="1008"/>
    <col min="8197" max="8197" width="1.77734375" style="1008" customWidth="1"/>
    <col min="8198" max="8198" width="11.109375" style="1008" customWidth="1"/>
    <col min="8199" max="8200" width="8.88671875" style="1008"/>
    <col min="8201" max="8201" width="7.109375" style="1008" customWidth="1"/>
    <col min="8202" max="8202" width="6.44140625" style="1008" customWidth="1"/>
    <col min="8203" max="8203" width="8.88671875" style="1008"/>
    <col min="8204" max="8204" width="6.77734375" style="1008" customWidth="1"/>
    <col min="8205" max="8205" width="5.88671875" style="1008" customWidth="1"/>
    <col min="8206" max="8206" width="6.77734375" style="1008" customWidth="1"/>
    <col min="8207" max="8207" width="5.33203125" style="1008" customWidth="1"/>
    <col min="8208" max="8208" width="8.77734375" style="1008" bestFit="1" customWidth="1"/>
    <col min="8209" max="8209" width="8" style="1008" customWidth="1"/>
    <col min="8210" max="8449" width="8.88671875" style="1008"/>
    <col min="8450" max="8450" width="7.109375" style="1008" customWidth="1"/>
    <col min="8451" max="8452" width="8.88671875" style="1008"/>
    <col min="8453" max="8453" width="1.77734375" style="1008" customWidth="1"/>
    <col min="8454" max="8454" width="11.109375" style="1008" customWidth="1"/>
    <col min="8455" max="8456" width="8.88671875" style="1008"/>
    <col min="8457" max="8457" width="7.109375" style="1008" customWidth="1"/>
    <col min="8458" max="8458" width="6.44140625" style="1008" customWidth="1"/>
    <col min="8459" max="8459" width="8.88671875" style="1008"/>
    <col min="8460" max="8460" width="6.77734375" style="1008" customWidth="1"/>
    <col min="8461" max="8461" width="5.88671875" style="1008" customWidth="1"/>
    <col min="8462" max="8462" width="6.77734375" style="1008" customWidth="1"/>
    <col min="8463" max="8463" width="5.33203125" style="1008" customWidth="1"/>
    <col min="8464" max="8464" width="8.77734375" style="1008" bestFit="1" customWidth="1"/>
    <col min="8465" max="8465" width="8" style="1008" customWidth="1"/>
    <col min="8466" max="8705" width="8.88671875" style="1008"/>
    <col min="8706" max="8706" width="7.109375" style="1008" customWidth="1"/>
    <col min="8707" max="8708" width="8.88671875" style="1008"/>
    <col min="8709" max="8709" width="1.77734375" style="1008" customWidth="1"/>
    <col min="8710" max="8710" width="11.109375" style="1008" customWidth="1"/>
    <col min="8711" max="8712" width="8.88671875" style="1008"/>
    <col min="8713" max="8713" width="7.109375" style="1008" customWidth="1"/>
    <col min="8714" max="8714" width="6.44140625" style="1008" customWidth="1"/>
    <col min="8715" max="8715" width="8.88671875" style="1008"/>
    <col min="8716" max="8716" width="6.77734375" style="1008" customWidth="1"/>
    <col min="8717" max="8717" width="5.88671875" style="1008" customWidth="1"/>
    <col min="8718" max="8718" width="6.77734375" style="1008" customWidth="1"/>
    <col min="8719" max="8719" width="5.33203125" style="1008" customWidth="1"/>
    <col min="8720" max="8720" width="8.77734375" style="1008" bestFit="1" customWidth="1"/>
    <col min="8721" max="8721" width="8" style="1008" customWidth="1"/>
    <col min="8722" max="8961" width="8.88671875" style="1008"/>
    <col min="8962" max="8962" width="7.109375" style="1008" customWidth="1"/>
    <col min="8963" max="8964" width="8.88671875" style="1008"/>
    <col min="8965" max="8965" width="1.77734375" style="1008" customWidth="1"/>
    <col min="8966" max="8966" width="11.109375" style="1008" customWidth="1"/>
    <col min="8967" max="8968" width="8.88671875" style="1008"/>
    <col min="8969" max="8969" width="7.109375" style="1008" customWidth="1"/>
    <col min="8970" max="8970" width="6.44140625" style="1008" customWidth="1"/>
    <col min="8971" max="8971" width="8.88671875" style="1008"/>
    <col min="8972" max="8972" width="6.77734375" style="1008" customWidth="1"/>
    <col min="8973" max="8973" width="5.88671875" style="1008" customWidth="1"/>
    <col min="8974" max="8974" width="6.77734375" style="1008" customWidth="1"/>
    <col min="8975" max="8975" width="5.33203125" style="1008" customWidth="1"/>
    <col min="8976" max="8976" width="8.77734375" style="1008" bestFit="1" customWidth="1"/>
    <col min="8977" max="8977" width="8" style="1008" customWidth="1"/>
    <col min="8978" max="9217" width="8.88671875" style="1008"/>
    <col min="9218" max="9218" width="7.109375" style="1008" customWidth="1"/>
    <col min="9219" max="9220" width="8.88671875" style="1008"/>
    <col min="9221" max="9221" width="1.77734375" style="1008" customWidth="1"/>
    <col min="9222" max="9222" width="11.109375" style="1008" customWidth="1"/>
    <col min="9223" max="9224" width="8.88671875" style="1008"/>
    <col min="9225" max="9225" width="7.109375" style="1008" customWidth="1"/>
    <col min="9226" max="9226" width="6.44140625" style="1008" customWidth="1"/>
    <col min="9227" max="9227" width="8.88671875" style="1008"/>
    <col min="9228" max="9228" width="6.77734375" style="1008" customWidth="1"/>
    <col min="9229" max="9229" width="5.88671875" style="1008" customWidth="1"/>
    <col min="9230" max="9230" width="6.77734375" style="1008" customWidth="1"/>
    <col min="9231" max="9231" width="5.33203125" style="1008" customWidth="1"/>
    <col min="9232" max="9232" width="8.77734375" style="1008" bestFit="1" customWidth="1"/>
    <col min="9233" max="9233" width="8" style="1008" customWidth="1"/>
    <col min="9234" max="9473" width="8.88671875" style="1008"/>
    <col min="9474" max="9474" width="7.109375" style="1008" customWidth="1"/>
    <col min="9475" max="9476" width="8.88671875" style="1008"/>
    <col min="9477" max="9477" width="1.77734375" style="1008" customWidth="1"/>
    <col min="9478" max="9478" width="11.109375" style="1008" customWidth="1"/>
    <col min="9479" max="9480" width="8.88671875" style="1008"/>
    <col min="9481" max="9481" width="7.109375" style="1008" customWidth="1"/>
    <col min="9482" max="9482" width="6.44140625" style="1008" customWidth="1"/>
    <col min="9483" max="9483" width="8.88671875" style="1008"/>
    <col min="9484" max="9484" width="6.77734375" style="1008" customWidth="1"/>
    <col min="9485" max="9485" width="5.88671875" style="1008" customWidth="1"/>
    <col min="9486" max="9486" width="6.77734375" style="1008" customWidth="1"/>
    <col min="9487" max="9487" width="5.33203125" style="1008" customWidth="1"/>
    <col min="9488" max="9488" width="8.77734375" style="1008" bestFit="1" customWidth="1"/>
    <col min="9489" max="9489" width="8" style="1008" customWidth="1"/>
    <col min="9490" max="9729" width="8.88671875" style="1008"/>
    <col min="9730" max="9730" width="7.109375" style="1008" customWidth="1"/>
    <col min="9731" max="9732" width="8.88671875" style="1008"/>
    <col min="9733" max="9733" width="1.77734375" style="1008" customWidth="1"/>
    <col min="9734" max="9734" width="11.109375" style="1008" customWidth="1"/>
    <col min="9735" max="9736" width="8.88671875" style="1008"/>
    <col min="9737" max="9737" width="7.109375" style="1008" customWidth="1"/>
    <col min="9738" max="9738" width="6.44140625" style="1008" customWidth="1"/>
    <col min="9739" max="9739" width="8.88671875" style="1008"/>
    <col min="9740" max="9740" width="6.77734375" style="1008" customWidth="1"/>
    <col min="9741" max="9741" width="5.88671875" style="1008" customWidth="1"/>
    <col min="9742" max="9742" width="6.77734375" style="1008" customWidth="1"/>
    <col min="9743" max="9743" width="5.33203125" style="1008" customWidth="1"/>
    <col min="9744" max="9744" width="8.77734375" style="1008" bestFit="1" customWidth="1"/>
    <col min="9745" max="9745" width="8" style="1008" customWidth="1"/>
    <col min="9746" max="9985" width="8.88671875" style="1008"/>
    <col min="9986" max="9986" width="7.109375" style="1008" customWidth="1"/>
    <col min="9987" max="9988" width="8.88671875" style="1008"/>
    <col min="9989" max="9989" width="1.77734375" style="1008" customWidth="1"/>
    <col min="9990" max="9990" width="11.109375" style="1008" customWidth="1"/>
    <col min="9991" max="9992" width="8.88671875" style="1008"/>
    <col min="9993" max="9993" width="7.109375" style="1008" customWidth="1"/>
    <col min="9994" max="9994" width="6.44140625" style="1008" customWidth="1"/>
    <col min="9995" max="9995" width="8.88671875" style="1008"/>
    <col min="9996" max="9996" width="6.77734375" style="1008" customWidth="1"/>
    <col min="9997" max="9997" width="5.88671875" style="1008" customWidth="1"/>
    <col min="9998" max="9998" width="6.77734375" style="1008" customWidth="1"/>
    <col min="9999" max="9999" width="5.33203125" style="1008" customWidth="1"/>
    <col min="10000" max="10000" width="8.77734375" style="1008" bestFit="1" customWidth="1"/>
    <col min="10001" max="10001" width="8" style="1008" customWidth="1"/>
    <col min="10002" max="10241" width="8.88671875" style="1008"/>
    <col min="10242" max="10242" width="7.109375" style="1008" customWidth="1"/>
    <col min="10243" max="10244" width="8.88671875" style="1008"/>
    <col min="10245" max="10245" width="1.77734375" style="1008" customWidth="1"/>
    <col min="10246" max="10246" width="11.109375" style="1008" customWidth="1"/>
    <col min="10247" max="10248" width="8.88671875" style="1008"/>
    <col min="10249" max="10249" width="7.109375" style="1008" customWidth="1"/>
    <col min="10250" max="10250" width="6.44140625" style="1008" customWidth="1"/>
    <col min="10251" max="10251" width="8.88671875" style="1008"/>
    <col min="10252" max="10252" width="6.77734375" style="1008" customWidth="1"/>
    <col min="10253" max="10253" width="5.88671875" style="1008" customWidth="1"/>
    <col min="10254" max="10254" width="6.77734375" style="1008" customWidth="1"/>
    <col min="10255" max="10255" width="5.33203125" style="1008" customWidth="1"/>
    <col min="10256" max="10256" width="8.77734375" style="1008" bestFit="1" customWidth="1"/>
    <col min="10257" max="10257" width="8" style="1008" customWidth="1"/>
    <col min="10258" max="10497" width="8.88671875" style="1008"/>
    <col min="10498" max="10498" width="7.109375" style="1008" customWidth="1"/>
    <col min="10499" max="10500" width="8.88671875" style="1008"/>
    <col min="10501" max="10501" width="1.77734375" style="1008" customWidth="1"/>
    <col min="10502" max="10502" width="11.109375" style="1008" customWidth="1"/>
    <col min="10503" max="10504" width="8.88671875" style="1008"/>
    <col min="10505" max="10505" width="7.109375" style="1008" customWidth="1"/>
    <col min="10506" max="10506" width="6.44140625" style="1008" customWidth="1"/>
    <col min="10507" max="10507" width="8.88671875" style="1008"/>
    <col min="10508" max="10508" width="6.77734375" style="1008" customWidth="1"/>
    <col min="10509" max="10509" width="5.88671875" style="1008" customWidth="1"/>
    <col min="10510" max="10510" width="6.77734375" style="1008" customWidth="1"/>
    <col min="10511" max="10511" width="5.33203125" style="1008" customWidth="1"/>
    <col min="10512" max="10512" width="8.77734375" style="1008" bestFit="1" customWidth="1"/>
    <col min="10513" max="10513" width="8" style="1008" customWidth="1"/>
    <col min="10514" max="10753" width="8.88671875" style="1008"/>
    <col min="10754" max="10754" width="7.109375" style="1008" customWidth="1"/>
    <col min="10755" max="10756" width="8.88671875" style="1008"/>
    <col min="10757" max="10757" width="1.77734375" style="1008" customWidth="1"/>
    <col min="10758" max="10758" width="11.109375" style="1008" customWidth="1"/>
    <col min="10759" max="10760" width="8.88671875" style="1008"/>
    <col min="10761" max="10761" width="7.109375" style="1008" customWidth="1"/>
    <col min="10762" max="10762" width="6.44140625" style="1008" customWidth="1"/>
    <col min="10763" max="10763" width="8.88671875" style="1008"/>
    <col min="10764" max="10764" width="6.77734375" style="1008" customWidth="1"/>
    <col min="10765" max="10765" width="5.88671875" style="1008" customWidth="1"/>
    <col min="10766" max="10766" width="6.77734375" style="1008" customWidth="1"/>
    <col min="10767" max="10767" width="5.33203125" style="1008" customWidth="1"/>
    <col min="10768" max="10768" width="8.77734375" style="1008" bestFit="1" customWidth="1"/>
    <col min="10769" max="10769" width="8" style="1008" customWidth="1"/>
    <col min="10770" max="11009" width="8.88671875" style="1008"/>
    <col min="11010" max="11010" width="7.109375" style="1008" customWidth="1"/>
    <col min="11011" max="11012" width="8.88671875" style="1008"/>
    <col min="11013" max="11013" width="1.77734375" style="1008" customWidth="1"/>
    <col min="11014" max="11014" width="11.109375" style="1008" customWidth="1"/>
    <col min="11015" max="11016" width="8.88671875" style="1008"/>
    <col min="11017" max="11017" width="7.109375" style="1008" customWidth="1"/>
    <col min="11018" max="11018" width="6.44140625" style="1008" customWidth="1"/>
    <col min="11019" max="11019" width="8.88671875" style="1008"/>
    <col min="11020" max="11020" width="6.77734375" style="1008" customWidth="1"/>
    <col min="11021" max="11021" width="5.88671875" style="1008" customWidth="1"/>
    <col min="11022" max="11022" width="6.77734375" style="1008" customWidth="1"/>
    <col min="11023" max="11023" width="5.33203125" style="1008" customWidth="1"/>
    <col min="11024" max="11024" width="8.77734375" style="1008" bestFit="1" customWidth="1"/>
    <col min="11025" max="11025" width="8" style="1008" customWidth="1"/>
    <col min="11026" max="11265" width="8.88671875" style="1008"/>
    <col min="11266" max="11266" width="7.109375" style="1008" customWidth="1"/>
    <col min="11267" max="11268" width="8.88671875" style="1008"/>
    <col min="11269" max="11269" width="1.77734375" style="1008" customWidth="1"/>
    <col min="11270" max="11270" width="11.109375" style="1008" customWidth="1"/>
    <col min="11271" max="11272" width="8.88671875" style="1008"/>
    <col min="11273" max="11273" width="7.109375" style="1008" customWidth="1"/>
    <col min="11274" max="11274" width="6.44140625" style="1008" customWidth="1"/>
    <col min="11275" max="11275" width="8.88671875" style="1008"/>
    <col min="11276" max="11276" width="6.77734375" style="1008" customWidth="1"/>
    <col min="11277" max="11277" width="5.88671875" style="1008" customWidth="1"/>
    <col min="11278" max="11278" width="6.77734375" style="1008" customWidth="1"/>
    <col min="11279" max="11279" width="5.33203125" style="1008" customWidth="1"/>
    <col min="11280" max="11280" width="8.77734375" style="1008" bestFit="1" customWidth="1"/>
    <col min="11281" max="11281" width="8" style="1008" customWidth="1"/>
    <col min="11282" max="11521" width="8.88671875" style="1008"/>
    <col min="11522" max="11522" width="7.109375" style="1008" customWidth="1"/>
    <col min="11523" max="11524" width="8.88671875" style="1008"/>
    <col min="11525" max="11525" width="1.77734375" style="1008" customWidth="1"/>
    <col min="11526" max="11526" width="11.109375" style="1008" customWidth="1"/>
    <col min="11527" max="11528" width="8.88671875" style="1008"/>
    <col min="11529" max="11529" width="7.109375" style="1008" customWidth="1"/>
    <col min="11530" max="11530" width="6.44140625" style="1008" customWidth="1"/>
    <col min="11531" max="11531" width="8.88671875" style="1008"/>
    <col min="11532" max="11532" width="6.77734375" style="1008" customWidth="1"/>
    <col min="11533" max="11533" width="5.88671875" style="1008" customWidth="1"/>
    <col min="11534" max="11534" width="6.77734375" style="1008" customWidth="1"/>
    <col min="11535" max="11535" width="5.33203125" style="1008" customWidth="1"/>
    <col min="11536" max="11536" width="8.77734375" style="1008" bestFit="1" customWidth="1"/>
    <col min="11537" max="11537" width="8" style="1008" customWidth="1"/>
    <col min="11538" max="11777" width="8.88671875" style="1008"/>
    <col min="11778" max="11778" width="7.109375" style="1008" customWidth="1"/>
    <col min="11779" max="11780" width="8.88671875" style="1008"/>
    <col min="11781" max="11781" width="1.77734375" style="1008" customWidth="1"/>
    <col min="11782" max="11782" width="11.109375" style="1008" customWidth="1"/>
    <col min="11783" max="11784" width="8.88671875" style="1008"/>
    <col min="11785" max="11785" width="7.109375" style="1008" customWidth="1"/>
    <col min="11786" max="11786" width="6.44140625" style="1008" customWidth="1"/>
    <col min="11787" max="11787" width="8.88671875" style="1008"/>
    <col min="11788" max="11788" width="6.77734375" style="1008" customWidth="1"/>
    <col min="11789" max="11789" width="5.88671875" style="1008" customWidth="1"/>
    <col min="11790" max="11790" width="6.77734375" style="1008" customWidth="1"/>
    <col min="11791" max="11791" width="5.33203125" style="1008" customWidth="1"/>
    <col min="11792" max="11792" width="8.77734375" style="1008" bestFit="1" customWidth="1"/>
    <col min="11793" max="11793" width="8" style="1008" customWidth="1"/>
    <col min="11794" max="12033" width="8.88671875" style="1008"/>
    <col min="12034" max="12034" width="7.109375" style="1008" customWidth="1"/>
    <col min="12035" max="12036" width="8.88671875" style="1008"/>
    <col min="12037" max="12037" width="1.77734375" style="1008" customWidth="1"/>
    <col min="12038" max="12038" width="11.109375" style="1008" customWidth="1"/>
    <col min="12039" max="12040" width="8.88671875" style="1008"/>
    <col min="12041" max="12041" width="7.109375" style="1008" customWidth="1"/>
    <col min="12042" max="12042" width="6.44140625" style="1008" customWidth="1"/>
    <col min="12043" max="12043" width="8.88671875" style="1008"/>
    <col min="12044" max="12044" width="6.77734375" style="1008" customWidth="1"/>
    <col min="12045" max="12045" width="5.88671875" style="1008" customWidth="1"/>
    <col min="12046" max="12046" width="6.77734375" style="1008" customWidth="1"/>
    <col min="12047" max="12047" width="5.33203125" style="1008" customWidth="1"/>
    <col min="12048" max="12048" width="8.77734375" style="1008" bestFit="1" customWidth="1"/>
    <col min="12049" max="12049" width="8" style="1008" customWidth="1"/>
    <col min="12050" max="12289" width="8.88671875" style="1008"/>
    <col min="12290" max="12290" width="7.109375" style="1008" customWidth="1"/>
    <col min="12291" max="12292" width="8.88671875" style="1008"/>
    <col min="12293" max="12293" width="1.77734375" style="1008" customWidth="1"/>
    <col min="12294" max="12294" width="11.109375" style="1008" customWidth="1"/>
    <col min="12295" max="12296" width="8.88671875" style="1008"/>
    <col min="12297" max="12297" width="7.109375" style="1008" customWidth="1"/>
    <col min="12298" max="12298" width="6.44140625" style="1008" customWidth="1"/>
    <col min="12299" max="12299" width="8.88671875" style="1008"/>
    <col min="12300" max="12300" width="6.77734375" style="1008" customWidth="1"/>
    <col min="12301" max="12301" width="5.88671875" style="1008" customWidth="1"/>
    <col min="12302" max="12302" width="6.77734375" style="1008" customWidth="1"/>
    <col min="12303" max="12303" width="5.33203125" style="1008" customWidth="1"/>
    <col min="12304" max="12304" width="8.77734375" style="1008" bestFit="1" customWidth="1"/>
    <col min="12305" max="12305" width="8" style="1008" customWidth="1"/>
    <col min="12306" max="12545" width="8.88671875" style="1008"/>
    <col min="12546" max="12546" width="7.109375" style="1008" customWidth="1"/>
    <col min="12547" max="12548" width="8.88671875" style="1008"/>
    <col min="12549" max="12549" width="1.77734375" style="1008" customWidth="1"/>
    <col min="12550" max="12550" width="11.109375" style="1008" customWidth="1"/>
    <col min="12551" max="12552" width="8.88671875" style="1008"/>
    <col min="12553" max="12553" width="7.109375" style="1008" customWidth="1"/>
    <col min="12554" max="12554" width="6.44140625" style="1008" customWidth="1"/>
    <col min="12555" max="12555" width="8.88671875" style="1008"/>
    <col min="12556" max="12556" width="6.77734375" style="1008" customWidth="1"/>
    <col min="12557" max="12557" width="5.88671875" style="1008" customWidth="1"/>
    <col min="12558" max="12558" width="6.77734375" style="1008" customWidth="1"/>
    <col min="12559" max="12559" width="5.33203125" style="1008" customWidth="1"/>
    <col min="12560" max="12560" width="8.77734375" style="1008" bestFit="1" customWidth="1"/>
    <col min="12561" max="12561" width="8" style="1008" customWidth="1"/>
    <col min="12562" max="12801" width="8.88671875" style="1008"/>
    <col min="12802" max="12802" width="7.109375" style="1008" customWidth="1"/>
    <col min="12803" max="12804" width="8.88671875" style="1008"/>
    <col min="12805" max="12805" width="1.77734375" style="1008" customWidth="1"/>
    <col min="12806" max="12806" width="11.109375" style="1008" customWidth="1"/>
    <col min="12807" max="12808" width="8.88671875" style="1008"/>
    <col min="12809" max="12809" width="7.109375" style="1008" customWidth="1"/>
    <col min="12810" max="12810" width="6.44140625" style="1008" customWidth="1"/>
    <col min="12811" max="12811" width="8.88671875" style="1008"/>
    <col min="12812" max="12812" width="6.77734375" style="1008" customWidth="1"/>
    <col min="12813" max="12813" width="5.88671875" style="1008" customWidth="1"/>
    <col min="12814" max="12814" width="6.77734375" style="1008" customWidth="1"/>
    <col min="12815" max="12815" width="5.33203125" style="1008" customWidth="1"/>
    <col min="12816" max="12816" width="8.77734375" style="1008" bestFit="1" customWidth="1"/>
    <col min="12817" max="12817" width="8" style="1008" customWidth="1"/>
    <col min="12818" max="13057" width="8.88671875" style="1008"/>
    <col min="13058" max="13058" width="7.109375" style="1008" customWidth="1"/>
    <col min="13059" max="13060" width="8.88671875" style="1008"/>
    <col min="13061" max="13061" width="1.77734375" style="1008" customWidth="1"/>
    <col min="13062" max="13062" width="11.109375" style="1008" customWidth="1"/>
    <col min="13063" max="13064" width="8.88671875" style="1008"/>
    <col min="13065" max="13065" width="7.109375" style="1008" customWidth="1"/>
    <col min="13066" max="13066" width="6.44140625" style="1008" customWidth="1"/>
    <col min="13067" max="13067" width="8.88671875" style="1008"/>
    <col min="13068" max="13068" width="6.77734375" style="1008" customWidth="1"/>
    <col min="13069" max="13069" width="5.88671875" style="1008" customWidth="1"/>
    <col min="13070" max="13070" width="6.77734375" style="1008" customWidth="1"/>
    <col min="13071" max="13071" width="5.33203125" style="1008" customWidth="1"/>
    <col min="13072" max="13072" width="8.77734375" style="1008" bestFit="1" customWidth="1"/>
    <col min="13073" max="13073" width="8" style="1008" customWidth="1"/>
    <col min="13074" max="13313" width="8.88671875" style="1008"/>
    <col min="13314" max="13314" width="7.109375" style="1008" customWidth="1"/>
    <col min="13315" max="13316" width="8.88671875" style="1008"/>
    <col min="13317" max="13317" width="1.77734375" style="1008" customWidth="1"/>
    <col min="13318" max="13318" width="11.109375" style="1008" customWidth="1"/>
    <col min="13319" max="13320" width="8.88671875" style="1008"/>
    <col min="13321" max="13321" width="7.109375" style="1008" customWidth="1"/>
    <col min="13322" max="13322" width="6.44140625" style="1008" customWidth="1"/>
    <col min="13323" max="13323" width="8.88671875" style="1008"/>
    <col min="13324" max="13324" width="6.77734375" style="1008" customWidth="1"/>
    <col min="13325" max="13325" width="5.88671875" style="1008" customWidth="1"/>
    <col min="13326" max="13326" width="6.77734375" style="1008" customWidth="1"/>
    <col min="13327" max="13327" width="5.33203125" style="1008" customWidth="1"/>
    <col min="13328" max="13328" width="8.77734375" style="1008" bestFit="1" customWidth="1"/>
    <col min="13329" max="13329" width="8" style="1008" customWidth="1"/>
    <col min="13330" max="13569" width="8.88671875" style="1008"/>
    <col min="13570" max="13570" width="7.109375" style="1008" customWidth="1"/>
    <col min="13571" max="13572" width="8.88671875" style="1008"/>
    <col min="13573" max="13573" width="1.77734375" style="1008" customWidth="1"/>
    <col min="13574" max="13574" width="11.109375" style="1008" customWidth="1"/>
    <col min="13575" max="13576" width="8.88671875" style="1008"/>
    <col min="13577" max="13577" width="7.109375" style="1008" customWidth="1"/>
    <col min="13578" max="13578" width="6.44140625" style="1008" customWidth="1"/>
    <col min="13579" max="13579" width="8.88671875" style="1008"/>
    <col min="13580" max="13580" width="6.77734375" style="1008" customWidth="1"/>
    <col min="13581" max="13581" width="5.88671875" style="1008" customWidth="1"/>
    <col min="13582" max="13582" width="6.77734375" style="1008" customWidth="1"/>
    <col min="13583" max="13583" width="5.33203125" style="1008" customWidth="1"/>
    <col min="13584" max="13584" width="8.77734375" style="1008" bestFit="1" customWidth="1"/>
    <col min="13585" max="13585" width="8" style="1008" customWidth="1"/>
    <col min="13586" max="13825" width="8.88671875" style="1008"/>
    <col min="13826" max="13826" width="7.109375" style="1008" customWidth="1"/>
    <col min="13827" max="13828" width="8.88671875" style="1008"/>
    <col min="13829" max="13829" width="1.77734375" style="1008" customWidth="1"/>
    <col min="13830" max="13830" width="11.109375" style="1008" customWidth="1"/>
    <col min="13831" max="13832" width="8.88671875" style="1008"/>
    <col min="13833" max="13833" width="7.109375" style="1008" customWidth="1"/>
    <col min="13834" max="13834" width="6.44140625" style="1008" customWidth="1"/>
    <col min="13835" max="13835" width="8.88671875" style="1008"/>
    <col min="13836" max="13836" width="6.77734375" style="1008" customWidth="1"/>
    <col min="13837" max="13837" width="5.88671875" style="1008" customWidth="1"/>
    <col min="13838" max="13838" width="6.77734375" style="1008" customWidth="1"/>
    <col min="13839" max="13839" width="5.33203125" style="1008" customWidth="1"/>
    <col min="13840" max="13840" width="8.77734375" style="1008" bestFit="1" customWidth="1"/>
    <col min="13841" max="13841" width="8" style="1008" customWidth="1"/>
    <col min="13842" max="14081" width="8.88671875" style="1008"/>
    <col min="14082" max="14082" width="7.109375" style="1008" customWidth="1"/>
    <col min="14083" max="14084" width="8.88671875" style="1008"/>
    <col min="14085" max="14085" width="1.77734375" style="1008" customWidth="1"/>
    <col min="14086" max="14086" width="11.109375" style="1008" customWidth="1"/>
    <col min="14087" max="14088" width="8.88671875" style="1008"/>
    <col min="14089" max="14089" width="7.109375" style="1008" customWidth="1"/>
    <col min="14090" max="14090" width="6.44140625" style="1008" customWidth="1"/>
    <col min="14091" max="14091" width="8.88671875" style="1008"/>
    <col min="14092" max="14092" width="6.77734375" style="1008" customWidth="1"/>
    <col min="14093" max="14093" width="5.88671875" style="1008" customWidth="1"/>
    <col min="14094" max="14094" width="6.77734375" style="1008" customWidth="1"/>
    <col min="14095" max="14095" width="5.33203125" style="1008" customWidth="1"/>
    <col min="14096" max="14096" width="8.77734375" style="1008" bestFit="1" customWidth="1"/>
    <col min="14097" max="14097" width="8" style="1008" customWidth="1"/>
    <col min="14098" max="14337" width="8.88671875" style="1008"/>
    <col min="14338" max="14338" width="7.109375" style="1008" customWidth="1"/>
    <col min="14339" max="14340" width="8.88671875" style="1008"/>
    <col min="14341" max="14341" width="1.77734375" style="1008" customWidth="1"/>
    <col min="14342" max="14342" width="11.109375" style="1008" customWidth="1"/>
    <col min="14343" max="14344" width="8.88671875" style="1008"/>
    <col min="14345" max="14345" width="7.109375" style="1008" customWidth="1"/>
    <col min="14346" max="14346" width="6.44140625" style="1008" customWidth="1"/>
    <col min="14347" max="14347" width="8.88671875" style="1008"/>
    <col min="14348" max="14348" width="6.77734375" style="1008" customWidth="1"/>
    <col min="14349" max="14349" width="5.88671875" style="1008" customWidth="1"/>
    <col min="14350" max="14350" width="6.77734375" style="1008" customWidth="1"/>
    <col min="14351" max="14351" width="5.33203125" style="1008" customWidth="1"/>
    <col min="14352" max="14352" width="8.77734375" style="1008" bestFit="1" customWidth="1"/>
    <col min="14353" max="14353" width="8" style="1008" customWidth="1"/>
    <col min="14354" max="14593" width="8.88671875" style="1008"/>
    <col min="14594" max="14594" width="7.109375" style="1008" customWidth="1"/>
    <col min="14595" max="14596" width="8.88671875" style="1008"/>
    <col min="14597" max="14597" width="1.77734375" style="1008" customWidth="1"/>
    <col min="14598" max="14598" width="11.109375" style="1008" customWidth="1"/>
    <col min="14599" max="14600" width="8.88671875" style="1008"/>
    <col min="14601" max="14601" width="7.109375" style="1008" customWidth="1"/>
    <col min="14602" max="14602" width="6.44140625" style="1008" customWidth="1"/>
    <col min="14603" max="14603" width="8.88671875" style="1008"/>
    <col min="14604" max="14604" width="6.77734375" style="1008" customWidth="1"/>
    <col min="14605" max="14605" width="5.88671875" style="1008" customWidth="1"/>
    <col min="14606" max="14606" width="6.77734375" style="1008" customWidth="1"/>
    <col min="14607" max="14607" width="5.33203125" style="1008" customWidth="1"/>
    <col min="14608" max="14608" width="8.77734375" style="1008" bestFit="1" customWidth="1"/>
    <col min="14609" max="14609" width="8" style="1008" customWidth="1"/>
    <col min="14610" max="14849" width="8.88671875" style="1008"/>
    <col min="14850" max="14850" width="7.109375" style="1008" customWidth="1"/>
    <col min="14851" max="14852" width="8.88671875" style="1008"/>
    <col min="14853" max="14853" width="1.77734375" style="1008" customWidth="1"/>
    <col min="14854" max="14854" width="11.109375" style="1008" customWidth="1"/>
    <col min="14855" max="14856" width="8.88671875" style="1008"/>
    <col min="14857" max="14857" width="7.109375" style="1008" customWidth="1"/>
    <col min="14858" max="14858" width="6.44140625" style="1008" customWidth="1"/>
    <col min="14859" max="14859" width="8.88671875" style="1008"/>
    <col min="14860" max="14860" width="6.77734375" style="1008" customWidth="1"/>
    <col min="14861" max="14861" width="5.88671875" style="1008" customWidth="1"/>
    <col min="14862" max="14862" width="6.77734375" style="1008" customWidth="1"/>
    <col min="14863" max="14863" width="5.33203125" style="1008" customWidth="1"/>
    <col min="14864" max="14864" width="8.77734375" style="1008" bestFit="1" customWidth="1"/>
    <col min="14865" max="14865" width="8" style="1008" customWidth="1"/>
    <col min="14866" max="15105" width="8.88671875" style="1008"/>
    <col min="15106" max="15106" width="7.109375" style="1008" customWidth="1"/>
    <col min="15107" max="15108" width="8.88671875" style="1008"/>
    <col min="15109" max="15109" width="1.77734375" style="1008" customWidth="1"/>
    <col min="15110" max="15110" width="11.109375" style="1008" customWidth="1"/>
    <col min="15111" max="15112" width="8.88671875" style="1008"/>
    <col min="15113" max="15113" width="7.109375" style="1008" customWidth="1"/>
    <col min="15114" max="15114" width="6.44140625" style="1008" customWidth="1"/>
    <col min="15115" max="15115" width="8.88671875" style="1008"/>
    <col min="15116" max="15116" width="6.77734375" style="1008" customWidth="1"/>
    <col min="15117" max="15117" width="5.88671875" style="1008" customWidth="1"/>
    <col min="15118" max="15118" width="6.77734375" style="1008" customWidth="1"/>
    <col min="15119" max="15119" width="5.33203125" style="1008" customWidth="1"/>
    <col min="15120" max="15120" width="8.77734375" style="1008" bestFit="1" customWidth="1"/>
    <col min="15121" max="15121" width="8" style="1008" customWidth="1"/>
    <col min="15122" max="15361" width="8.88671875" style="1008"/>
    <col min="15362" max="15362" width="7.109375" style="1008" customWidth="1"/>
    <col min="15363" max="15364" width="8.88671875" style="1008"/>
    <col min="15365" max="15365" width="1.77734375" style="1008" customWidth="1"/>
    <col min="15366" max="15366" width="11.109375" style="1008" customWidth="1"/>
    <col min="15367" max="15368" width="8.88671875" style="1008"/>
    <col min="15369" max="15369" width="7.109375" style="1008" customWidth="1"/>
    <col min="15370" max="15370" width="6.44140625" style="1008" customWidth="1"/>
    <col min="15371" max="15371" width="8.88671875" style="1008"/>
    <col min="15372" max="15372" width="6.77734375" style="1008" customWidth="1"/>
    <col min="15373" max="15373" width="5.88671875" style="1008" customWidth="1"/>
    <col min="15374" max="15374" width="6.77734375" style="1008" customWidth="1"/>
    <col min="15375" max="15375" width="5.33203125" style="1008" customWidth="1"/>
    <col min="15376" max="15376" width="8.77734375" style="1008" bestFit="1" customWidth="1"/>
    <col min="15377" max="15377" width="8" style="1008" customWidth="1"/>
    <col min="15378" max="15617" width="8.88671875" style="1008"/>
    <col min="15618" max="15618" width="7.109375" style="1008" customWidth="1"/>
    <col min="15619" max="15620" width="8.88671875" style="1008"/>
    <col min="15621" max="15621" width="1.77734375" style="1008" customWidth="1"/>
    <col min="15622" max="15622" width="11.109375" style="1008" customWidth="1"/>
    <col min="15623" max="15624" width="8.88671875" style="1008"/>
    <col min="15625" max="15625" width="7.109375" style="1008" customWidth="1"/>
    <col min="15626" max="15626" width="6.44140625" style="1008" customWidth="1"/>
    <col min="15627" max="15627" width="8.88671875" style="1008"/>
    <col min="15628" max="15628" width="6.77734375" style="1008" customWidth="1"/>
    <col min="15629" max="15629" width="5.88671875" style="1008" customWidth="1"/>
    <col min="15630" max="15630" width="6.77734375" style="1008" customWidth="1"/>
    <col min="15631" max="15631" width="5.33203125" style="1008" customWidth="1"/>
    <col min="15632" max="15632" width="8.77734375" style="1008" bestFit="1" customWidth="1"/>
    <col min="15633" max="15633" width="8" style="1008" customWidth="1"/>
    <col min="15634" max="15873" width="8.88671875" style="1008"/>
    <col min="15874" max="15874" width="7.109375" style="1008" customWidth="1"/>
    <col min="15875" max="15876" width="8.88671875" style="1008"/>
    <col min="15877" max="15877" width="1.77734375" style="1008" customWidth="1"/>
    <col min="15878" max="15878" width="11.109375" style="1008" customWidth="1"/>
    <col min="15879" max="15880" width="8.88671875" style="1008"/>
    <col min="15881" max="15881" width="7.109375" style="1008" customWidth="1"/>
    <col min="15882" max="15882" width="6.44140625" style="1008" customWidth="1"/>
    <col min="15883" max="15883" width="8.88671875" style="1008"/>
    <col min="15884" max="15884" width="6.77734375" style="1008" customWidth="1"/>
    <col min="15885" max="15885" width="5.88671875" style="1008" customWidth="1"/>
    <col min="15886" max="15886" width="6.77734375" style="1008" customWidth="1"/>
    <col min="15887" max="15887" width="5.33203125" style="1008" customWidth="1"/>
    <col min="15888" max="15888" width="8.77734375" style="1008" bestFit="1" customWidth="1"/>
    <col min="15889" max="15889" width="8" style="1008" customWidth="1"/>
    <col min="15890" max="16129" width="8.88671875" style="1008"/>
    <col min="16130" max="16130" width="7.109375" style="1008" customWidth="1"/>
    <col min="16131" max="16132" width="8.88671875" style="1008"/>
    <col min="16133" max="16133" width="1.77734375" style="1008" customWidth="1"/>
    <col min="16134" max="16134" width="11.109375" style="1008" customWidth="1"/>
    <col min="16135" max="16136" width="8.88671875" style="1008"/>
    <col min="16137" max="16137" width="7.109375" style="1008" customWidth="1"/>
    <col min="16138" max="16138" width="6.44140625" style="1008" customWidth="1"/>
    <col min="16139" max="16139" width="8.88671875" style="1008"/>
    <col min="16140" max="16140" width="6.77734375" style="1008" customWidth="1"/>
    <col min="16141" max="16141" width="5.88671875" style="1008" customWidth="1"/>
    <col min="16142" max="16142" width="6.77734375" style="1008" customWidth="1"/>
    <col min="16143" max="16143" width="5.33203125" style="1008" customWidth="1"/>
    <col min="16144" max="16144" width="8.77734375" style="1008" bestFit="1" customWidth="1"/>
    <col min="16145" max="16145" width="8" style="1008" customWidth="1"/>
    <col min="16146" max="16384" width="8.88671875" style="1008"/>
  </cols>
  <sheetData>
    <row r="1" spans="1:21" ht="19.5" customHeight="1">
      <c r="A1" s="1211" t="s">
        <v>22</v>
      </c>
      <c r="B1" s="1211" t="str">
        <f>IFERROR(VLOOKUP($R$2,ListTNBT!$A$6:$Q$800,3,0),"")</f>
        <v>CP.010033</v>
      </c>
      <c r="C1" s="996"/>
      <c r="D1" s="1738" t="s">
        <v>5645</v>
      </c>
      <c r="E1" s="1738"/>
      <c r="F1" s="1738"/>
      <c r="G1" s="1738"/>
      <c r="H1" s="1738"/>
      <c r="I1" s="1738"/>
      <c r="J1" s="1738"/>
      <c r="K1" s="1738"/>
      <c r="L1" s="1738"/>
      <c r="M1" s="1738"/>
      <c r="N1" s="1738"/>
      <c r="O1" s="1738"/>
      <c r="P1" s="1738"/>
      <c r="Q1" s="996"/>
      <c r="R1" s="996"/>
      <c r="S1" s="996"/>
      <c r="T1" s="996"/>
      <c r="U1" s="996"/>
    </row>
    <row r="2" spans="1:21" ht="18.75" customHeight="1">
      <c r="A2" s="1211" t="s">
        <v>5685</v>
      </c>
      <c r="B2" s="1211" t="str">
        <f>IFERROR(VLOOKUP($R$2,ListTNBT!$A$6:$Q$800,9,0),"")</f>
        <v>M75</v>
      </c>
      <c r="C2" s="996"/>
      <c r="D2" s="1775" t="str">
        <f>BBKT_KTHHBT!E2</f>
        <v xml:space="preserve">     Công trình: Gia cố nâng cấp kênh Bà Xoài từ K0+300÷K0+600 - Hệ thống thủy lợi Nha Trinh, huyện Ninh Hải, tỉnh Ninh Thuận</v>
      </c>
      <c r="E2" s="1775"/>
      <c r="F2" s="1775"/>
      <c r="G2" s="1775"/>
      <c r="H2" s="1775"/>
      <c r="I2" s="1775"/>
      <c r="J2" s="1775"/>
      <c r="K2" s="1775"/>
      <c r="L2" s="1775"/>
      <c r="M2" s="1775"/>
      <c r="N2" s="1775"/>
      <c r="O2" s="1775"/>
      <c r="P2" s="1775"/>
      <c r="Q2" s="996"/>
      <c r="R2" s="1046">
        <v>1</v>
      </c>
      <c r="S2" s="996"/>
      <c r="T2" s="996"/>
      <c r="U2" s="996"/>
    </row>
    <row r="3" spans="1:21" ht="18.75" customHeight="1">
      <c r="A3" s="1211" t="s">
        <v>5684</v>
      </c>
      <c r="B3" s="1211" t="str">
        <f>IFERROR(IF(VLOOKUP($R$2,ListTNBT!$A$6:$Q$800,10,0)&gt;0,VLOOKUP($R$2,ListTNBT!$A$6:$Q$800,10,0),""),"")</f>
        <v/>
      </c>
      <c r="C3" s="996"/>
      <c r="D3" s="1775" t="str">
        <f>BBKT_KTHHBT!E3</f>
        <v xml:space="preserve">     Địa điểm XD: Huyện Ninh Hải - Tỉnh Ninh Thuận</v>
      </c>
      <c r="E3" s="1775"/>
      <c r="F3" s="1775"/>
      <c r="G3" s="1775"/>
      <c r="H3" s="1775"/>
      <c r="I3" s="1775"/>
      <c r="J3" s="1775"/>
      <c r="K3" s="1775"/>
      <c r="L3" s="1775"/>
      <c r="M3" s="1775"/>
      <c r="N3" s="1775"/>
      <c r="O3" s="1775"/>
      <c r="P3" s="1775"/>
      <c r="Q3" s="996"/>
      <c r="R3" s="996"/>
      <c r="S3" s="996"/>
      <c r="T3" s="996"/>
      <c r="U3" s="996"/>
    </row>
    <row r="4" spans="1:21" ht="16.5" customHeight="1">
      <c r="A4" s="1211" t="s">
        <v>5652</v>
      </c>
      <c r="B4" s="1211" t="str">
        <f>IFERROR(IF(VLOOKUP($R$2,ListTNBT!$A$6:$Q$800,11,0)&gt;0,"độ sụt "&amp;VLOOKUP($R$2,ListTNBT!$A$6:$Q$800,11,0),""),"")</f>
        <v/>
      </c>
      <c r="C4" s="996"/>
      <c r="D4" s="996"/>
      <c r="E4" s="996"/>
      <c r="F4" s="996"/>
      <c r="G4" s="996"/>
      <c r="H4" s="996"/>
      <c r="I4" s="996"/>
      <c r="J4" s="996"/>
      <c r="K4" s="996"/>
      <c r="L4" s="996"/>
      <c r="M4" s="996"/>
      <c r="N4" s="996"/>
      <c r="O4" s="996"/>
      <c r="P4" s="996"/>
      <c r="Q4" s="996"/>
      <c r="R4" s="996"/>
      <c r="S4" s="996"/>
      <c r="T4" s="996"/>
      <c r="U4" s="996"/>
    </row>
    <row r="5" spans="1:21" ht="12.75" customHeight="1">
      <c r="A5" s="996"/>
      <c r="B5" s="996"/>
      <c r="C5" s="996"/>
      <c r="D5" s="1009"/>
      <c r="E5" s="1009"/>
      <c r="F5" s="1009"/>
      <c r="G5" s="1009"/>
      <c r="H5" s="1009"/>
      <c r="I5" s="1009"/>
      <c r="J5" s="1009"/>
      <c r="K5" s="1009"/>
      <c r="L5" s="1009"/>
      <c r="M5" s="1009"/>
      <c r="N5" s="1009"/>
      <c r="O5" s="1009"/>
      <c r="P5" s="1009"/>
      <c r="Q5" s="996"/>
      <c r="R5" s="996"/>
      <c r="S5" s="996"/>
      <c r="T5" s="996"/>
      <c r="U5" s="996"/>
    </row>
    <row r="6" spans="1:21" ht="18" customHeight="1">
      <c r="A6" s="996"/>
      <c r="B6" s="996"/>
      <c r="C6" s="996"/>
      <c r="D6" s="1009"/>
      <c r="E6" s="1759" t="s">
        <v>3927</v>
      </c>
      <c r="F6" s="1759"/>
      <c r="G6" s="1759"/>
      <c r="H6" s="1759"/>
      <c r="I6" s="1759"/>
      <c r="J6" s="1759"/>
      <c r="K6" s="1759"/>
      <c r="L6" s="1759"/>
      <c r="M6" s="1759"/>
      <c r="N6" s="1759"/>
      <c r="O6" s="1759"/>
      <c r="P6" s="1009"/>
      <c r="Q6" s="996"/>
      <c r="R6" s="996"/>
      <c r="S6" s="996"/>
      <c r="T6" s="996"/>
      <c r="U6" s="996"/>
    </row>
    <row r="7" spans="1:21" ht="18" customHeight="1">
      <c r="A7" s="996"/>
      <c r="B7" s="996"/>
      <c r="C7" s="996"/>
      <c r="D7" s="1009"/>
      <c r="E7" s="1776" t="s">
        <v>178</v>
      </c>
      <c r="F7" s="1776"/>
      <c r="G7" s="1776"/>
      <c r="H7" s="1776"/>
      <c r="I7" s="1776"/>
      <c r="J7" s="1776"/>
      <c r="K7" s="1776"/>
      <c r="L7" s="1776"/>
      <c r="M7" s="1776"/>
      <c r="N7" s="1776"/>
      <c r="O7" s="1776"/>
      <c r="P7" s="1009"/>
      <c r="Q7" s="996"/>
      <c r="R7" s="996"/>
      <c r="S7" s="996"/>
      <c r="T7" s="996"/>
      <c r="U7" s="996"/>
    </row>
    <row r="8" spans="1:21" ht="18" customHeight="1">
      <c r="A8" s="996"/>
      <c r="B8" s="996"/>
      <c r="C8" s="996"/>
      <c r="D8" s="1009"/>
      <c r="E8" s="1777" t="s">
        <v>5617</v>
      </c>
      <c r="F8" s="1776"/>
      <c r="G8" s="1776"/>
      <c r="H8" s="1776"/>
      <c r="I8" s="1776"/>
      <c r="J8" s="1776"/>
      <c r="K8" s="1776"/>
      <c r="L8" s="1776"/>
      <c r="M8" s="1776"/>
      <c r="N8" s="1776"/>
      <c r="O8" s="1776"/>
      <c r="P8" s="1009"/>
      <c r="Q8" s="996"/>
      <c r="R8" s="996"/>
      <c r="S8" s="996"/>
      <c r="T8" s="996"/>
      <c r="U8" s="996"/>
    </row>
    <row r="9" spans="1:21" ht="5.25" hidden="1" customHeight="1">
      <c r="A9" s="996"/>
      <c r="B9" s="996"/>
      <c r="C9" s="996"/>
      <c r="D9" s="1009"/>
      <c r="F9" s="1010"/>
      <c r="G9" s="1010"/>
      <c r="H9" s="1010"/>
      <c r="P9" s="1009"/>
      <c r="Q9" s="996"/>
      <c r="R9" s="996"/>
      <c r="S9" s="996"/>
      <c r="T9" s="996"/>
      <c r="U9" s="996"/>
    </row>
    <row r="10" spans="1:21" ht="18.75" customHeight="1">
      <c r="A10" s="996"/>
      <c r="B10" s="996"/>
      <c r="C10" s="996"/>
      <c r="D10" s="1009"/>
      <c r="E10" s="1778" t="s">
        <v>5603</v>
      </c>
      <c r="F10" s="1778"/>
      <c r="G10" s="1778"/>
      <c r="H10" s="1778"/>
      <c r="I10" s="1778"/>
      <c r="J10" s="1778"/>
      <c r="K10" s="1778"/>
      <c r="L10" s="1778"/>
      <c r="M10" s="1778"/>
      <c r="N10" s="1778"/>
      <c r="O10" s="1778"/>
      <c r="P10" s="1009"/>
      <c r="Q10" s="996"/>
      <c r="R10" s="996"/>
      <c r="S10" s="996"/>
      <c r="T10" s="996"/>
      <c r="U10" s="996"/>
    </row>
    <row r="11" spans="1:21" ht="18" customHeight="1">
      <c r="A11" s="996"/>
      <c r="B11" s="996"/>
      <c r="C11" s="996"/>
      <c r="D11" s="1009"/>
      <c r="E11" s="1779" t="str">
        <f>IFERROR("Số: "&amp;TEXT(VLOOKUP($R$2,ListTNBT!$A$6:$Q$800,6,0),"ddmm")&amp;"/BBLM/"&amp;TEXT(VLOOKUP($R$2,ListTNBT!$A$6:$Q$800,6,0),"yyyy"),"Số …../BBLM/…....")</f>
        <v>Số: 1005/BBLM/2020</v>
      </c>
      <c r="F11" s="1779"/>
      <c r="G11" s="1779"/>
      <c r="H11" s="1779"/>
      <c r="I11" s="1779"/>
      <c r="J11" s="1779"/>
      <c r="K11" s="1779"/>
      <c r="L11" s="1779"/>
      <c r="M11" s="1779"/>
      <c r="N11" s="1779"/>
      <c r="O11" s="1779"/>
      <c r="P11" s="1011"/>
      <c r="Q11" s="996"/>
      <c r="R11" s="996"/>
      <c r="S11" s="996"/>
      <c r="T11" s="996"/>
      <c r="U11" s="996"/>
    </row>
    <row r="12" spans="1:21">
      <c r="A12" s="996"/>
      <c r="B12" s="996"/>
      <c r="C12" s="996"/>
      <c r="D12" s="1009"/>
      <c r="F12" s="1780" t="str">
        <f>IFERROR("Hôm nay, ngày "&amp;TEXT(VLOOKUP($R$2,ListTNBT!$A$6:$Q$800,6,0),"dd")&amp;" tháng "&amp;TEXT(VLOOKUP($R$2,ListTNBT!$A$6:$Q$800,6,0),"mm")&amp;" năm "&amp;TEXT(VLOOKUP($R$2,ListTNBT!$A$6:$Q$800,6,0),"yyyy")&amp;", tại hiện trường thi công:"," Hôm nay, ngày … tháng ... năm ......, tại hiện trường thi công: ")</f>
        <v>Hôm nay, ngày 10 tháng 05 năm 2020, tại hiện trường thi công:</v>
      </c>
      <c r="G12" s="1780"/>
      <c r="H12" s="1780"/>
      <c r="I12" s="1780"/>
      <c r="J12" s="1780"/>
      <c r="K12" s="1780"/>
      <c r="L12" s="1780"/>
      <c r="M12" s="1780"/>
      <c r="N12" s="1780"/>
      <c r="O12" s="1780"/>
      <c r="P12" s="1009"/>
      <c r="Q12" s="996"/>
      <c r="R12" s="996"/>
      <c r="S12" s="996"/>
      <c r="T12" s="996"/>
      <c r="U12" s="996"/>
    </row>
    <row r="13" spans="1:21" ht="36.6" customHeight="1">
      <c r="A13" s="996"/>
      <c r="B13" s="996"/>
      <c r="C13" s="996"/>
      <c r="D13" s="1009"/>
      <c r="E13" s="1768" t="str">
        <f>IF(NDtieude1&lt;&gt;"",Tieude1&amp;": "&amp;NDtieude1,"")</f>
        <v>Công trình: Gia cố nâng cấp kênh Bà Xoài từ K0+300÷K0+600 - Hệ thống thủy lợi Nha Trinh, huyện Ninh Hải, tỉnh Ninh Thuận</v>
      </c>
      <c r="F13" s="1768"/>
      <c r="G13" s="1768"/>
      <c r="H13" s="1768"/>
      <c r="I13" s="1768"/>
      <c r="J13" s="1768"/>
      <c r="K13" s="1768"/>
      <c r="L13" s="1768"/>
      <c r="M13" s="1768"/>
      <c r="N13" s="1768"/>
      <c r="O13" s="1768"/>
      <c r="P13" s="1009"/>
      <c r="Q13" s="996"/>
      <c r="R13" s="996"/>
      <c r="S13" s="996"/>
      <c r="T13" s="1209"/>
      <c r="U13" s="1209">
        <f>ROW()</f>
        <v>13</v>
      </c>
    </row>
    <row r="14" spans="1:21" ht="20.100000000000001" hidden="1" customHeight="1">
      <c r="A14" s="996"/>
      <c r="B14" s="996"/>
      <c r="C14" s="996"/>
      <c r="D14" s="1009"/>
      <c r="E14" s="1768" t="str">
        <f>IF(NDtieude2&lt;&gt;"",Tieude2&amp;": "&amp;NDtieude2,"")</f>
        <v/>
      </c>
      <c r="F14" s="1768"/>
      <c r="G14" s="1768"/>
      <c r="H14" s="1768"/>
      <c r="I14" s="1768"/>
      <c r="J14" s="1768"/>
      <c r="K14" s="1768"/>
      <c r="L14" s="1768"/>
      <c r="M14" s="1768"/>
      <c r="N14" s="1768"/>
      <c r="O14" s="1768"/>
      <c r="P14" s="1009"/>
      <c r="Q14" s="996"/>
      <c r="R14" s="996"/>
      <c r="S14" s="996"/>
      <c r="T14" s="1209"/>
      <c r="U14" s="1209">
        <f>ROW()</f>
        <v>14</v>
      </c>
    </row>
    <row r="15" spans="1:21" ht="20.100000000000001" customHeight="1">
      <c r="A15" s="996"/>
      <c r="B15" s="996"/>
      <c r="C15" s="996"/>
      <c r="D15" s="1009"/>
      <c r="E15" s="1768" t="str">
        <f>IF(NDtieude3&lt;&gt;"",Tieude3&amp;": "&amp;NDtieude3,"")</f>
        <v>Hạng mục: Kênh và Công trình trên kênh</v>
      </c>
      <c r="F15" s="1768"/>
      <c r="G15" s="1768"/>
      <c r="H15" s="1768"/>
      <c r="I15" s="1768"/>
      <c r="J15" s="1768"/>
      <c r="K15" s="1768"/>
      <c r="L15" s="1768"/>
      <c r="M15" s="1768"/>
      <c r="N15" s="1768"/>
      <c r="O15" s="1768"/>
      <c r="P15" s="1009"/>
      <c r="Q15" s="996"/>
      <c r="R15" s="996"/>
      <c r="S15" s="996"/>
      <c r="T15" s="1209"/>
      <c r="U15" s="1209">
        <f>ROW()</f>
        <v>15</v>
      </c>
    </row>
    <row r="16" spans="1:21" ht="18" customHeight="1">
      <c r="A16" s="996"/>
      <c r="B16" s="996"/>
      <c r="C16" s="996"/>
      <c r="D16" s="1009"/>
      <c r="E16" s="1768" t="str">
        <f>IF(DDXD&lt;&gt;"","Địa điểm xây dựng : "&amp;DDXD,"")</f>
        <v>Địa điểm xây dựng : Huyện Ninh Hải - Tỉnh Ninh Thuận</v>
      </c>
      <c r="F16" s="1768"/>
      <c r="G16" s="1768"/>
      <c r="H16" s="1768"/>
      <c r="I16" s="1768"/>
      <c r="J16" s="1768"/>
      <c r="K16" s="1768"/>
      <c r="L16" s="1768"/>
      <c r="M16" s="1768"/>
      <c r="N16" s="1768"/>
      <c r="O16" s="1768"/>
      <c r="P16" s="1009"/>
      <c r="Q16" s="996"/>
      <c r="R16" s="996"/>
      <c r="S16" s="996"/>
      <c r="T16" s="1209"/>
      <c r="U16" s="1209"/>
    </row>
    <row r="17" spans="1:21" ht="18" customHeight="1">
      <c r="A17" s="996"/>
      <c r="B17" s="996"/>
      <c r="C17" s="996"/>
      <c r="D17" s="1009"/>
      <c r="E17" s="1769" t="s">
        <v>5646</v>
      </c>
      <c r="F17" s="1769"/>
      <c r="G17" s="1769"/>
      <c r="H17" s="1769"/>
      <c r="I17" s="1769"/>
      <c r="J17" s="1769"/>
      <c r="K17" s="1769"/>
      <c r="L17" s="1769"/>
      <c r="M17" s="1769"/>
      <c r="N17" s="1769"/>
      <c r="O17" s="1769"/>
      <c r="P17" s="1009"/>
      <c r="Q17" s="996"/>
      <c r="R17" s="996"/>
      <c r="S17" s="996"/>
      <c r="T17" s="1209"/>
      <c r="U17" s="1209"/>
    </row>
    <row r="18" spans="1:21" ht="20.45" customHeight="1">
      <c r="A18" s="996"/>
      <c r="B18" s="996"/>
      <c r="C18" s="996"/>
      <c r="D18" s="1009"/>
      <c r="E18" s="1770" t="str">
        <f>"- Đối tượng lấy mẫu: "&amp;IFERROR(VLOOKUP($R$2,ListTNBT!$A$6:$Q$800,4,0),"")</f>
        <v>- Đối tượng lấy mẫu: Vữa lót móng M75</v>
      </c>
      <c r="F18" s="1770"/>
      <c r="G18" s="1770"/>
      <c r="H18" s="1770"/>
      <c r="I18" s="1770"/>
      <c r="J18" s="1770"/>
      <c r="K18" s="1770"/>
      <c r="L18" s="1770"/>
      <c r="M18" s="1770"/>
      <c r="N18" s="1770"/>
      <c r="O18" s="1770"/>
      <c r="P18" s="1009"/>
      <c r="Q18" s="996"/>
      <c r="R18" s="996"/>
      <c r="S18" s="996"/>
      <c r="T18" s="1209">
        <f>ROW()</f>
        <v>18</v>
      </c>
      <c r="U18" s="1209"/>
    </row>
    <row r="19" spans="1:21" ht="20.45" customHeight="1">
      <c r="A19" s="996"/>
      <c r="B19" s="996"/>
      <c r="C19" s="996"/>
      <c r="D19" s="1009"/>
      <c r="E19" s="1771" t="str">
        <f>"- Vị trí xây dựng trên công trình: "&amp;IFERROR(VLOOKUP($R$2,ListTNBT!$A$6:$Q$800,5,0),"")</f>
        <v>- Vị trí xây dựng trên công trình: Đoạn Km0+300 đến Km0+400</v>
      </c>
      <c r="F19" s="1772"/>
      <c r="G19" s="1772"/>
      <c r="H19" s="1772"/>
      <c r="I19" s="1772"/>
      <c r="J19" s="1772"/>
      <c r="K19" s="1772"/>
      <c r="L19" s="1772"/>
      <c r="M19" s="1772"/>
      <c r="N19" s="1772"/>
      <c r="O19" s="1772"/>
      <c r="P19" s="1009"/>
      <c r="Q19" s="996"/>
      <c r="R19" s="996"/>
      <c r="S19" s="996"/>
      <c r="T19" s="1209">
        <f>ROW()</f>
        <v>19</v>
      </c>
      <c r="U19" s="1209"/>
    </row>
    <row r="20" spans="1:21" ht="20.45" customHeight="1">
      <c r="A20" s="996"/>
      <c r="B20" s="996"/>
      <c r="C20" s="996"/>
      <c r="D20" s="1009"/>
      <c r="E20" s="1773" t="s">
        <v>5647</v>
      </c>
      <c r="F20" s="1773"/>
      <c r="G20" s="1773"/>
      <c r="H20" s="1773"/>
      <c r="I20" s="1773"/>
      <c r="J20" s="1773"/>
      <c r="K20" s="1773"/>
      <c r="L20" s="1773"/>
      <c r="M20" s="1773"/>
      <c r="N20" s="1773"/>
      <c r="O20" s="1773"/>
      <c r="P20" s="1009"/>
      <c r="Q20" s="996"/>
      <c r="R20" s="996"/>
      <c r="S20" s="996"/>
      <c r="T20" s="1209"/>
      <c r="U20" s="1209"/>
    </row>
    <row r="21" spans="1:21" ht="16.5" customHeight="1">
      <c r="A21" s="996"/>
      <c r="B21" s="996"/>
      <c r="C21" s="996"/>
      <c r="D21" s="1009"/>
      <c r="E21" s="1774" t="str">
        <f>"a. Đại diện "&amp;LOWER(MID(Td_DVGS,1,1))&amp;MID(Td_DVGS,2,LEN(Td_DVGS))&amp;": "&amp;DVGS</f>
        <v>a. Đại diện đơn vị tư vấn giám sát: Công ty TNHH Tư vấn Đầu tư Xây dựng Huy Đạt</v>
      </c>
      <c r="F21" s="1524"/>
      <c r="G21" s="1524"/>
      <c r="H21" s="1524"/>
      <c r="I21" s="1524"/>
      <c r="J21" s="1524"/>
      <c r="K21" s="1524"/>
      <c r="L21" s="1524"/>
      <c r="M21" s="1524"/>
      <c r="N21" s="1524"/>
      <c r="O21" s="1524"/>
      <c r="P21" s="1009"/>
      <c r="Q21" s="996"/>
      <c r="R21" s="996"/>
      <c r="S21" s="996"/>
      <c r="T21" s="1209"/>
      <c r="U21" s="1209">
        <f>ROW()</f>
        <v>21</v>
      </c>
    </row>
    <row r="22" spans="1:21" ht="21" customHeight="1">
      <c r="A22" s="996"/>
      <c r="B22" s="996"/>
      <c r="C22" s="996"/>
      <c r="D22" s="1009"/>
      <c r="F22" s="1762" t="str">
        <f>GT_GS1&amp;CBGS1</f>
        <v>Ông: Trần Trọng Liêm</v>
      </c>
      <c r="G22" s="1762"/>
      <c r="H22" s="1762"/>
      <c r="I22" s="1762"/>
      <c r="J22" s="1762"/>
      <c r="K22" s="1762" t="str">
        <f>"Chức vụ : "&amp;CV_CBGS1</f>
        <v>Chức vụ : Giám sát trưởng</v>
      </c>
      <c r="L22" s="1762"/>
      <c r="M22" s="1762"/>
      <c r="N22" s="1762"/>
      <c r="O22" s="1762"/>
      <c r="P22" s="1009"/>
      <c r="Q22" s="996"/>
      <c r="R22" s="996"/>
      <c r="S22" s="996"/>
      <c r="T22" s="1209"/>
      <c r="U22" s="1209"/>
    </row>
    <row r="23" spans="1:21" ht="21" customHeight="1">
      <c r="A23" s="996"/>
      <c r="B23" s="996"/>
      <c r="C23" s="996"/>
      <c r="D23" s="1009"/>
      <c r="F23" s="1762" t="str">
        <f>GT_GS2&amp;CBGS2</f>
        <v>Bà  : Nguyễn Thị Minh</v>
      </c>
      <c r="G23" s="1762"/>
      <c r="H23" s="1762"/>
      <c r="I23" s="1762"/>
      <c r="J23" s="1762"/>
      <c r="K23" s="1762" t="str">
        <f>"Chức vụ : "&amp;CV_CBGS2</f>
        <v>Chức vụ : Giám sát viên</v>
      </c>
      <c r="L23" s="1762"/>
      <c r="M23" s="1762"/>
      <c r="N23" s="1762"/>
      <c r="O23" s="1762"/>
      <c r="P23" s="1009"/>
      <c r="Q23" s="996"/>
      <c r="R23" s="996"/>
      <c r="S23" s="996"/>
      <c r="T23" s="1209"/>
      <c r="U23" s="1209"/>
    </row>
    <row r="24" spans="1:21" ht="21.95" hidden="1" customHeight="1">
      <c r="A24" s="996"/>
      <c r="B24" s="996"/>
      <c r="C24" s="996"/>
      <c r="D24" s="1009"/>
      <c r="E24" s="1767" t="str">
        <f>IF(Liendanh&lt;&gt;"","b) Đại diện đơn vị thi công:  "&amp;Liendanh,"")</f>
        <v/>
      </c>
      <c r="F24" s="1767"/>
      <c r="G24" s="1767"/>
      <c r="H24" s="1767"/>
      <c r="I24" s="1767"/>
      <c r="J24" s="1767"/>
      <c r="K24" s="1767"/>
      <c r="L24" s="1767"/>
      <c r="M24" s="1767"/>
      <c r="N24" s="1767"/>
      <c r="O24" s="1767"/>
      <c r="P24" s="1009"/>
      <c r="Q24" s="996"/>
      <c r="R24" s="996"/>
      <c r="S24" s="996"/>
      <c r="T24" s="1209"/>
      <c r="U24" s="1209">
        <f>ROW()</f>
        <v>24</v>
      </c>
    </row>
    <row r="25" spans="1:21" ht="16.5" customHeight="1">
      <c r="A25" s="996"/>
      <c r="B25" s="996"/>
      <c r="C25" s="996"/>
      <c r="D25" s="1009"/>
      <c r="E25" s="1767" t="str">
        <f>IF(Liendanh="","b) Đại diện đơn vị thi công:  "&amp;DVTC,"   * Đại diện đơn vị thi công trực tiếp:  "&amp;DVTC)</f>
        <v>b) Đại diện đơn vị thi công:  Công ty TNHH Xây dựng Thịnh Dũng</v>
      </c>
      <c r="F25" s="1767"/>
      <c r="G25" s="1767"/>
      <c r="H25" s="1767"/>
      <c r="I25" s="1767"/>
      <c r="J25" s="1767"/>
      <c r="K25" s="1767"/>
      <c r="L25" s="1767"/>
      <c r="M25" s="1767"/>
      <c r="N25" s="1767"/>
      <c r="O25" s="1767"/>
      <c r="P25" s="1009"/>
      <c r="Q25" s="996"/>
      <c r="R25" s="996"/>
      <c r="S25" s="996"/>
      <c r="T25" s="1209"/>
      <c r="U25" s="1209"/>
    </row>
    <row r="26" spans="1:21" ht="19.5" customHeight="1">
      <c r="A26" s="996"/>
      <c r="B26" s="996"/>
      <c r="C26" s="996"/>
      <c r="D26" s="1009"/>
      <c r="F26" s="1761" t="str">
        <f>GT_CBKT1&amp;CBKT1</f>
        <v>Ông: Hoàng Đình Tảng</v>
      </c>
      <c r="G26" s="1761"/>
      <c r="H26" s="1761"/>
      <c r="I26" s="1761"/>
      <c r="J26" s="1761"/>
      <c r="K26" s="1762" t="str">
        <f>"Chức vụ : "&amp;CV_CBKT1</f>
        <v>Chức vụ : Chỉ huy công trường</v>
      </c>
      <c r="L26" s="1762"/>
      <c r="M26" s="1762"/>
      <c r="N26" s="1762"/>
      <c r="O26" s="1762"/>
      <c r="P26" s="1009"/>
      <c r="Q26" s="996"/>
      <c r="R26" s="996"/>
      <c r="S26" s="996"/>
      <c r="T26" s="1209"/>
      <c r="U26" s="1209"/>
    </row>
    <row r="27" spans="1:21" ht="19.5" customHeight="1">
      <c r="A27" s="996"/>
      <c r="B27" s="996"/>
      <c r="C27" s="996"/>
      <c r="D27" s="1009"/>
      <c r="F27" s="1761" t="str">
        <f>GT_CBKT2&amp;CBKT2</f>
        <v>Ông: Lê Thiên Phương</v>
      </c>
      <c r="G27" s="1761"/>
      <c r="H27" s="1761"/>
      <c r="I27" s="1761"/>
      <c r="J27" s="1761"/>
      <c r="K27" s="1762" t="str">
        <f>"Chức vụ : "&amp;CV_CBKT1</f>
        <v>Chức vụ : Chỉ huy công trường</v>
      </c>
      <c r="L27" s="1762"/>
      <c r="M27" s="1762"/>
      <c r="N27" s="1762"/>
      <c r="O27" s="1762"/>
      <c r="P27" s="1009"/>
      <c r="Q27" s="996"/>
      <c r="R27" s="996"/>
      <c r="S27" s="996"/>
      <c r="T27" s="1209"/>
      <c r="U27" s="1209"/>
    </row>
    <row r="28" spans="1:21" ht="33" customHeight="1">
      <c r="A28" s="996"/>
      <c r="B28" s="996"/>
      <c r="C28" s="996"/>
      <c r="D28" s="1009"/>
      <c r="E28" s="1763" t="str">
        <f>"c) Đại diện đơn vị thí nghiệm: "&amp;DVTN</f>
        <v>c) Đại diện đơn vị thí nghiệm: Phòng TNVL &amp; KĐCLCT Xây dựng LAS-XD 1931 thuộc Công ty TNHH Xây dựng Gia Lộc Khang</v>
      </c>
      <c r="F28" s="1564"/>
      <c r="G28" s="1564"/>
      <c r="H28" s="1564"/>
      <c r="I28" s="1564"/>
      <c r="J28" s="1564"/>
      <c r="K28" s="1564"/>
      <c r="L28" s="1564"/>
      <c r="M28" s="1564"/>
      <c r="N28" s="1564"/>
      <c r="O28" s="1564"/>
      <c r="P28" s="1009"/>
      <c r="Q28" s="996"/>
      <c r="R28" s="996"/>
      <c r="S28" s="996"/>
      <c r="T28" s="1209"/>
      <c r="U28" s="1209">
        <f>ROW()</f>
        <v>28</v>
      </c>
    </row>
    <row r="29" spans="1:21" ht="19.5" customHeight="1">
      <c r="A29" s="996"/>
      <c r="B29" s="996"/>
      <c r="C29" s="996"/>
      <c r="D29" s="1009"/>
      <c r="F29" s="1764" t="str">
        <f>GT_TN2&amp;Nguoi_TN2</f>
        <v>Ông: Đoàn Hữu Quy</v>
      </c>
      <c r="G29" s="1764"/>
      <c r="H29" s="1764"/>
      <c r="I29" s="1764"/>
      <c r="J29" s="1764"/>
      <c r="K29" s="1765" t="str">
        <f>"Chức vụ : "&amp;CV_TN2</f>
        <v>Chức vụ : Cán bộ thí nghiệm</v>
      </c>
      <c r="L29" s="1765"/>
      <c r="M29" s="1765"/>
      <c r="N29" s="1765"/>
      <c r="O29" s="1765"/>
      <c r="P29" s="1009"/>
      <c r="Q29" s="996"/>
      <c r="R29" s="996"/>
      <c r="S29" s="996"/>
      <c r="T29" s="1209"/>
      <c r="U29" s="1209"/>
    </row>
    <row r="30" spans="1:21" ht="19.5" customHeight="1">
      <c r="A30" s="996"/>
      <c r="B30" s="996"/>
      <c r="C30" s="996"/>
      <c r="D30" s="1009"/>
      <c r="F30" s="1764" t="str">
        <f>GT_TN3&amp;Nguoi_TN3</f>
        <v>Ông: ………………………..</v>
      </c>
      <c r="G30" s="1764"/>
      <c r="H30" s="1764"/>
      <c r="I30" s="1764"/>
      <c r="J30" s="1764"/>
      <c r="K30" s="1765" t="str">
        <f>"Chức vụ : "&amp;CV_TN3</f>
        <v>Chức vụ : ………………………..</v>
      </c>
      <c r="L30" s="1765"/>
      <c r="M30" s="1765"/>
      <c r="N30" s="1765"/>
      <c r="O30" s="1765"/>
      <c r="P30" s="1009"/>
      <c r="Q30" s="996"/>
      <c r="R30" s="996"/>
      <c r="S30" s="996"/>
      <c r="T30" s="1209"/>
      <c r="U30" s="1209"/>
    </row>
    <row r="31" spans="1:21">
      <c r="A31" s="996"/>
      <c r="B31" s="996"/>
      <c r="C31" s="996"/>
      <c r="D31" s="1009"/>
      <c r="E31" s="1766" t="s">
        <v>5648</v>
      </c>
      <c r="F31" s="1766"/>
      <c r="G31" s="1766"/>
      <c r="H31" s="1766"/>
      <c r="I31" s="1766"/>
      <c r="J31" s="1766"/>
      <c r="K31" s="1766"/>
      <c r="L31" s="1766"/>
      <c r="M31" s="1766"/>
      <c r="N31" s="1766"/>
      <c r="O31" s="1766"/>
      <c r="P31" s="1009"/>
      <c r="Q31" s="996"/>
      <c r="R31" s="996"/>
      <c r="S31" s="996"/>
      <c r="T31" s="1209"/>
      <c r="U31" s="1209"/>
    </row>
    <row r="32" spans="1:21" s="1071" customFormat="1">
      <c r="A32" s="1069"/>
      <c r="B32" s="1069"/>
      <c r="C32" s="1069"/>
      <c r="D32" s="1070"/>
      <c r="E32" s="1761" t="str">
        <f>"- Loại mẫu: "&amp;IF(B1="CP.010032","Bê tông xi măng ","Vữa xi măng ")&amp;MyJOINTEXT("; ",TRUE,B2:B4)</f>
        <v>- Loại mẫu: Vữa xi măng M75</v>
      </c>
      <c r="F32" s="1761"/>
      <c r="G32" s="1761"/>
      <c r="H32" s="1761"/>
      <c r="I32" s="1761"/>
      <c r="J32" s="1761"/>
      <c r="K32" s="1761"/>
      <c r="L32" s="1761"/>
      <c r="M32" s="1761"/>
      <c r="N32" s="1761"/>
      <c r="O32" s="1761"/>
      <c r="P32" s="1070"/>
      <c r="Q32" s="1069"/>
      <c r="R32" s="1069"/>
      <c r="S32" s="1069"/>
      <c r="T32" s="1210"/>
      <c r="U32" s="1210"/>
    </row>
    <row r="33" spans="1:21" s="1071" customFormat="1">
      <c r="A33" s="1069"/>
      <c r="B33" s="1069"/>
      <c r="C33" s="1069"/>
      <c r="D33" s="1070"/>
      <c r="E33" s="1761" t="str">
        <f>"- Kích thước mẫu: "&amp;IFERROR(VLOOKUP($R$2,ListTNBT!$A$6:$Q$800,16,0),"")</f>
        <v>- Kích thước mẫu: 7,07x7,07x7,07</v>
      </c>
      <c r="F33" s="1761"/>
      <c r="G33" s="1761"/>
      <c r="H33" s="1761"/>
      <c r="I33" s="1761"/>
      <c r="J33" s="1761"/>
      <c r="K33" s="1761"/>
      <c r="L33" s="1761"/>
      <c r="M33" s="1761"/>
      <c r="N33" s="1761"/>
      <c r="O33" s="1761"/>
      <c r="P33" s="1070"/>
      <c r="Q33" s="1069"/>
      <c r="R33" s="1069"/>
      <c r="S33" s="1069"/>
      <c r="T33" s="1210"/>
      <c r="U33" s="1210"/>
    </row>
    <row r="34" spans="1:21" s="1071" customFormat="1">
      <c r="A34" s="1069"/>
      <c r="B34" s="1069"/>
      <c r="C34" s="1069"/>
      <c r="D34" s="1070"/>
      <c r="E34" s="1760" t="str">
        <f>"- Số lượng mẫu: "&amp;IFERROR(TEXT(IFERROR(VLOOKUP($R$2,ListTNBT!$A$6:$Q$800,15,0),""),"00"),"…..")&amp;" (01 tổ mẫu gồm 3 mẫu)"</f>
        <v>- Số lượng mẫu: 02 (01 tổ mẫu gồm 3 mẫu)</v>
      </c>
      <c r="F34" s="1760"/>
      <c r="G34" s="1760"/>
      <c r="H34" s="1760"/>
      <c r="I34" s="1760"/>
      <c r="J34" s="1760"/>
      <c r="K34" s="1760"/>
      <c r="L34" s="1760"/>
      <c r="M34" s="1760"/>
      <c r="N34" s="1760"/>
      <c r="O34" s="1760"/>
      <c r="P34" s="1070"/>
      <c r="Q34" s="1069"/>
      <c r="R34" s="1069"/>
      <c r="S34" s="1069"/>
      <c r="T34" s="1210"/>
      <c r="U34" s="1210"/>
    </row>
    <row r="35" spans="1:21" s="1071" customFormat="1">
      <c r="A35" s="1069"/>
      <c r="B35" s="1069"/>
      <c r="C35" s="1069"/>
      <c r="D35" s="1070"/>
      <c r="E35" s="1760" t="str">
        <f>"- Ký hiệu mẫu: "&amp;IFERROR(VLOOKUP($R$2,ListTNBT!$A$6:$Q$800,17,0),"")</f>
        <v>- Ký hiệu mẫu: VXM-10/05/2020</v>
      </c>
      <c r="F35" s="1760"/>
      <c r="G35" s="1760"/>
      <c r="H35" s="1760"/>
      <c r="I35" s="1760"/>
      <c r="J35" s="1760"/>
      <c r="K35" s="1760"/>
      <c r="L35" s="1760"/>
      <c r="M35" s="1760"/>
      <c r="N35" s="1760"/>
      <c r="O35" s="1760"/>
      <c r="P35" s="1070"/>
      <c r="Q35" s="1069"/>
      <c r="R35" s="1069"/>
      <c r="S35" s="1069"/>
      <c r="T35" s="1210"/>
      <c r="U35" s="1210"/>
    </row>
    <row r="36" spans="1:21">
      <c r="A36" s="996"/>
      <c r="B36" s="996"/>
      <c r="C36" s="996"/>
      <c r="D36" s="1009"/>
      <c r="E36" s="1760" t="s">
        <v>5826</v>
      </c>
      <c r="F36" s="1760"/>
      <c r="G36" s="1760"/>
      <c r="H36" s="1760"/>
      <c r="I36" s="1760"/>
      <c r="J36" s="1760"/>
      <c r="K36" s="1760"/>
      <c r="L36" s="1760"/>
      <c r="M36" s="1760"/>
      <c r="N36" s="1760"/>
      <c r="O36" s="1760"/>
      <c r="P36" s="1009"/>
      <c r="Q36" s="996"/>
      <c r="R36" s="996"/>
      <c r="S36" s="996"/>
      <c r="T36" s="1209"/>
      <c r="U36" s="1209"/>
    </row>
    <row r="37" spans="1:21">
      <c r="A37" s="996"/>
      <c r="B37" s="996"/>
      <c r="C37" s="996"/>
      <c r="D37" s="1009"/>
      <c r="E37" s="1754" t="s">
        <v>5650</v>
      </c>
      <c r="F37" s="1755"/>
      <c r="G37" s="1755"/>
      <c r="H37" s="1755"/>
      <c r="I37" s="1755"/>
      <c r="J37" s="1755"/>
      <c r="K37" s="1755"/>
      <c r="L37" s="1755"/>
      <c r="M37" s="1755"/>
      <c r="N37" s="1755"/>
      <c r="O37" s="1755"/>
      <c r="P37" s="1009"/>
      <c r="Q37" s="996"/>
      <c r="R37" s="996"/>
      <c r="S37" s="996"/>
      <c r="T37" s="1209"/>
      <c r="U37" s="1209"/>
    </row>
    <row r="38" spans="1:21">
      <c r="A38" s="996"/>
      <c r="B38" s="996"/>
      <c r="C38" s="996"/>
      <c r="D38" s="1009"/>
      <c r="E38" s="1755" t="str">
        <f>"     Công việc lấy mẫu kết thúc vào lúc: "&amp;IFERROR(VLOOKUP($R$2,ListTNBT!$A$6:$Q$800,7,0),"….h")&amp;" cùng ngày"</f>
        <v xml:space="preserve">     Công việc lấy mẫu kết thúc vào lúc: 8h35 cùng ngày</v>
      </c>
      <c r="F38" s="1755"/>
      <c r="G38" s="1755"/>
      <c r="H38" s="1755"/>
      <c r="I38" s="1755"/>
      <c r="J38" s="1755"/>
      <c r="K38" s="1755"/>
      <c r="L38" s="1755"/>
      <c r="M38" s="1755"/>
      <c r="N38" s="1755"/>
      <c r="O38" s="1755"/>
      <c r="P38" s="1009"/>
      <c r="Q38" s="996"/>
      <c r="R38" s="996"/>
      <c r="S38" s="996"/>
      <c r="T38" s="1209"/>
      <c r="U38" s="1209"/>
    </row>
    <row r="39" spans="1:21">
      <c r="A39" s="996"/>
      <c r="B39" s="996"/>
      <c r="C39" s="996"/>
      <c r="D39" s="1009"/>
      <c r="E39" s="1759" t="s">
        <v>5334</v>
      </c>
      <c r="F39" s="1759"/>
      <c r="G39" s="1759"/>
      <c r="H39" s="1759"/>
      <c r="I39" s="1759"/>
      <c r="J39" s="1759"/>
      <c r="K39" s="1759"/>
      <c r="L39" s="1759"/>
      <c r="M39" s="1759"/>
      <c r="N39" s="1759"/>
      <c r="O39" s="1759"/>
      <c r="P39" s="1009"/>
      <c r="Q39" s="996"/>
      <c r="R39" s="996"/>
      <c r="S39" s="996"/>
      <c r="T39" s="1209"/>
      <c r="U39" s="1209"/>
    </row>
    <row r="40" spans="1:21">
      <c r="A40" s="996"/>
      <c r="B40" s="996"/>
      <c r="C40" s="996"/>
      <c r="D40" s="1009"/>
      <c r="F40" s="1756" t="s">
        <v>5611</v>
      </c>
      <c r="G40" s="1756"/>
      <c r="H40" s="1756"/>
      <c r="I40" s="1756" t="s">
        <v>5612</v>
      </c>
      <c r="J40" s="1756"/>
      <c r="K40" s="1756"/>
      <c r="L40" s="1756" t="s">
        <v>5622</v>
      </c>
      <c r="M40" s="1756"/>
      <c r="N40" s="1756"/>
      <c r="O40" s="1756"/>
      <c r="P40" s="1009"/>
      <c r="Q40" s="996"/>
      <c r="R40" s="996"/>
      <c r="S40" s="996"/>
      <c r="T40" s="1209"/>
      <c r="U40" s="1209"/>
    </row>
    <row r="41" spans="1:21">
      <c r="A41" s="996"/>
      <c r="B41" s="996"/>
      <c r="C41" s="996"/>
      <c r="D41" s="1009"/>
      <c r="F41" s="1013"/>
      <c r="G41" s="1013"/>
      <c r="H41" s="1013"/>
      <c r="I41" s="998"/>
      <c r="J41" s="998"/>
      <c r="K41" s="998"/>
      <c r="L41" s="998"/>
      <c r="M41" s="998"/>
      <c r="N41" s="998"/>
      <c r="O41" s="998"/>
      <c r="P41" s="1009"/>
      <c r="Q41" s="996"/>
      <c r="R41" s="996"/>
      <c r="S41" s="996"/>
      <c r="T41" s="1209"/>
      <c r="U41" s="1209"/>
    </row>
    <row r="42" spans="1:21">
      <c r="A42" s="996"/>
      <c r="B42" s="996"/>
      <c r="C42" s="996"/>
      <c r="D42" s="1009"/>
      <c r="F42" s="1013"/>
      <c r="G42" s="1013"/>
      <c r="H42" s="1013"/>
      <c r="I42" s="998"/>
      <c r="J42" s="998"/>
      <c r="K42" s="998"/>
      <c r="L42" s="998"/>
      <c r="M42" s="998"/>
      <c r="N42" s="998"/>
      <c r="O42" s="998"/>
      <c r="P42" s="1009"/>
      <c r="Q42" s="996"/>
      <c r="R42" s="996"/>
      <c r="S42" s="996"/>
      <c r="T42" s="1209"/>
      <c r="U42" s="1209"/>
    </row>
    <row r="43" spans="1:21">
      <c r="A43" s="996"/>
      <c r="B43" s="996"/>
      <c r="C43" s="996"/>
      <c r="D43" s="1009"/>
      <c r="F43" s="1010"/>
      <c r="G43" s="1010"/>
      <c r="H43" s="1010"/>
      <c r="P43" s="1009"/>
      <c r="Q43" s="996"/>
      <c r="R43" s="996"/>
      <c r="S43" s="996"/>
      <c r="T43" s="1209"/>
      <c r="U43" s="1209"/>
    </row>
    <row r="44" spans="1:21">
      <c r="A44" s="996"/>
      <c r="B44" s="996"/>
      <c r="C44" s="996"/>
      <c r="D44" s="1009"/>
      <c r="F44" s="1010"/>
      <c r="G44" s="1010"/>
      <c r="H44" s="1047"/>
      <c r="P44" s="1009"/>
      <c r="Q44" s="996"/>
      <c r="R44" s="996"/>
      <c r="S44" s="996"/>
      <c r="T44" s="1209"/>
      <c r="U44" s="1209"/>
    </row>
    <row r="45" spans="1:21">
      <c r="A45" s="996"/>
      <c r="B45" s="996"/>
      <c r="C45" s="996"/>
      <c r="D45" s="1009"/>
      <c r="E45" s="1014"/>
      <c r="F45" s="1757" t="str">
        <f>CBGS1</f>
        <v>Trần Trọng Liêm</v>
      </c>
      <c r="G45" s="1757"/>
      <c r="H45" s="1757"/>
      <c r="I45" s="1758" t="str">
        <f>CBKT1</f>
        <v>Hoàng Đình Tảng</v>
      </c>
      <c r="J45" s="1758"/>
      <c r="K45" s="1758"/>
      <c r="L45" s="1758" t="str">
        <f>Nguoi_TN2</f>
        <v>Đoàn Hữu Quy</v>
      </c>
      <c r="M45" s="1758"/>
      <c r="N45" s="1758"/>
      <c r="O45" s="1758"/>
      <c r="P45" s="1009"/>
      <c r="Q45" s="996"/>
      <c r="R45" s="996"/>
      <c r="S45" s="996"/>
      <c r="T45" s="1209"/>
      <c r="U45" s="1209"/>
    </row>
    <row r="46" spans="1:21">
      <c r="A46" s="996"/>
      <c r="B46" s="996"/>
      <c r="C46" s="996"/>
      <c r="D46" s="1009"/>
      <c r="E46" s="1009"/>
      <c r="F46" s="1009"/>
      <c r="G46" s="1009"/>
      <c r="H46" s="1009"/>
      <c r="I46" s="1009"/>
      <c r="J46" s="1009"/>
      <c r="K46" s="1009"/>
      <c r="L46" s="1009"/>
      <c r="M46" s="1009"/>
      <c r="N46" s="1009"/>
      <c r="O46" s="1009"/>
      <c r="P46" s="1009"/>
      <c r="Q46" s="996"/>
      <c r="R46" s="996"/>
      <c r="S46" s="996"/>
      <c r="T46" s="1209"/>
      <c r="U46" s="1209"/>
    </row>
    <row r="47" spans="1:21">
      <c r="A47" s="996"/>
      <c r="B47" s="996"/>
      <c r="C47" s="996"/>
      <c r="D47" s="996"/>
      <c r="E47" s="996"/>
      <c r="F47" s="996"/>
      <c r="G47" s="996"/>
      <c r="H47" s="996"/>
      <c r="I47" s="996"/>
      <c r="J47" s="996"/>
      <c r="K47" s="996"/>
      <c r="L47" s="996"/>
      <c r="M47" s="996"/>
      <c r="N47" s="996"/>
      <c r="O47" s="996"/>
      <c r="P47" s="996"/>
      <c r="Q47" s="996"/>
      <c r="R47" s="996"/>
      <c r="S47" s="996"/>
      <c r="T47" s="996"/>
      <c r="U47" s="996"/>
    </row>
    <row r="48" spans="1:21">
      <c r="A48" s="996"/>
      <c r="B48" s="996"/>
      <c r="C48" s="996"/>
      <c r="D48" s="996"/>
      <c r="E48" s="996"/>
      <c r="F48" s="996"/>
      <c r="G48" s="996"/>
      <c r="H48" s="996"/>
      <c r="I48" s="996"/>
      <c r="J48" s="996"/>
      <c r="K48" s="996"/>
      <c r="L48" s="996"/>
      <c r="M48" s="996"/>
      <c r="N48" s="996"/>
      <c r="O48" s="996"/>
      <c r="P48" s="996"/>
      <c r="Q48" s="996"/>
      <c r="R48" s="996"/>
      <c r="S48" s="996"/>
      <c r="T48" s="996"/>
      <c r="U48" s="996"/>
    </row>
    <row r="49" spans="1:21">
      <c r="A49" s="996"/>
      <c r="B49" s="996"/>
      <c r="C49" s="996"/>
      <c r="D49" s="996"/>
      <c r="E49" s="996"/>
      <c r="F49" s="996"/>
      <c r="G49" s="996"/>
      <c r="H49" s="996"/>
      <c r="I49" s="996"/>
      <c r="J49" s="996"/>
      <c r="K49" s="996"/>
      <c r="L49" s="996"/>
      <c r="M49" s="996"/>
      <c r="N49" s="996"/>
      <c r="O49" s="996"/>
      <c r="P49" s="996"/>
      <c r="Q49" s="996"/>
      <c r="R49" s="996"/>
      <c r="S49" s="996"/>
      <c r="T49" s="996"/>
      <c r="U49" s="996"/>
    </row>
    <row r="50" spans="1:21">
      <c r="A50" s="996"/>
      <c r="B50" s="996"/>
      <c r="C50" s="996"/>
      <c r="D50" s="996"/>
      <c r="E50" s="996"/>
      <c r="F50" s="996"/>
      <c r="G50" s="996"/>
      <c r="H50" s="996"/>
      <c r="I50" s="996"/>
      <c r="J50" s="996"/>
      <c r="K50" s="996"/>
      <c r="L50" s="996"/>
      <c r="M50" s="996"/>
      <c r="N50" s="996"/>
      <c r="O50" s="996"/>
      <c r="P50" s="996"/>
      <c r="Q50" s="996"/>
      <c r="R50" s="996"/>
      <c r="S50" s="996"/>
      <c r="T50" s="996"/>
      <c r="U50" s="996"/>
    </row>
    <row r="51" spans="1:21">
      <c r="A51" s="996"/>
      <c r="B51" s="996"/>
      <c r="C51" s="996"/>
      <c r="D51" s="996"/>
      <c r="E51" s="996"/>
      <c r="F51" s="996"/>
      <c r="G51" s="996"/>
      <c r="H51" s="996"/>
      <c r="I51" s="996"/>
      <c r="J51" s="996"/>
      <c r="K51" s="996"/>
      <c r="L51" s="996"/>
      <c r="M51" s="996"/>
      <c r="N51" s="996"/>
      <c r="O51" s="996"/>
      <c r="P51" s="996"/>
      <c r="Q51" s="996"/>
      <c r="R51" s="996"/>
      <c r="S51" s="996"/>
      <c r="T51" s="996"/>
      <c r="U51" s="996"/>
    </row>
    <row r="52" spans="1:21">
      <c r="A52" s="996"/>
      <c r="B52" s="996"/>
      <c r="C52" s="996"/>
      <c r="D52" s="996"/>
      <c r="E52" s="996"/>
      <c r="F52" s="996"/>
      <c r="G52" s="996"/>
      <c r="H52" s="996"/>
      <c r="I52" s="996"/>
      <c r="J52" s="996"/>
      <c r="K52" s="996"/>
      <c r="L52" s="996"/>
      <c r="M52" s="996"/>
      <c r="N52" s="996"/>
      <c r="O52" s="996"/>
      <c r="P52" s="996"/>
      <c r="Q52" s="996"/>
      <c r="R52" s="996"/>
      <c r="S52" s="996"/>
      <c r="T52" s="996"/>
      <c r="U52" s="996"/>
    </row>
    <row r="53" spans="1:21">
      <c r="A53" s="996"/>
      <c r="B53" s="996"/>
      <c r="C53" s="996"/>
      <c r="D53" s="996"/>
      <c r="E53" s="996"/>
      <c r="F53" s="996"/>
      <c r="G53" s="996"/>
      <c r="H53" s="996"/>
      <c r="I53" s="996"/>
      <c r="J53" s="996"/>
      <c r="K53" s="996"/>
      <c r="L53" s="996"/>
      <c r="M53" s="996"/>
      <c r="N53" s="996"/>
      <c r="O53" s="996"/>
      <c r="P53" s="996"/>
      <c r="Q53" s="996"/>
      <c r="R53" s="996"/>
      <c r="S53" s="996"/>
      <c r="T53" s="996"/>
      <c r="U53" s="996"/>
    </row>
    <row r="54" spans="1:21">
      <c r="A54" s="996"/>
      <c r="B54" s="996"/>
      <c r="C54" s="996"/>
      <c r="D54" s="996"/>
      <c r="E54" s="996"/>
      <c r="F54" s="996"/>
      <c r="G54" s="996"/>
      <c r="H54" s="996"/>
      <c r="I54" s="996"/>
      <c r="J54" s="996"/>
      <c r="K54" s="996"/>
      <c r="L54" s="996"/>
      <c r="M54" s="996"/>
      <c r="N54" s="996"/>
      <c r="O54" s="996"/>
      <c r="P54" s="996"/>
      <c r="Q54" s="996"/>
      <c r="R54" s="996"/>
      <c r="S54" s="996"/>
      <c r="T54" s="996"/>
      <c r="U54" s="996"/>
    </row>
    <row r="55" spans="1:21">
      <c r="A55" s="996"/>
      <c r="B55" s="996"/>
      <c r="C55" s="996"/>
      <c r="D55" s="996"/>
      <c r="E55" s="996"/>
      <c r="F55" s="996"/>
      <c r="G55" s="996"/>
      <c r="H55" s="996"/>
      <c r="I55" s="996"/>
      <c r="J55" s="996"/>
      <c r="K55" s="996"/>
      <c r="L55" s="996"/>
      <c r="M55" s="996"/>
      <c r="N55" s="996"/>
      <c r="O55" s="996"/>
      <c r="P55" s="996"/>
      <c r="Q55" s="996"/>
      <c r="R55" s="996"/>
      <c r="S55" s="996"/>
      <c r="T55" s="996"/>
      <c r="U55" s="996"/>
    </row>
  </sheetData>
  <mergeCells count="48">
    <mergeCell ref="E15:O15"/>
    <mergeCell ref="D1:P1"/>
    <mergeCell ref="D2:P2"/>
    <mergeCell ref="D3:P3"/>
    <mergeCell ref="E6:O6"/>
    <mergeCell ref="E7:O7"/>
    <mergeCell ref="E8:O8"/>
    <mergeCell ref="E10:O10"/>
    <mergeCell ref="E11:O11"/>
    <mergeCell ref="F12:O12"/>
    <mergeCell ref="E13:O13"/>
    <mergeCell ref="E14:O14"/>
    <mergeCell ref="E25:O25"/>
    <mergeCell ref="E16:O16"/>
    <mergeCell ref="E17:O17"/>
    <mergeCell ref="E18:O18"/>
    <mergeCell ref="E19:O19"/>
    <mergeCell ref="E20:O20"/>
    <mergeCell ref="E21:O21"/>
    <mergeCell ref="F22:J22"/>
    <mergeCell ref="K22:O22"/>
    <mergeCell ref="F23:J23"/>
    <mergeCell ref="K23:O23"/>
    <mergeCell ref="E24:O24"/>
    <mergeCell ref="E36:O36"/>
    <mergeCell ref="E33:O33"/>
    <mergeCell ref="E35:O35"/>
    <mergeCell ref="F26:J26"/>
    <mergeCell ref="K26:O26"/>
    <mergeCell ref="F27:J27"/>
    <mergeCell ref="K27:O27"/>
    <mergeCell ref="E28:O28"/>
    <mergeCell ref="F29:J29"/>
    <mergeCell ref="K29:O29"/>
    <mergeCell ref="F30:J30"/>
    <mergeCell ref="K30:O30"/>
    <mergeCell ref="E31:O31"/>
    <mergeCell ref="E32:O32"/>
    <mergeCell ref="E34:O34"/>
    <mergeCell ref="E37:O37"/>
    <mergeCell ref="F40:H40"/>
    <mergeCell ref="I40:K40"/>
    <mergeCell ref="L40:O40"/>
    <mergeCell ref="F45:H45"/>
    <mergeCell ref="I45:K45"/>
    <mergeCell ref="L45:O45"/>
    <mergeCell ref="E38:O38"/>
    <mergeCell ref="E39:O39"/>
  </mergeCells>
  <pageMargins left="0.9055118110236221" right="0.35433070866141736" top="0.35433070866141736" bottom="0.2755905511811023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61185" r:id="rId4" name="Spinner 1">
              <controlPr defaultSize="0" autoPict="0">
                <anchor moveWithCells="1" sizeWithCells="1">
                  <from>
                    <xdr:col>18</xdr:col>
                    <xdr:colOff>323850</xdr:colOff>
                    <xdr:row>0</xdr:row>
                    <xdr:rowOff>95250</xdr:rowOff>
                  </from>
                  <to>
                    <xdr:col>18</xdr:col>
                    <xdr:colOff>581025</xdr:colOff>
                    <xdr:row>2</xdr:row>
                    <xdr:rowOff>161925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U51"/>
  <sheetViews>
    <sheetView showGridLines="0" zoomScaleNormal="100" workbookViewId="0">
      <pane xSplit="21" ySplit="4" topLeftCell="V5" activePane="bottomRight" state="frozen"/>
      <selection pane="topRight" activeCell="V1" sqref="V1"/>
      <selection pane="bottomLeft" activeCell="A5" sqref="A5"/>
      <selection pane="bottomRight" activeCell="K38" sqref="K38"/>
    </sheetView>
  </sheetViews>
  <sheetFormatPr defaultRowHeight="16.5"/>
  <cols>
    <col min="1" max="1" width="9.109375" style="1008" customWidth="1"/>
    <col min="2" max="2" width="11.5546875" style="1008" customWidth="1"/>
    <col min="3" max="3" width="10" style="1008" customWidth="1"/>
    <col min="4" max="4" width="2.21875" style="1008" customWidth="1"/>
    <col min="5" max="5" width="1.77734375" style="1008" customWidth="1"/>
    <col min="6" max="6" width="11.109375" style="1008" customWidth="1"/>
    <col min="7" max="7" width="7.5546875" style="1008" customWidth="1"/>
    <col min="8" max="8" width="6.109375" style="1008" customWidth="1"/>
    <col min="9" max="9" width="10" style="1008" customWidth="1"/>
    <col min="10" max="10" width="6.44140625" style="1008" customWidth="1"/>
    <col min="11" max="11" width="8.88671875" style="1008"/>
    <col min="12" max="12" width="6.77734375" style="1008" customWidth="1"/>
    <col min="13" max="13" width="5.88671875" style="1008" customWidth="1"/>
    <col min="14" max="14" width="6.77734375" style="1008" customWidth="1"/>
    <col min="15" max="15" width="7.5546875" style="1008" customWidth="1"/>
    <col min="16" max="16" width="2.5546875" style="1008" customWidth="1"/>
    <col min="17" max="17" width="4.44140625" style="1008" customWidth="1"/>
    <col min="18" max="18" width="4.109375" style="1008" customWidth="1"/>
    <col min="19" max="20" width="8.88671875" style="1008"/>
    <col min="21" max="21" width="22.109375" style="1008" customWidth="1"/>
    <col min="22" max="257" width="8.88671875" style="1008"/>
    <col min="258" max="258" width="7.109375" style="1008" customWidth="1"/>
    <col min="259" max="260" width="8.88671875" style="1008"/>
    <col min="261" max="261" width="1.77734375" style="1008" customWidth="1"/>
    <col min="262" max="262" width="11.109375" style="1008" customWidth="1"/>
    <col min="263" max="264" width="8.88671875" style="1008"/>
    <col min="265" max="265" width="7.109375" style="1008" customWidth="1"/>
    <col min="266" max="266" width="6.44140625" style="1008" customWidth="1"/>
    <col min="267" max="267" width="8.88671875" style="1008"/>
    <col min="268" max="268" width="6.77734375" style="1008" customWidth="1"/>
    <col min="269" max="269" width="5.88671875" style="1008" customWidth="1"/>
    <col min="270" max="270" width="6.77734375" style="1008" customWidth="1"/>
    <col min="271" max="271" width="5.33203125" style="1008" customWidth="1"/>
    <col min="272" max="272" width="8.77734375" style="1008" bestFit="1" customWidth="1"/>
    <col min="273" max="273" width="8" style="1008" customWidth="1"/>
    <col min="274" max="513" width="8.88671875" style="1008"/>
    <col min="514" max="514" width="7.109375" style="1008" customWidth="1"/>
    <col min="515" max="516" width="8.88671875" style="1008"/>
    <col min="517" max="517" width="1.77734375" style="1008" customWidth="1"/>
    <col min="518" max="518" width="11.109375" style="1008" customWidth="1"/>
    <col min="519" max="520" width="8.88671875" style="1008"/>
    <col min="521" max="521" width="7.109375" style="1008" customWidth="1"/>
    <col min="522" max="522" width="6.44140625" style="1008" customWidth="1"/>
    <col min="523" max="523" width="8.88671875" style="1008"/>
    <col min="524" max="524" width="6.77734375" style="1008" customWidth="1"/>
    <col min="525" max="525" width="5.88671875" style="1008" customWidth="1"/>
    <col min="526" max="526" width="6.77734375" style="1008" customWidth="1"/>
    <col min="527" max="527" width="5.33203125" style="1008" customWidth="1"/>
    <col min="528" max="528" width="8.77734375" style="1008" bestFit="1" customWidth="1"/>
    <col min="529" max="529" width="8" style="1008" customWidth="1"/>
    <col min="530" max="769" width="8.88671875" style="1008"/>
    <col min="770" max="770" width="7.109375" style="1008" customWidth="1"/>
    <col min="771" max="772" width="8.88671875" style="1008"/>
    <col min="773" max="773" width="1.77734375" style="1008" customWidth="1"/>
    <col min="774" max="774" width="11.109375" style="1008" customWidth="1"/>
    <col min="775" max="776" width="8.88671875" style="1008"/>
    <col min="777" max="777" width="7.109375" style="1008" customWidth="1"/>
    <col min="778" max="778" width="6.44140625" style="1008" customWidth="1"/>
    <col min="779" max="779" width="8.88671875" style="1008"/>
    <col min="780" max="780" width="6.77734375" style="1008" customWidth="1"/>
    <col min="781" max="781" width="5.88671875" style="1008" customWidth="1"/>
    <col min="782" max="782" width="6.77734375" style="1008" customWidth="1"/>
    <col min="783" max="783" width="5.33203125" style="1008" customWidth="1"/>
    <col min="784" max="784" width="8.77734375" style="1008" bestFit="1" customWidth="1"/>
    <col min="785" max="785" width="8" style="1008" customWidth="1"/>
    <col min="786" max="1025" width="8.88671875" style="1008"/>
    <col min="1026" max="1026" width="7.109375" style="1008" customWidth="1"/>
    <col min="1027" max="1028" width="8.88671875" style="1008"/>
    <col min="1029" max="1029" width="1.77734375" style="1008" customWidth="1"/>
    <col min="1030" max="1030" width="11.109375" style="1008" customWidth="1"/>
    <col min="1031" max="1032" width="8.88671875" style="1008"/>
    <col min="1033" max="1033" width="7.109375" style="1008" customWidth="1"/>
    <col min="1034" max="1034" width="6.44140625" style="1008" customWidth="1"/>
    <col min="1035" max="1035" width="8.88671875" style="1008"/>
    <col min="1036" max="1036" width="6.77734375" style="1008" customWidth="1"/>
    <col min="1037" max="1037" width="5.88671875" style="1008" customWidth="1"/>
    <col min="1038" max="1038" width="6.77734375" style="1008" customWidth="1"/>
    <col min="1039" max="1039" width="5.33203125" style="1008" customWidth="1"/>
    <col min="1040" max="1040" width="8.77734375" style="1008" bestFit="1" customWidth="1"/>
    <col min="1041" max="1041" width="8" style="1008" customWidth="1"/>
    <col min="1042" max="1281" width="8.88671875" style="1008"/>
    <col min="1282" max="1282" width="7.109375" style="1008" customWidth="1"/>
    <col min="1283" max="1284" width="8.88671875" style="1008"/>
    <col min="1285" max="1285" width="1.77734375" style="1008" customWidth="1"/>
    <col min="1286" max="1286" width="11.109375" style="1008" customWidth="1"/>
    <col min="1287" max="1288" width="8.88671875" style="1008"/>
    <col min="1289" max="1289" width="7.109375" style="1008" customWidth="1"/>
    <col min="1290" max="1290" width="6.44140625" style="1008" customWidth="1"/>
    <col min="1291" max="1291" width="8.88671875" style="1008"/>
    <col min="1292" max="1292" width="6.77734375" style="1008" customWidth="1"/>
    <col min="1293" max="1293" width="5.88671875" style="1008" customWidth="1"/>
    <col min="1294" max="1294" width="6.77734375" style="1008" customWidth="1"/>
    <col min="1295" max="1295" width="5.33203125" style="1008" customWidth="1"/>
    <col min="1296" max="1296" width="8.77734375" style="1008" bestFit="1" customWidth="1"/>
    <col min="1297" max="1297" width="8" style="1008" customWidth="1"/>
    <col min="1298" max="1537" width="8.88671875" style="1008"/>
    <col min="1538" max="1538" width="7.109375" style="1008" customWidth="1"/>
    <col min="1539" max="1540" width="8.88671875" style="1008"/>
    <col min="1541" max="1541" width="1.77734375" style="1008" customWidth="1"/>
    <col min="1542" max="1542" width="11.109375" style="1008" customWidth="1"/>
    <col min="1543" max="1544" width="8.88671875" style="1008"/>
    <col min="1545" max="1545" width="7.109375" style="1008" customWidth="1"/>
    <col min="1546" max="1546" width="6.44140625" style="1008" customWidth="1"/>
    <col min="1547" max="1547" width="8.88671875" style="1008"/>
    <col min="1548" max="1548" width="6.77734375" style="1008" customWidth="1"/>
    <col min="1549" max="1549" width="5.88671875" style="1008" customWidth="1"/>
    <col min="1550" max="1550" width="6.77734375" style="1008" customWidth="1"/>
    <col min="1551" max="1551" width="5.33203125" style="1008" customWidth="1"/>
    <col min="1552" max="1552" width="8.77734375" style="1008" bestFit="1" customWidth="1"/>
    <col min="1553" max="1553" width="8" style="1008" customWidth="1"/>
    <col min="1554" max="1793" width="8.88671875" style="1008"/>
    <col min="1794" max="1794" width="7.109375" style="1008" customWidth="1"/>
    <col min="1795" max="1796" width="8.88671875" style="1008"/>
    <col min="1797" max="1797" width="1.77734375" style="1008" customWidth="1"/>
    <col min="1798" max="1798" width="11.109375" style="1008" customWidth="1"/>
    <col min="1799" max="1800" width="8.88671875" style="1008"/>
    <col min="1801" max="1801" width="7.109375" style="1008" customWidth="1"/>
    <col min="1802" max="1802" width="6.44140625" style="1008" customWidth="1"/>
    <col min="1803" max="1803" width="8.88671875" style="1008"/>
    <col min="1804" max="1804" width="6.77734375" style="1008" customWidth="1"/>
    <col min="1805" max="1805" width="5.88671875" style="1008" customWidth="1"/>
    <col min="1806" max="1806" width="6.77734375" style="1008" customWidth="1"/>
    <col min="1807" max="1807" width="5.33203125" style="1008" customWidth="1"/>
    <col min="1808" max="1808" width="8.77734375" style="1008" bestFit="1" customWidth="1"/>
    <col min="1809" max="1809" width="8" style="1008" customWidth="1"/>
    <col min="1810" max="2049" width="8.88671875" style="1008"/>
    <col min="2050" max="2050" width="7.109375" style="1008" customWidth="1"/>
    <col min="2051" max="2052" width="8.88671875" style="1008"/>
    <col min="2053" max="2053" width="1.77734375" style="1008" customWidth="1"/>
    <col min="2054" max="2054" width="11.109375" style="1008" customWidth="1"/>
    <col min="2055" max="2056" width="8.88671875" style="1008"/>
    <col min="2057" max="2057" width="7.109375" style="1008" customWidth="1"/>
    <col min="2058" max="2058" width="6.44140625" style="1008" customWidth="1"/>
    <col min="2059" max="2059" width="8.88671875" style="1008"/>
    <col min="2060" max="2060" width="6.77734375" style="1008" customWidth="1"/>
    <col min="2061" max="2061" width="5.88671875" style="1008" customWidth="1"/>
    <col min="2062" max="2062" width="6.77734375" style="1008" customWidth="1"/>
    <col min="2063" max="2063" width="5.33203125" style="1008" customWidth="1"/>
    <col min="2064" max="2064" width="8.77734375" style="1008" bestFit="1" customWidth="1"/>
    <col min="2065" max="2065" width="8" style="1008" customWidth="1"/>
    <col min="2066" max="2305" width="8.88671875" style="1008"/>
    <col min="2306" max="2306" width="7.109375" style="1008" customWidth="1"/>
    <col min="2307" max="2308" width="8.88671875" style="1008"/>
    <col min="2309" max="2309" width="1.77734375" style="1008" customWidth="1"/>
    <col min="2310" max="2310" width="11.109375" style="1008" customWidth="1"/>
    <col min="2311" max="2312" width="8.88671875" style="1008"/>
    <col min="2313" max="2313" width="7.109375" style="1008" customWidth="1"/>
    <col min="2314" max="2314" width="6.44140625" style="1008" customWidth="1"/>
    <col min="2315" max="2315" width="8.88671875" style="1008"/>
    <col min="2316" max="2316" width="6.77734375" style="1008" customWidth="1"/>
    <col min="2317" max="2317" width="5.88671875" style="1008" customWidth="1"/>
    <col min="2318" max="2318" width="6.77734375" style="1008" customWidth="1"/>
    <col min="2319" max="2319" width="5.33203125" style="1008" customWidth="1"/>
    <col min="2320" max="2320" width="8.77734375" style="1008" bestFit="1" customWidth="1"/>
    <col min="2321" max="2321" width="8" style="1008" customWidth="1"/>
    <col min="2322" max="2561" width="8.88671875" style="1008"/>
    <col min="2562" max="2562" width="7.109375" style="1008" customWidth="1"/>
    <col min="2563" max="2564" width="8.88671875" style="1008"/>
    <col min="2565" max="2565" width="1.77734375" style="1008" customWidth="1"/>
    <col min="2566" max="2566" width="11.109375" style="1008" customWidth="1"/>
    <col min="2567" max="2568" width="8.88671875" style="1008"/>
    <col min="2569" max="2569" width="7.109375" style="1008" customWidth="1"/>
    <col min="2570" max="2570" width="6.44140625" style="1008" customWidth="1"/>
    <col min="2571" max="2571" width="8.88671875" style="1008"/>
    <col min="2572" max="2572" width="6.77734375" style="1008" customWidth="1"/>
    <col min="2573" max="2573" width="5.88671875" style="1008" customWidth="1"/>
    <col min="2574" max="2574" width="6.77734375" style="1008" customWidth="1"/>
    <col min="2575" max="2575" width="5.33203125" style="1008" customWidth="1"/>
    <col min="2576" max="2576" width="8.77734375" style="1008" bestFit="1" customWidth="1"/>
    <col min="2577" max="2577" width="8" style="1008" customWidth="1"/>
    <col min="2578" max="2817" width="8.88671875" style="1008"/>
    <col min="2818" max="2818" width="7.109375" style="1008" customWidth="1"/>
    <col min="2819" max="2820" width="8.88671875" style="1008"/>
    <col min="2821" max="2821" width="1.77734375" style="1008" customWidth="1"/>
    <col min="2822" max="2822" width="11.109375" style="1008" customWidth="1"/>
    <col min="2823" max="2824" width="8.88671875" style="1008"/>
    <col min="2825" max="2825" width="7.109375" style="1008" customWidth="1"/>
    <col min="2826" max="2826" width="6.44140625" style="1008" customWidth="1"/>
    <col min="2827" max="2827" width="8.88671875" style="1008"/>
    <col min="2828" max="2828" width="6.77734375" style="1008" customWidth="1"/>
    <col min="2829" max="2829" width="5.88671875" style="1008" customWidth="1"/>
    <col min="2830" max="2830" width="6.77734375" style="1008" customWidth="1"/>
    <col min="2831" max="2831" width="5.33203125" style="1008" customWidth="1"/>
    <col min="2832" max="2832" width="8.77734375" style="1008" bestFit="1" customWidth="1"/>
    <col min="2833" max="2833" width="8" style="1008" customWidth="1"/>
    <col min="2834" max="3073" width="8.88671875" style="1008"/>
    <col min="3074" max="3074" width="7.109375" style="1008" customWidth="1"/>
    <col min="3075" max="3076" width="8.88671875" style="1008"/>
    <col min="3077" max="3077" width="1.77734375" style="1008" customWidth="1"/>
    <col min="3078" max="3078" width="11.109375" style="1008" customWidth="1"/>
    <col min="3079" max="3080" width="8.88671875" style="1008"/>
    <col min="3081" max="3081" width="7.109375" style="1008" customWidth="1"/>
    <col min="3082" max="3082" width="6.44140625" style="1008" customWidth="1"/>
    <col min="3083" max="3083" width="8.88671875" style="1008"/>
    <col min="3084" max="3084" width="6.77734375" style="1008" customWidth="1"/>
    <col min="3085" max="3085" width="5.88671875" style="1008" customWidth="1"/>
    <col min="3086" max="3086" width="6.77734375" style="1008" customWidth="1"/>
    <col min="3087" max="3087" width="5.33203125" style="1008" customWidth="1"/>
    <col min="3088" max="3088" width="8.77734375" style="1008" bestFit="1" customWidth="1"/>
    <col min="3089" max="3089" width="8" style="1008" customWidth="1"/>
    <col min="3090" max="3329" width="8.88671875" style="1008"/>
    <col min="3330" max="3330" width="7.109375" style="1008" customWidth="1"/>
    <col min="3331" max="3332" width="8.88671875" style="1008"/>
    <col min="3333" max="3333" width="1.77734375" style="1008" customWidth="1"/>
    <col min="3334" max="3334" width="11.109375" style="1008" customWidth="1"/>
    <col min="3335" max="3336" width="8.88671875" style="1008"/>
    <col min="3337" max="3337" width="7.109375" style="1008" customWidth="1"/>
    <col min="3338" max="3338" width="6.44140625" style="1008" customWidth="1"/>
    <col min="3339" max="3339" width="8.88671875" style="1008"/>
    <col min="3340" max="3340" width="6.77734375" style="1008" customWidth="1"/>
    <col min="3341" max="3341" width="5.88671875" style="1008" customWidth="1"/>
    <col min="3342" max="3342" width="6.77734375" style="1008" customWidth="1"/>
    <col min="3343" max="3343" width="5.33203125" style="1008" customWidth="1"/>
    <col min="3344" max="3344" width="8.77734375" style="1008" bestFit="1" customWidth="1"/>
    <col min="3345" max="3345" width="8" style="1008" customWidth="1"/>
    <col min="3346" max="3585" width="8.88671875" style="1008"/>
    <col min="3586" max="3586" width="7.109375" style="1008" customWidth="1"/>
    <col min="3587" max="3588" width="8.88671875" style="1008"/>
    <col min="3589" max="3589" width="1.77734375" style="1008" customWidth="1"/>
    <col min="3590" max="3590" width="11.109375" style="1008" customWidth="1"/>
    <col min="3591" max="3592" width="8.88671875" style="1008"/>
    <col min="3593" max="3593" width="7.109375" style="1008" customWidth="1"/>
    <col min="3594" max="3594" width="6.44140625" style="1008" customWidth="1"/>
    <col min="3595" max="3595" width="8.88671875" style="1008"/>
    <col min="3596" max="3596" width="6.77734375" style="1008" customWidth="1"/>
    <col min="3597" max="3597" width="5.88671875" style="1008" customWidth="1"/>
    <col min="3598" max="3598" width="6.77734375" style="1008" customWidth="1"/>
    <col min="3599" max="3599" width="5.33203125" style="1008" customWidth="1"/>
    <col min="3600" max="3600" width="8.77734375" style="1008" bestFit="1" customWidth="1"/>
    <col min="3601" max="3601" width="8" style="1008" customWidth="1"/>
    <col min="3602" max="3841" width="8.88671875" style="1008"/>
    <col min="3842" max="3842" width="7.109375" style="1008" customWidth="1"/>
    <col min="3843" max="3844" width="8.88671875" style="1008"/>
    <col min="3845" max="3845" width="1.77734375" style="1008" customWidth="1"/>
    <col min="3846" max="3846" width="11.109375" style="1008" customWidth="1"/>
    <col min="3847" max="3848" width="8.88671875" style="1008"/>
    <col min="3849" max="3849" width="7.109375" style="1008" customWidth="1"/>
    <col min="3850" max="3850" width="6.44140625" style="1008" customWidth="1"/>
    <col min="3851" max="3851" width="8.88671875" style="1008"/>
    <col min="3852" max="3852" width="6.77734375" style="1008" customWidth="1"/>
    <col min="3853" max="3853" width="5.88671875" style="1008" customWidth="1"/>
    <col min="3854" max="3854" width="6.77734375" style="1008" customWidth="1"/>
    <col min="3855" max="3855" width="5.33203125" style="1008" customWidth="1"/>
    <col min="3856" max="3856" width="8.77734375" style="1008" bestFit="1" customWidth="1"/>
    <col min="3857" max="3857" width="8" style="1008" customWidth="1"/>
    <col min="3858" max="4097" width="8.88671875" style="1008"/>
    <col min="4098" max="4098" width="7.109375" style="1008" customWidth="1"/>
    <col min="4099" max="4100" width="8.88671875" style="1008"/>
    <col min="4101" max="4101" width="1.77734375" style="1008" customWidth="1"/>
    <col min="4102" max="4102" width="11.109375" style="1008" customWidth="1"/>
    <col min="4103" max="4104" width="8.88671875" style="1008"/>
    <col min="4105" max="4105" width="7.109375" style="1008" customWidth="1"/>
    <col min="4106" max="4106" width="6.44140625" style="1008" customWidth="1"/>
    <col min="4107" max="4107" width="8.88671875" style="1008"/>
    <col min="4108" max="4108" width="6.77734375" style="1008" customWidth="1"/>
    <col min="4109" max="4109" width="5.88671875" style="1008" customWidth="1"/>
    <col min="4110" max="4110" width="6.77734375" style="1008" customWidth="1"/>
    <col min="4111" max="4111" width="5.33203125" style="1008" customWidth="1"/>
    <col min="4112" max="4112" width="8.77734375" style="1008" bestFit="1" customWidth="1"/>
    <col min="4113" max="4113" width="8" style="1008" customWidth="1"/>
    <col min="4114" max="4353" width="8.88671875" style="1008"/>
    <col min="4354" max="4354" width="7.109375" style="1008" customWidth="1"/>
    <col min="4355" max="4356" width="8.88671875" style="1008"/>
    <col min="4357" max="4357" width="1.77734375" style="1008" customWidth="1"/>
    <col min="4358" max="4358" width="11.109375" style="1008" customWidth="1"/>
    <col min="4359" max="4360" width="8.88671875" style="1008"/>
    <col min="4361" max="4361" width="7.109375" style="1008" customWidth="1"/>
    <col min="4362" max="4362" width="6.44140625" style="1008" customWidth="1"/>
    <col min="4363" max="4363" width="8.88671875" style="1008"/>
    <col min="4364" max="4364" width="6.77734375" style="1008" customWidth="1"/>
    <col min="4365" max="4365" width="5.88671875" style="1008" customWidth="1"/>
    <col min="4366" max="4366" width="6.77734375" style="1008" customWidth="1"/>
    <col min="4367" max="4367" width="5.33203125" style="1008" customWidth="1"/>
    <col min="4368" max="4368" width="8.77734375" style="1008" bestFit="1" customWidth="1"/>
    <col min="4369" max="4369" width="8" style="1008" customWidth="1"/>
    <col min="4370" max="4609" width="8.88671875" style="1008"/>
    <col min="4610" max="4610" width="7.109375" style="1008" customWidth="1"/>
    <col min="4611" max="4612" width="8.88671875" style="1008"/>
    <col min="4613" max="4613" width="1.77734375" style="1008" customWidth="1"/>
    <col min="4614" max="4614" width="11.109375" style="1008" customWidth="1"/>
    <col min="4615" max="4616" width="8.88671875" style="1008"/>
    <col min="4617" max="4617" width="7.109375" style="1008" customWidth="1"/>
    <col min="4618" max="4618" width="6.44140625" style="1008" customWidth="1"/>
    <col min="4619" max="4619" width="8.88671875" style="1008"/>
    <col min="4620" max="4620" width="6.77734375" style="1008" customWidth="1"/>
    <col min="4621" max="4621" width="5.88671875" style="1008" customWidth="1"/>
    <col min="4622" max="4622" width="6.77734375" style="1008" customWidth="1"/>
    <col min="4623" max="4623" width="5.33203125" style="1008" customWidth="1"/>
    <col min="4624" max="4624" width="8.77734375" style="1008" bestFit="1" customWidth="1"/>
    <col min="4625" max="4625" width="8" style="1008" customWidth="1"/>
    <col min="4626" max="4865" width="8.88671875" style="1008"/>
    <col min="4866" max="4866" width="7.109375" style="1008" customWidth="1"/>
    <col min="4867" max="4868" width="8.88671875" style="1008"/>
    <col min="4869" max="4869" width="1.77734375" style="1008" customWidth="1"/>
    <col min="4870" max="4870" width="11.109375" style="1008" customWidth="1"/>
    <col min="4871" max="4872" width="8.88671875" style="1008"/>
    <col min="4873" max="4873" width="7.109375" style="1008" customWidth="1"/>
    <col min="4874" max="4874" width="6.44140625" style="1008" customWidth="1"/>
    <col min="4875" max="4875" width="8.88671875" style="1008"/>
    <col min="4876" max="4876" width="6.77734375" style="1008" customWidth="1"/>
    <col min="4877" max="4877" width="5.88671875" style="1008" customWidth="1"/>
    <col min="4878" max="4878" width="6.77734375" style="1008" customWidth="1"/>
    <col min="4879" max="4879" width="5.33203125" style="1008" customWidth="1"/>
    <col min="4880" max="4880" width="8.77734375" style="1008" bestFit="1" customWidth="1"/>
    <col min="4881" max="4881" width="8" style="1008" customWidth="1"/>
    <col min="4882" max="5121" width="8.88671875" style="1008"/>
    <col min="5122" max="5122" width="7.109375" style="1008" customWidth="1"/>
    <col min="5123" max="5124" width="8.88671875" style="1008"/>
    <col min="5125" max="5125" width="1.77734375" style="1008" customWidth="1"/>
    <col min="5126" max="5126" width="11.109375" style="1008" customWidth="1"/>
    <col min="5127" max="5128" width="8.88671875" style="1008"/>
    <col min="5129" max="5129" width="7.109375" style="1008" customWidth="1"/>
    <col min="5130" max="5130" width="6.44140625" style="1008" customWidth="1"/>
    <col min="5131" max="5131" width="8.88671875" style="1008"/>
    <col min="5132" max="5132" width="6.77734375" style="1008" customWidth="1"/>
    <col min="5133" max="5133" width="5.88671875" style="1008" customWidth="1"/>
    <col min="5134" max="5134" width="6.77734375" style="1008" customWidth="1"/>
    <col min="5135" max="5135" width="5.33203125" style="1008" customWidth="1"/>
    <col min="5136" max="5136" width="8.77734375" style="1008" bestFit="1" customWidth="1"/>
    <col min="5137" max="5137" width="8" style="1008" customWidth="1"/>
    <col min="5138" max="5377" width="8.88671875" style="1008"/>
    <col min="5378" max="5378" width="7.109375" style="1008" customWidth="1"/>
    <col min="5379" max="5380" width="8.88671875" style="1008"/>
    <col min="5381" max="5381" width="1.77734375" style="1008" customWidth="1"/>
    <col min="5382" max="5382" width="11.109375" style="1008" customWidth="1"/>
    <col min="5383" max="5384" width="8.88671875" style="1008"/>
    <col min="5385" max="5385" width="7.109375" style="1008" customWidth="1"/>
    <col min="5386" max="5386" width="6.44140625" style="1008" customWidth="1"/>
    <col min="5387" max="5387" width="8.88671875" style="1008"/>
    <col min="5388" max="5388" width="6.77734375" style="1008" customWidth="1"/>
    <col min="5389" max="5389" width="5.88671875" style="1008" customWidth="1"/>
    <col min="5390" max="5390" width="6.77734375" style="1008" customWidth="1"/>
    <col min="5391" max="5391" width="5.33203125" style="1008" customWidth="1"/>
    <col min="5392" max="5392" width="8.77734375" style="1008" bestFit="1" customWidth="1"/>
    <col min="5393" max="5393" width="8" style="1008" customWidth="1"/>
    <col min="5394" max="5633" width="8.88671875" style="1008"/>
    <col min="5634" max="5634" width="7.109375" style="1008" customWidth="1"/>
    <col min="5635" max="5636" width="8.88671875" style="1008"/>
    <col min="5637" max="5637" width="1.77734375" style="1008" customWidth="1"/>
    <col min="5638" max="5638" width="11.109375" style="1008" customWidth="1"/>
    <col min="5639" max="5640" width="8.88671875" style="1008"/>
    <col min="5641" max="5641" width="7.109375" style="1008" customWidth="1"/>
    <col min="5642" max="5642" width="6.44140625" style="1008" customWidth="1"/>
    <col min="5643" max="5643" width="8.88671875" style="1008"/>
    <col min="5644" max="5644" width="6.77734375" style="1008" customWidth="1"/>
    <col min="5645" max="5645" width="5.88671875" style="1008" customWidth="1"/>
    <col min="5646" max="5646" width="6.77734375" style="1008" customWidth="1"/>
    <col min="5647" max="5647" width="5.33203125" style="1008" customWidth="1"/>
    <col min="5648" max="5648" width="8.77734375" style="1008" bestFit="1" customWidth="1"/>
    <col min="5649" max="5649" width="8" style="1008" customWidth="1"/>
    <col min="5650" max="5889" width="8.88671875" style="1008"/>
    <col min="5890" max="5890" width="7.109375" style="1008" customWidth="1"/>
    <col min="5891" max="5892" width="8.88671875" style="1008"/>
    <col min="5893" max="5893" width="1.77734375" style="1008" customWidth="1"/>
    <col min="5894" max="5894" width="11.109375" style="1008" customWidth="1"/>
    <col min="5895" max="5896" width="8.88671875" style="1008"/>
    <col min="5897" max="5897" width="7.109375" style="1008" customWidth="1"/>
    <col min="5898" max="5898" width="6.44140625" style="1008" customWidth="1"/>
    <col min="5899" max="5899" width="8.88671875" style="1008"/>
    <col min="5900" max="5900" width="6.77734375" style="1008" customWidth="1"/>
    <col min="5901" max="5901" width="5.88671875" style="1008" customWidth="1"/>
    <col min="5902" max="5902" width="6.77734375" style="1008" customWidth="1"/>
    <col min="5903" max="5903" width="5.33203125" style="1008" customWidth="1"/>
    <col min="5904" max="5904" width="8.77734375" style="1008" bestFit="1" customWidth="1"/>
    <col min="5905" max="5905" width="8" style="1008" customWidth="1"/>
    <col min="5906" max="6145" width="8.88671875" style="1008"/>
    <col min="6146" max="6146" width="7.109375" style="1008" customWidth="1"/>
    <col min="6147" max="6148" width="8.88671875" style="1008"/>
    <col min="6149" max="6149" width="1.77734375" style="1008" customWidth="1"/>
    <col min="6150" max="6150" width="11.109375" style="1008" customWidth="1"/>
    <col min="6151" max="6152" width="8.88671875" style="1008"/>
    <col min="6153" max="6153" width="7.109375" style="1008" customWidth="1"/>
    <col min="6154" max="6154" width="6.44140625" style="1008" customWidth="1"/>
    <col min="6155" max="6155" width="8.88671875" style="1008"/>
    <col min="6156" max="6156" width="6.77734375" style="1008" customWidth="1"/>
    <col min="6157" max="6157" width="5.88671875" style="1008" customWidth="1"/>
    <col min="6158" max="6158" width="6.77734375" style="1008" customWidth="1"/>
    <col min="6159" max="6159" width="5.33203125" style="1008" customWidth="1"/>
    <col min="6160" max="6160" width="8.77734375" style="1008" bestFit="1" customWidth="1"/>
    <col min="6161" max="6161" width="8" style="1008" customWidth="1"/>
    <col min="6162" max="6401" width="8.88671875" style="1008"/>
    <col min="6402" max="6402" width="7.109375" style="1008" customWidth="1"/>
    <col min="6403" max="6404" width="8.88671875" style="1008"/>
    <col min="6405" max="6405" width="1.77734375" style="1008" customWidth="1"/>
    <col min="6406" max="6406" width="11.109375" style="1008" customWidth="1"/>
    <col min="6407" max="6408" width="8.88671875" style="1008"/>
    <col min="6409" max="6409" width="7.109375" style="1008" customWidth="1"/>
    <col min="6410" max="6410" width="6.44140625" style="1008" customWidth="1"/>
    <col min="6411" max="6411" width="8.88671875" style="1008"/>
    <col min="6412" max="6412" width="6.77734375" style="1008" customWidth="1"/>
    <col min="6413" max="6413" width="5.88671875" style="1008" customWidth="1"/>
    <col min="6414" max="6414" width="6.77734375" style="1008" customWidth="1"/>
    <col min="6415" max="6415" width="5.33203125" style="1008" customWidth="1"/>
    <col min="6416" max="6416" width="8.77734375" style="1008" bestFit="1" customWidth="1"/>
    <col min="6417" max="6417" width="8" style="1008" customWidth="1"/>
    <col min="6418" max="6657" width="8.88671875" style="1008"/>
    <col min="6658" max="6658" width="7.109375" style="1008" customWidth="1"/>
    <col min="6659" max="6660" width="8.88671875" style="1008"/>
    <col min="6661" max="6661" width="1.77734375" style="1008" customWidth="1"/>
    <col min="6662" max="6662" width="11.109375" style="1008" customWidth="1"/>
    <col min="6663" max="6664" width="8.88671875" style="1008"/>
    <col min="6665" max="6665" width="7.109375" style="1008" customWidth="1"/>
    <col min="6666" max="6666" width="6.44140625" style="1008" customWidth="1"/>
    <col min="6667" max="6667" width="8.88671875" style="1008"/>
    <col min="6668" max="6668" width="6.77734375" style="1008" customWidth="1"/>
    <col min="6669" max="6669" width="5.88671875" style="1008" customWidth="1"/>
    <col min="6670" max="6670" width="6.77734375" style="1008" customWidth="1"/>
    <col min="6671" max="6671" width="5.33203125" style="1008" customWidth="1"/>
    <col min="6672" max="6672" width="8.77734375" style="1008" bestFit="1" customWidth="1"/>
    <col min="6673" max="6673" width="8" style="1008" customWidth="1"/>
    <col min="6674" max="6913" width="8.88671875" style="1008"/>
    <col min="6914" max="6914" width="7.109375" style="1008" customWidth="1"/>
    <col min="6915" max="6916" width="8.88671875" style="1008"/>
    <col min="6917" max="6917" width="1.77734375" style="1008" customWidth="1"/>
    <col min="6918" max="6918" width="11.109375" style="1008" customWidth="1"/>
    <col min="6919" max="6920" width="8.88671875" style="1008"/>
    <col min="6921" max="6921" width="7.109375" style="1008" customWidth="1"/>
    <col min="6922" max="6922" width="6.44140625" style="1008" customWidth="1"/>
    <col min="6923" max="6923" width="8.88671875" style="1008"/>
    <col min="6924" max="6924" width="6.77734375" style="1008" customWidth="1"/>
    <col min="6925" max="6925" width="5.88671875" style="1008" customWidth="1"/>
    <col min="6926" max="6926" width="6.77734375" style="1008" customWidth="1"/>
    <col min="6927" max="6927" width="5.33203125" style="1008" customWidth="1"/>
    <col min="6928" max="6928" width="8.77734375" style="1008" bestFit="1" customWidth="1"/>
    <col min="6929" max="6929" width="8" style="1008" customWidth="1"/>
    <col min="6930" max="7169" width="8.88671875" style="1008"/>
    <col min="7170" max="7170" width="7.109375" style="1008" customWidth="1"/>
    <col min="7171" max="7172" width="8.88671875" style="1008"/>
    <col min="7173" max="7173" width="1.77734375" style="1008" customWidth="1"/>
    <col min="7174" max="7174" width="11.109375" style="1008" customWidth="1"/>
    <col min="7175" max="7176" width="8.88671875" style="1008"/>
    <col min="7177" max="7177" width="7.109375" style="1008" customWidth="1"/>
    <col min="7178" max="7178" width="6.44140625" style="1008" customWidth="1"/>
    <col min="7179" max="7179" width="8.88671875" style="1008"/>
    <col min="7180" max="7180" width="6.77734375" style="1008" customWidth="1"/>
    <col min="7181" max="7181" width="5.88671875" style="1008" customWidth="1"/>
    <col min="7182" max="7182" width="6.77734375" style="1008" customWidth="1"/>
    <col min="7183" max="7183" width="5.33203125" style="1008" customWidth="1"/>
    <col min="7184" max="7184" width="8.77734375" style="1008" bestFit="1" customWidth="1"/>
    <col min="7185" max="7185" width="8" style="1008" customWidth="1"/>
    <col min="7186" max="7425" width="8.88671875" style="1008"/>
    <col min="7426" max="7426" width="7.109375" style="1008" customWidth="1"/>
    <col min="7427" max="7428" width="8.88671875" style="1008"/>
    <col min="7429" max="7429" width="1.77734375" style="1008" customWidth="1"/>
    <col min="7430" max="7430" width="11.109375" style="1008" customWidth="1"/>
    <col min="7431" max="7432" width="8.88671875" style="1008"/>
    <col min="7433" max="7433" width="7.109375" style="1008" customWidth="1"/>
    <col min="7434" max="7434" width="6.44140625" style="1008" customWidth="1"/>
    <col min="7435" max="7435" width="8.88671875" style="1008"/>
    <col min="7436" max="7436" width="6.77734375" style="1008" customWidth="1"/>
    <col min="7437" max="7437" width="5.88671875" style="1008" customWidth="1"/>
    <col min="7438" max="7438" width="6.77734375" style="1008" customWidth="1"/>
    <col min="7439" max="7439" width="5.33203125" style="1008" customWidth="1"/>
    <col min="7440" max="7440" width="8.77734375" style="1008" bestFit="1" customWidth="1"/>
    <col min="7441" max="7441" width="8" style="1008" customWidth="1"/>
    <col min="7442" max="7681" width="8.88671875" style="1008"/>
    <col min="7682" max="7682" width="7.109375" style="1008" customWidth="1"/>
    <col min="7683" max="7684" width="8.88671875" style="1008"/>
    <col min="7685" max="7685" width="1.77734375" style="1008" customWidth="1"/>
    <col min="7686" max="7686" width="11.109375" style="1008" customWidth="1"/>
    <col min="7687" max="7688" width="8.88671875" style="1008"/>
    <col min="7689" max="7689" width="7.109375" style="1008" customWidth="1"/>
    <col min="7690" max="7690" width="6.44140625" style="1008" customWidth="1"/>
    <col min="7691" max="7691" width="8.88671875" style="1008"/>
    <col min="7692" max="7692" width="6.77734375" style="1008" customWidth="1"/>
    <col min="7693" max="7693" width="5.88671875" style="1008" customWidth="1"/>
    <col min="7694" max="7694" width="6.77734375" style="1008" customWidth="1"/>
    <col min="7695" max="7695" width="5.33203125" style="1008" customWidth="1"/>
    <col min="7696" max="7696" width="8.77734375" style="1008" bestFit="1" customWidth="1"/>
    <col min="7697" max="7697" width="8" style="1008" customWidth="1"/>
    <col min="7698" max="7937" width="8.88671875" style="1008"/>
    <col min="7938" max="7938" width="7.109375" style="1008" customWidth="1"/>
    <col min="7939" max="7940" width="8.88671875" style="1008"/>
    <col min="7941" max="7941" width="1.77734375" style="1008" customWidth="1"/>
    <col min="7942" max="7942" width="11.109375" style="1008" customWidth="1"/>
    <col min="7943" max="7944" width="8.88671875" style="1008"/>
    <col min="7945" max="7945" width="7.109375" style="1008" customWidth="1"/>
    <col min="7946" max="7946" width="6.44140625" style="1008" customWidth="1"/>
    <col min="7947" max="7947" width="8.88671875" style="1008"/>
    <col min="7948" max="7948" width="6.77734375" style="1008" customWidth="1"/>
    <col min="7949" max="7949" width="5.88671875" style="1008" customWidth="1"/>
    <col min="7950" max="7950" width="6.77734375" style="1008" customWidth="1"/>
    <col min="7951" max="7951" width="5.33203125" style="1008" customWidth="1"/>
    <col min="7952" max="7952" width="8.77734375" style="1008" bestFit="1" customWidth="1"/>
    <col min="7953" max="7953" width="8" style="1008" customWidth="1"/>
    <col min="7954" max="8193" width="8.88671875" style="1008"/>
    <col min="8194" max="8194" width="7.109375" style="1008" customWidth="1"/>
    <col min="8195" max="8196" width="8.88671875" style="1008"/>
    <col min="8197" max="8197" width="1.77734375" style="1008" customWidth="1"/>
    <col min="8198" max="8198" width="11.109375" style="1008" customWidth="1"/>
    <col min="8199" max="8200" width="8.88671875" style="1008"/>
    <col min="8201" max="8201" width="7.109375" style="1008" customWidth="1"/>
    <col min="8202" max="8202" width="6.44140625" style="1008" customWidth="1"/>
    <col min="8203" max="8203" width="8.88671875" style="1008"/>
    <col min="8204" max="8204" width="6.77734375" style="1008" customWidth="1"/>
    <col min="8205" max="8205" width="5.88671875" style="1008" customWidth="1"/>
    <col min="8206" max="8206" width="6.77734375" style="1008" customWidth="1"/>
    <col min="8207" max="8207" width="5.33203125" style="1008" customWidth="1"/>
    <col min="8208" max="8208" width="8.77734375" style="1008" bestFit="1" customWidth="1"/>
    <col min="8209" max="8209" width="8" style="1008" customWidth="1"/>
    <col min="8210" max="8449" width="8.88671875" style="1008"/>
    <col min="8450" max="8450" width="7.109375" style="1008" customWidth="1"/>
    <col min="8451" max="8452" width="8.88671875" style="1008"/>
    <col min="8453" max="8453" width="1.77734375" style="1008" customWidth="1"/>
    <col min="8454" max="8454" width="11.109375" style="1008" customWidth="1"/>
    <col min="8455" max="8456" width="8.88671875" style="1008"/>
    <col min="8457" max="8457" width="7.109375" style="1008" customWidth="1"/>
    <col min="8458" max="8458" width="6.44140625" style="1008" customWidth="1"/>
    <col min="8459" max="8459" width="8.88671875" style="1008"/>
    <col min="8460" max="8460" width="6.77734375" style="1008" customWidth="1"/>
    <col min="8461" max="8461" width="5.88671875" style="1008" customWidth="1"/>
    <col min="8462" max="8462" width="6.77734375" style="1008" customWidth="1"/>
    <col min="8463" max="8463" width="5.33203125" style="1008" customWidth="1"/>
    <col min="8464" max="8464" width="8.77734375" style="1008" bestFit="1" customWidth="1"/>
    <col min="8465" max="8465" width="8" style="1008" customWidth="1"/>
    <col min="8466" max="8705" width="8.88671875" style="1008"/>
    <col min="8706" max="8706" width="7.109375" style="1008" customWidth="1"/>
    <col min="8707" max="8708" width="8.88671875" style="1008"/>
    <col min="8709" max="8709" width="1.77734375" style="1008" customWidth="1"/>
    <col min="8710" max="8710" width="11.109375" style="1008" customWidth="1"/>
    <col min="8711" max="8712" width="8.88671875" style="1008"/>
    <col min="8713" max="8713" width="7.109375" style="1008" customWidth="1"/>
    <col min="8714" max="8714" width="6.44140625" style="1008" customWidth="1"/>
    <col min="8715" max="8715" width="8.88671875" style="1008"/>
    <col min="8716" max="8716" width="6.77734375" style="1008" customWidth="1"/>
    <col min="8717" max="8717" width="5.88671875" style="1008" customWidth="1"/>
    <col min="8718" max="8718" width="6.77734375" style="1008" customWidth="1"/>
    <col min="8719" max="8719" width="5.33203125" style="1008" customWidth="1"/>
    <col min="8720" max="8720" width="8.77734375" style="1008" bestFit="1" customWidth="1"/>
    <col min="8721" max="8721" width="8" style="1008" customWidth="1"/>
    <col min="8722" max="8961" width="8.88671875" style="1008"/>
    <col min="8962" max="8962" width="7.109375" style="1008" customWidth="1"/>
    <col min="8963" max="8964" width="8.88671875" style="1008"/>
    <col min="8965" max="8965" width="1.77734375" style="1008" customWidth="1"/>
    <col min="8966" max="8966" width="11.109375" style="1008" customWidth="1"/>
    <col min="8967" max="8968" width="8.88671875" style="1008"/>
    <col min="8969" max="8969" width="7.109375" style="1008" customWidth="1"/>
    <col min="8970" max="8970" width="6.44140625" style="1008" customWidth="1"/>
    <col min="8971" max="8971" width="8.88671875" style="1008"/>
    <col min="8972" max="8972" width="6.77734375" style="1008" customWidth="1"/>
    <col min="8973" max="8973" width="5.88671875" style="1008" customWidth="1"/>
    <col min="8974" max="8974" width="6.77734375" style="1008" customWidth="1"/>
    <col min="8975" max="8975" width="5.33203125" style="1008" customWidth="1"/>
    <col min="8976" max="8976" width="8.77734375" style="1008" bestFit="1" customWidth="1"/>
    <col min="8977" max="8977" width="8" style="1008" customWidth="1"/>
    <col min="8978" max="9217" width="8.88671875" style="1008"/>
    <col min="9218" max="9218" width="7.109375" style="1008" customWidth="1"/>
    <col min="9219" max="9220" width="8.88671875" style="1008"/>
    <col min="9221" max="9221" width="1.77734375" style="1008" customWidth="1"/>
    <col min="9222" max="9222" width="11.109375" style="1008" customWidth="1"/>
    <col min="9223" max="9224" width="8.88671875" style="1008"/>
    <col min="9225" max="9225" width="7.109375" style="1008" customWidth="1"/>
    <col min="9226" max="9226" width="6.44140625" style="1008" customWidth="1"/>
    <col min="9227" max="9227" width="8.88671875" style="1008"/>
    <col min="9228" max="9228" width="6.77734375" style="1008" customWidth="1"/>
    <col min="9229" max="9229" width="5.88671875" style="1008" customWidth="1"/>
    <col min="9230" max="9230" width="6.77734375" style="1008" customWidth="1"/>
    <col min="9231" max="9231" width="5.33203125" style="1008" customWidth="1"/>
    <col min="9232" max="9232" width="8.77734375" style="1008" bestFit="1" customWidth="1"/>
    <col min="9233" max="9233" width="8" style="1008" customWidth="1"/>
    <col min="9234" max="9473" width="8.88671875" style="1008"/>
    <col min="9474" max="9474" width="7.109375" style="1008" customWidth="1"/>
    <col min="9475" max="9476" width="8.88671875" style="1008"/>
    <col min="9477" max="9477" width="1.77734375" style="1008" customWidth="1"/>
    <col min="9478" max="9478" width="11.109375" style="1008" customWidth="1"/>
    <col min="9479" max="9480" width="8.88671875" style="1008"/>
    <col min="9481" max="9481" width="7.109375" style="1008" customWidth="1"/>
    <col min="9482" max="9482" width="6.44140625" style="1008" customWidth="1"/>
    <col min="9483" max="9483" width="8.88671875" style="1008"/>
    <col min="9484" max="9484" width="6.77734375" style="1008" customWidth="1"/>
    <col min="9485" max="9485" width="5.88671875" style="1008" customWidth="1"/>
    <col min="9486" max="9486" width="6.77734375" style="1008" customWidth="1"/>
    <col min="9487" max="9487" width="5.33203125" style="1008" customWidth="1"/>
    <col min="9488" max="9488" width="8.77734375" style="1008" bestFit="1" customWidth="1"/>
    <col min="9489" max="9489" width="8" style="1008" customWidth="1"/>
    <col min="9490" max="9729" width="8.88671875" style="1008"/>
    <col min="9730" max="9730" width="7.109375" style="1008" customWidth="1"/>
    <col min="9731" max="9732" width="8.88671875" style="1008"/>
    <col min="9733" max="9733" width="1.77734375" style="1008" customWidth="1"/>
    <col min="9734" max="9734" width="11.109375" style="1008" customWidth="1"/>
    <col min="9735" max="9736" width="8.88671875" style="1008"/>
    <col min="9737" max="9737" width="7.109375" style="1008" customWidth="1"/>
    <col min="9738" max="9738" width="6.44140625" style="1008" customWidth="1"/>
    <col min="9739" max="9739" width="8.88671875" style="1008"/>
    <col min="9740" max="9740" width="6.77734375" style="1008" customWidth="1"/>
    <col min="9741" max="9741" width="5.88671875" style="1008" customWidth="1"/>
    <col min="9742" max="9742" width="6.77734375" style="1008" customWidth="1"/>
    <col min="9743" max="9743" width="5.33203125" style="1008" customWidth="1"/>
    <col min="9744" max="9744" width="8.77734375" style="1008" bestFit="1" customWidth="1"/>
    <col min="9745" max="9745" width="8" style="1008" customWidth="1"/>
    <col min="9746" max="9985" width="8.88671875" style="1008"/>
    <col min="9986" max="9986" width="7.109375" style="1008" customWidth="1"/>
    <col min="9987" max="9988" width="8.88671875" style="1008"/>
    <col min="9989" max="9989" width="1.77734375" style="1008" customWidth="1"/>
    <col min="9990" max="9990" width="11.109375" style="1008" customWidth="1"/>
    <col min="9991" max="9992" width="8.88671875" style="1008"/>
    <col min="9993" max="9993" width="7.109375" style="1008" customWidth="1"/>
    <col min="9994" max="9994" width="6.44140625" style="1008" customWidth="1"/>
    <col min="9995" max="9995" width="8.88671875" style="1008"/>
    <col min="9996" max="9996" width="6.77734375" style="1008" customWidth="1"/>
    <col min="9997" max="9997" width="5.88671875" style="1008" customWidth="1"/>
    <col min="9998" max="9998" width="6.77734375" style="1008" customWidth="1"/>
    <col min="9999" max="9999" width="5.33203125" style="1008" customWidth="1"/>
    <col min="10000" max="10000" width="8.77734375" style="1008" bestFit="1" customWidth="1"/>
    <col min="10001" max="10001" width="8" style="1008" customWidth="1"/>
    <col min="10002" max="10241" width="8.88671875" style="1008"/>
    <col min="10242" max="10242" width="7.109375" style="1008" customWidth="1"/>
    <col min="10243" max="10244" width="8.88671875" style="1008"/>
    <col min="10245" max="10245" width="1.77734375" style="1008" customWidth="1"/>
    <col min="10246" max="10246" width="11.109375" style="1008" customWidth="1"/>
    <col min="10247" max="10248" width="8.88671875" style="1008"/>
    <col min="10249" max="10249" width="7.109375" style="1008" customWidth="1"/>
    <col min="10250" max="10250" width="6.44140625" style="1008" customWidth="1"/>
    <col min="10251" max="10251" width="8.88671875" style="1008"/>
    <col min="10252" max="10252" width="6.77734375" style="1008" customWidth="1"/>
    <col min="10253" max="10253" width="5.88671875" style="1008" customWidth="1"/>
    <col min="10254" max="10254" width="6.77734375" style="1008" customWidth="1"/>
    <col min="10255" max="10255" width="5.33203125" style="1008" customWidth="1"/>
    <col min="10256" max="10256" width="8.77734375" style="1008" bestFit="1" customWidth="1"/>
    <col min="10257" max="10257" width="8" style="1008" customWidth="1"/>
    <col min="10258" max="10497" width="8.88671875" style="1008"/>
    <col min="10498" max="10498" width="7.109375" style="1008" customWidth="1"/>
    <col min="10499" max="10500" width="8.88671875" style="1008"/>
    <col min="10501" max="10501" width="1.77734375" style="1008" customWidth="1"/>
    <col min="10502" max="10502" width="11.109375" style="1008" customWidth="1"/>
    <col min="10503" max="10504" width="8.88671875" style="1008"/>
    <col min="10505" max="10505" width="7.109375" style="1008" customWidth="1"/>
    <col min="10506" max="10506" width="6.44140625" style="1008" customWidth="1"/>
    <col min="10507" max="10507" width="8.88671875" style="1008"/>
    <col min="10508" max="10508" width="6.77734375" style="1008" customWidth="1"/>
    <col min="10509" max="10509" width="5.88671875" style="1008" customWidth="1"/>
    <col min="10510" max="10510" width="6.77734375" style="1008" customWidth="1"/>
    <col min="10511" max="10511" width="5.33203125" style="1008" customWidth="1"/>
    <col min="10512" max="10512" width="8.77734375" style="1008" bestFit="1" customWidth="1"/>
    <col min="10513" max="10513" width="8" style="1008" customWidth="1"/>
    <col min="10514" max="10753" width="8.88671875" style="1008"/>
    <col min="10754" max="10754" width="7.109375" style="1008" customWidth="1"/>
    <col min="10755" max="10756" width="8.88671875" style="1008"/>
    <col min="10757" max="10757" width="1.77734375" style="1008" customWidth="1"/>
    <col min="10758" max="10758" width="11.109375" style="1008" customWidth="1"/>
    <col min="10759" max="10760" width="8.88671875" style="1008"/>
    <col min="10761" max="10761" width="7.109375" style="1008" customWidth="1"/>
    <col min="10762" max="10762" width="6.44140625" style="1008" customWidth="1"/>
    <col min="10763" max="10763" width="8.88671875" style="1008"/>
    <col min="10764" max="10764" width="6.77734375" style="1008" customWidth="1"/>
    <col min="10765" max="10765" width="5.88671875" style="1008" customWidth="1"/>
    <col min="10766" max="10766" width="6.77734375" style="1008" customWidth="1"/>
    <col min="10767" max="10767" width="5.33203125" style="1008" customWidth="1"/>
    <col min="10768" max="10768" width="8.77734375" style="1008" bestFit="1" customWidth="1"/>
    <col min="10769" max="10769" width="8" style="1008" customWidth="1"/>
    <col min="10770" max="11009" width="8.88671875" style="1008"/>
    <col min="11010" max="11010" width="7.109375" style="1008" customWidth="1"/>
    <col min="11011" max="11012" width="8.88671875" style="1008"/>
    <col min="11013" max="11013" width="1.77734375" style="1008" customWidth="1"/>
    <col min="11014" max="11014" width="11.109375" style="1008" customWidth="1"/>
    <col min="11015" max="11016" width="8.88671875" style="1008"/>
    <col min="11017" max="11017" width="7.109375" style="1008" customWidth="1"/>
    <col min="11018" max="11018" width="6.44140625" style="1008" customWidth="1"/>
    <col min="11019" max="11019" width="8.88671875" style="1008"/>
    <col min="11020" max="11020" width="6.77734375" style="1008" customWidth="1"/>
    <col min="11021" max="11021" width="5.88671875" style="1008" customWidth="1"/>
    <col min="11022" max="11022" width="6.77734375" style="1008" customWidth="1"/>
    <col min="11023" max="11023" width="5.33203125" style="1008" customWidth="1"/>
    <col min="11024" max="11024" width="8.77734375" style="1008" bestFit="1" customWidth="1"/>
    <col min="11025" max="11025" width="8" style="1008" customWidth="1"/>
    <col min="11026" max="11265" width="8.88671875" style="1008"/>
    <col min="11266" max="11266" width="7.109375" style="1008" customWidth="1"/>
    <col min="11267" max="11268" width="8.88671875" style="1008"/>
    <col min="11269" max="11269" width="1.77734375" style="1008" customWidth="1"/>
    <col min="11270" max="11270" width="11.109375" style="1008" customWidth="1"/>
    <col min="11271" max="11272" width="8.88671875" style="1008"/>
    <col min="11273" max="11273" width="7.109375" style="1008" customWidth="1"/>
    <col min="11274" max="11274" width="6.44140625" style="1008" customWidth="1"/>
    <col min="11275" max="11275" width="8.88671875" style="1008"/>
    <col min="11276" max="11276" width="6.77734375" style="1008" customWidth="1"/>
    <col min="11277" max="11277" width="5.88671875" style="1008" customWidth="1"/>
    <col min="11278" max="11278" width="6.77734375" style="1008" customWidth="1"/>
    <col min="11279" max="11279" width="5.33203125" style="1008" customWidth="1"/>
    <col min="11280" max="11280" width="8.77734375" style="1008" bestFit="1" customWidth="1"/>
    <col min="11281" max="11281" width="8" style="1008" customWidth="1"/>
    <col min="11282" max="11521" width="8.88671875" style="1008"/>
    <col min="11522" max="11522" width="7.109375" style="1008" customWidth="1"/>
    <col min="11523" max="11524" width="8.88671875" style="1008"/>
    <col min="11525" max="11525" width="1.77734375" style="1008" customWidth="1"/>
    <col min="11526" max="11526" width="11.109375" style="1008" customWidth="1"/>
    <col min="11527" max="11528" width="8.88671875" style="1008"/>
    <col min="11529" max="11529" width="7.109375" style="1008" customWidth="1"/>
    <col min="11530" max="11530" width="6.44140625" style="1008" customWidth="1"/>
    <col min="11531" max="11531" width="8.88671875" style="1008"/>
    <col min="11532" max="11532" width="6.77734375" style="1008" customWidth="1"/>
    <col min="11533" max="11533" width="5.88671875" style="1008" customWidth="1"/>
    <col min="11534" max="11534" width="6.77734375" style="1008" customWidth="1"/>
    <col min="11535" max="11535" width="5.33203125" style="1008" customWidth="1"/>
    <col min="11536" max="11536" width="8.77734375" style="1008" bestFit="1" customWidth="1"/>
    <col min="11537" max="11537" width="8" style="1008" customWidth="1"/>
    <col min="11538" max="11777" width="8.88671875" style="1008"/>
    <col min="11778" max="11778" width="7.109375" style="1008" customWidth="1"/>
    <col min="11779" max="11780" width="8.88671875" style="1008"/>
    <col min="11781" max="11781" width="1.77734375" style="1008" customWidth="1"/>
    <col min="11782" max="11782" width="11.109375" style="1008" customWidth="1"/>
    <col min="11783" max="11784" width="8.88671875" style="1008"/>
    <col min="11785" max="11785" width="7.109375" style="1008" customWidth="1"/>
    <col min="11786" max="11786" width="6.44140625" style="1008" customWidth="1"/>
    <col min="11787" max="11787" width="8.88671875" style="1008"/>
    <col min="11788" max="11788" width="6.77734375" style="1008" customWidth="1"/>
    <col min="11789" max="11789" width="5.88671875" style="1008" customWidth="1"/>
    <col min="11790" max="11790" width="6.77734375" style="1008" customWidth="1"/>
    <col min="11791" max="11791" width="5.33203125" style="1008" customWidth="1"/>
    <col min="11792" max="11792" width="8.77734375" style="1008" bestFit="1" customWidth="1"/>
    <col min="11793" max="11793" width="8" style="1008" customWidth="1"/>
    <col min="11794" max="12033" width="8.88671875" style="1008"/>
    <col min="12034" max="12034" width="7.109375" style="1008" customWidth="1"/>
    <col min="12035" max="12036" width="8.88671875" style="1008"/>
    <col min="12037" max="12037" width="1.77734375" style="1008" customWidth="1"/>
    <col min="12038" max="12038" width="11.109375" style="1008" customWidth="1"/>
    <col min="12039" max="12040" width="8.88671875" style="1008"/>
    <col min="12041" max="12041" width="7.109375" style="1008" customWidth="1"/>
    <col min="12042" max="12042" width="6.44140625" style="1008" customWidth="1"/>
    <col min="12043" max="12043" width="8.88671875" style="1008"/>
    <col min="12044" max="12044" width="6.77734375" style="1008" customWidth="1"/>
    <col min="12045" max="12045" width="5.88671875" style="1008" customWidth="1"/>
    <col min="12046" max="12046" width="6.77734375" style="1008" customWidth="1"/>
    <col min="12047" max="12047" width="5.33203125" style="1008" customWidth="1"/>
    <col min="12048" max="12048" width="8.77734375" style="1008" bestFit="1" customWidth="1"/>
    <col min="12049" max="12049" width="8" style="1008" customWidth="1"/>
    <col min="12050" max="12289" width="8.88671875" style="1008"/>
    <col min="12290" max="12290" width="7.109375" style="1008" customWidth="1"/>
    <col min="12291" max="12292" width="8.88671875" style="1008"/>
    <col min="12293" max="12293" width="1.77734375" style="1008" customWidth="1"/>
    <col min="12294" max="12294" width="11.109375" style="1008" customWidth="1"/>
    <col min="12295" max="12296" width="8.88671875" style="1008"/>
    <col min="12297" max="12297" width="7.109375" style="1008" customWidth="1"/>
    <col min="12298" max="12298" width="6.44140625" style="1008" customWidth="1"/>
    <col min="12299" max="12299" width="8.88671875" style="1008"/>
    <col min="12300" max="12300" width="6.77734375" style="1008" customWidth="1"/>
    <col min="12301" max="12301" width="5.88671875" style="1008" customWidth="1"/>
    <col min="12302" max="12302" width="6.77734375" style="1008" customWidth="1"/>
    <col min="12303" max="12303" width="5.33203125" style="1008" customWidth="1"/>
    <col min="12304" max="12304" width="8.77734375" style="1008" bestFit="1" customWidth="1"/>
    <col min="12305" max="12305" width="8" style="1008" customWidth="1"/>
    <col min="12306" max="12545" width="8.88671875" style="1008"/>
    <col min="12546" max="12546" width="7.109375" style="1008" customWidth="1"/>
    <col min="12547" max="12548" width="8.88671875" style="1008"/>
    <col min="12549" max="12549" width="1.77734375" style="1008" customWidth="1"/>
    <col min="12550" max="12550" width="11.109375" style="1008" customWidth="1"/>
    <col min="12551" max="12552" width="8.88671875" style="1008"/>
    <col min="12553" max="12553" width="7.109375" style="1008" customWidth="1"/>
    <col min="12554" max="12554" width="6.44140625" style="1008" customWidth="1"/>
    <col min="12555" max="12555" width="8.88671875" style="1008"/>
    <col min="12556" max="12556" width="6.77734375" style="1008" customWidth="1"/>
    <col min="12557" max="12557" width="5.88671875" style="1008" customWidth="1"/>
    <col min="12558" max="12558" width="6.77734375" style="1008" customWidth="1"/>
    <col min="12559" max="12559" width="5.33203125" style="1008" customWidth="1"/>
    <col min="12560" max="12560" width="8.77734375" style="1008" bestFit="1" customWidth="1"/>
    <col min="12561" max="12561" width="8" style="1008" customWidth="1"/>
    <col min="12562" max="12801" width="8.88671875" style="1008"/>
    <col min="12802" max="12802" width="7.109375" style="1008" customWidth="1"/>
    <col min="12803" max="12804" width="8.88671875" style="1008"/>
    <col min="12805" max="12805" width="1.77734375" style="1008" customWidth="1"/>
    <col min="12806" max="12806" width="11.109375" style="1008" customWidth="1"/>
    <col min="12807" max="12808" width="8.88671875" style="1008"/>
    <col min="12809" max="12809" width="7.109375" style="1008" customWidth="1"/>
    <col min="12810" max="12810" width="6.44140625" style="1008" customWidth="1"/>
    <col min="12811" max="12811" width="8.88671875" style="1008"/>
    <col min="12812" max="12812" width="6.77734375" style="1008" customWidth="1"/>
    <col min="12813" max="12813" width="5.88671875" style="1008" customWidth="1"/>
    <col min="12814" max="12814" width="6.77734375" style="1008" customWidth="1"/>
    <col min="12815" max="12815" width="5.33203125" style="1008" customWidth="1"/>
    <col min="12816" max="12816" width="8.77734375" style="1008" bestFit="1" customWidth="1"/>
    <col min="12817" max="12817" width="8" style="1008" customWidth="1"/>
    <col min="12818" max="13057" width="8.88671875" style="1008"/>
    <col min="13058" max="13058" width="7.109375" style="1008" customWidth="1"/>
    <col min="13059" max="13060" width="8.88671875" style="1008"/>
    <col min="13061" max="13061" width="1.77734375" style="1008" customWidth="1"/>
    <col min="13062" max="13062" width="11.109375" style="1008" customWidth="1"/>
    <col min="13063" max="13064" width="8.88671875" style="1008"/>
    <col min="13065" max="13065" width="7.109375" style="1008" customWidth="1"/>
    <col min="13066" max="13066" width="6.44140625" style="1008" customWidth="1"/>
    <col min="13067" max="13067" width="8.88671875" style="1008"/>
    <col min="13068" max="13068" width="6.77734375" style="1008" customWidth="1"/>
    <col min="13069" max="13069" width="5.88671875" style="1008" customWidth="1"/>
    <col min="13070" max="13070" width="6.77734375" style="1008" customWidth="1"/>
    <col min="13071" max="13071" width="5.33203125" style="1008" customWidth="1"/>
    <col min="13072" max="13072" width="8.77734375" style="1008" bestFit="1" customWidth="1"/>
    <col min="13073" max="13073" width="8" style="1008" customWidth="1"/>
    <col min="13074" max="13313" width="8.88671875" style="1008"/>
    <col min="13314" max="13314" width="7.109375" style="1008" customWidth="1"/>
    <col min="13315" max="13316" width="8.88671875" style="1008"/>
    <col min="13317" max="13317" width="1.77734375" style="1008" customWidth="1"/>
    <col min="13318" max="13318" width="11.109375" style="1008" customWidth="1"/>
    <col min="13319" max="13320" width="8.88671875" style="1008"/>
    <col min="13321" max="13321" width="7.109375" style="1008" customWidth="1"/>
    <col min="13322" max="13322" width="6.44140625" style="1008" customWidth="1"/>
    <col min="13323" max="13323" width="8.88671875" style="1008"/>
    <col min="13324" max="13324" width="6.77734375" style="1008" customWidth="1"/>
    <col min="13325" max="13325" width="5.88671875" style="1008" customWidth="1"/>
    <col min="13326" max="13326" width="6.77734375" style="1008" customWidth="1"/>
    <col min="13327" max="13327" width="5.33203125" style="1008" customWidth="1"/>
    <col min="13328" max="13328" width="8.77734375" style="1008" bestFit="1" customWidth="1"/>
    <col min="13329" max="13329" width="8" style="1008" customWidth="1"/>
    <col min="13330" max="13569" width="8.88671875" style="1008"/>
    <col min="13570" max="13570" width="7.109375" style="1008" customWidth="1"/>
    <col min="13571" max="13572" width="8.88671875" style="1008"/>
    <col min="13573" max="13573" width="1.77734375" style="1008" customWidth="1"/>
    <col min="13574" max="13574" width="11.109375" style="1008" customWidth="1"/>
    <col min="13575" max="13576" width="8.88671875" style="1008"/>
    <col min="13577" max="13577" width="7.109375" style="1008" customWidth="1"/>
    <col min="13578" max="13578" width="6.44140625" style="1008" customWidth="1"/>
    <col min="13579" max="13579" width="8.88671875" style="1008"/>
    <col min="13580" max="13580" width="6.77734375" style="1008" customWidth="1"/>
    <col min="13581" max="13581" width="5.88671875" style="1008" customWidth="1"/>
    <col min="13582" max="13582" width="6.77734375" style="1008" customWidth="1"/>
    <col min="13583" max="13583" width="5.33203125" style="1008" customWidth="1"/>
    <col min="13584" max="13584" width="8.77734375" style="1008" bestFit="1" customWidth="1"/>
    <col min="13585" max="13585" width="8" style="1008" customWidth="1"/>
    <col min="13586" max="13825" width="8.88671875" style="1008"/>
    <col min="13826" max="13826" width="7.109375" style="1008" customWidth="1"/>
    <col min="13827" max="13828" width="8.88671875" style="1008"/>
    <col min="13829" max="13829" width="1.77734375" style="1008" customWidth="1"/>
    <col min="13830" max="13830" width="11.109375" style="1008" customWidth="1"/>
    <col min="13831" max="13832" width="8.88671875" style="1008"/>
    <col min="13833" max="13833" width="7.109375" style="1008" customWidth="1"/>
    <col min="13834" max="13834" width="6.44140625" style="1008" customWidth="1"/>
    <col min="13835" max="13835" width="8.88671875" style="1008"/>
    <col min="13836" max="13836" width="6.77734375" style="1008" customWidth="1"/>
    <col min="13837" max="13837" width="5.88671875" style="1008" customWidth="1"/>
    <col min="13838" max="13838" width="6.77734375" style="1008" customWidth="1"/>
    <col min="13839" max="13839" width="5.33203125" style="1008" customWidth="1"/>
    <col min="13840" max="13840" width="8.77734375" style="1008" bestFit="1" customWidth="1"/>
    <col min="13841" max="13841" width="8" style="1008" customWidth="1"/>
    <col min="13842" max="14081" width="8.88671875" style="1008"/>
    <col min="14082" max="14082" width="7.109375" style="1008" customWidth="1"/>
    <col min="14083" max="14084" width="8.88671875" style="1008"/>
    <col min="14085" max="14085" width="1.77734375" style="1008" customWidth="1"/>
    <col min="14086" max="14086" width="11.109375" style="1008" customWidth="1"/>
    <col min="14087" max="14088" width="8.88671875" style="1008"/>
    <col min="14089" max="14089" width="7.109375" style="1008" customWidth="1"/>
    <col min="14090" max="14090" width="6.44140625" style="1008" customWidth="1"/>
    <col min="14091" max="14091" width="8.88671875" style="1008"/>
    <col min="14092" max="14092" width="6.77734375" style="1008" customWidth="1"/>
    <col min="14093" max="14093" width="5.88671875" style="1008" customWidth="1"/>
    <col min="14094" max="14094" width="6.77734375" style="1008" customWidth="1"/>
    <col min="14095" max="14095" width="5.33203125" style="1008" customWidth="1"/>
    <col min="14096" max="14096" width="8.77734375" style="1008" bestFit="1" customWidth="1"/>
    <col min="14097" max="14097" width="8" style="1008" customWidth="1"/>
    <col min="14098" max="14337" width="8.88671875" style="1008"/>
    <col min="14338" max="14338" width="7.109375" style="1008" customWidth="1"/>
    <col min="14339" max="14340" width="8.88671875" style="1008"/>
    <col min="14341" max="14341" width="1.77734375" style="1008" customWidth="1"/>
    <col min="14342" max="14342" width="11.109375" style="1008" customWidth="1"/>
    <col min="14343" max="14344" width="8.88671875" style="1008"/>
    <col min="14345" max="14345" width="7.109375" style="1008" customWidth="1"/>
    <col min="14346" max="14346" width="6.44140625" style="1008" customWidth="1"/>
    <col min="14347" max="14347" width="8.88671875" style="1008"/>
    <col min="14348" max="14348" width="6.77734375" style="1008" customWidth="1"/>
    <col min="14349" max="14349" width="5.88671875" style="1008" customWidth="1"/>
    <col min="14350" max="14350" width="6.77734375" style="1008" customWidth="1"/>
    <col min="14351" max="14351" width="5.33203125" style="1008" customWidth="1"/>
    <col min="14352" max="14352" width="8.77734375" style="1008" bestFit="1" customWidth="1"/>
    <col min="14353" max="14353" width="8" style="1008" customWidth="1"/>
    <col min="14354" max="14593" width="8.88671875" style="1008"/>
    <col min="14594" max="14594" width="7.109375" style="1008" customWidth="1"/>
    <col min="14595" max="14596" width="8.88671875" style="1008"/>
    <col min="14597" max="14597" width="1.77734375" style="1008" customWidth="1"/>
    <col min="14598" max="14598" width="11.109375" style="1008" customWidth="1"/>
    <col min="14599" max="14600" width="8.88671875" style="1008"/>
    <col min="14601" max="14601" width="7.109375" style="1008" customWidth="1"/>
    <col min="14602" max="14602" width="6.44140625" style="1008" customWidth="1"/>
    <col min="14603" max="14603" width="8.88671875" style="1008"/>
    <col min="14604" max="14604" width="6.77734375" style="1008" customWidth="1"/>
    <col min="14605" max="14605" width="5.88671875" style="1008" customWidth="1"/>
    <col min="14606" max="14606" width="6.77734375" style="1008" customWidth="1"/>
    <col min="14607" max="14607" width="5.33203125" style="1008" customWidth="1"/>
    <col min="14608" max="14608" width="8.77734375" style="1008" bestFit="1" customWidth="1"/>
    <col min="14609" max="14609" width="8" style="1008" customWidth="1"/>
    <col min="14610" max="14849" width="8.88671875" style="1008"/>
    <col min="14850" max="14850" width="7.109375" style="1008" customWidth="1"/>
    <col min="14851" max="14852" width="8.88671875" style="1008"/>
    <col min="14853" max="14853" width="1.77734375" style="1008" customWidth="1"/>
    <col min="14854" max="14854" width="11.109375" style="1008" customWidth="1"/>
    <col min="14855" max="14856" width="8.88671875" style="1008"/>
    <col min="14857" max="14857" width="7.109375" style="1008" customWidth="1"/>
    <col min="14858" max="14858" width="6.44140625" style="1008" customWidth="1"/>
    <col min="14859" max="14859" width="8.88671875" style="1008"/>
    <col min="14860" max="14860" width="6.77734375" style="1008" customWidth="1"/>
    <col min="14861" max="14861" width="5.88671875" style="1008" customWidth="1"/>
    <col min="14862" max="14862" width="6.77734375" style="1008" customWidth="1"/>
    <col min="14863" max="14863" width="5.33203125" style="1008" customWidth="1"/>
    <col min="14864" max="14864" width="8.77734375" style="1008" bestFit="1" customWidth="1"/>
    <col min="14865" max="14865" width="8" style="1008" customWidth="1"/>
    <col min="14866" max="15105" width="8.88671875" style="1008"/>
    <col min="15106" max="15106" width="7.109375" style="1008" customWidth="1"/>
    <col min="15107" max="15108" width="8.88671875" style="1008"/>
    <col min="15109" max="15109" width="1.77734375" style="1008" customWidth="1"/>
    <col min="15110" max="15110" width="11.109375" style="1008" customWidth="1"/>
    <col min="15111" max="15112" width="8.88671875" style="1008"/>
    <col min="15113" max="15113" width="7.109375" style="1008" customWidth="1"/>
    <col min="15114" max="15114" width="6.44140625" style="1008" customWidth="1"/>
    <col min="15115" max="15115" width="8.88671875" style="1008"/>
    <col min="15116" max="15116" width="6.77734375" style="1008" customWidth="1"/>
    <col min="15117" max="15117" width="5.88671875" style="1008" customWidth="1"/>
    <col min="15118" max="15118" width="6.77734375" style="1008" customWidth="1"/>
    <col min="15119" max="15119" width="5.33203125" style="1008" customWidth="1"/>
    <col min="15120" max="15120" width="8.77734375" style="1008" bestFit="1" customWidth="1"/>
    <col min="15121" max="15121" width="8" style="1008" customWidth="1"/>
    <col min="15122" max="15361" width="8.88671875" style="1008"/>
    <col min="15362" max="15362" width="7.109375" style="1008" customWidth="1"/>
    <col min="15363" max="15364" width="8.88671875" style="1008"/>
    <col min="15365" max="15365" width="1.77734375" style="1008" customWidth="1"/>
    <col min="15366" max="15366" width="11.109375" style="1008" customWidth="1"/>
    <col min="15367" max="15368" width="8.88671875" style="1008"/>
    <col min="15369" max="15369" width="7.109375" style="1008" customWidth="1"/>
    <col min="15370" max="15370" width="6.44140625" style="1008" customWidth="1"/>
    <col min="15371" max="15371" width="8.88671875" style="1008"/>
    <col min="15372" max="15372" width="6.77734375" style="1008" customWidth="1"/>
    <col min="15373" max="15373" width="5.88671875" style="1008" customWidth="1"/>
    <col min="15374" max="15374" width="6.77734375" style="1008" customWidth="1"/>
    <col min="15375" max="15375" width="5.33203125" style="1008" customWidth="1"/>
    <col min="15376" max="15376" width="8.77734375" style="1008" bestFit="1" customWidth="1"/>
    <col min="15377" max="15377" width="8" style="1008" customWidth="1"/>
    <col min="15378" max="15617" width="8.88671875" style="1008"/>
    <col min="15618" max="15618" width="7.109375" style="1008" customWidth="1"/>
    <col min="15619" max="15620" width="8.88671875" style="1008"/>
    <col min="15621" max="15621" width="1.77734375" style="1008" customWidth="1"/>
    <col min="15622" max="15622" width="11.109375" style="1008" customWidth="1"/>
    <col min="15623" max="15624" width="8.88671875" style="1008"/>
    <col min="15625" max="15625" width="7.109375" style="1008" customWidth="1"/>
    <col min="15626" max="15626" width="6.44140625" style="1008" customWidth="1"/>
    <col min="15627" max="15627" width="8.88671875" style="1008"/>
    <col min="15628" max="15628" width="6.77734375" style="1008" customWidth="1"/>
    <col min="15629" max="15629" width="5.88671875" style="1008" customWidth="1"/>
    <col min="15630" max="15630" width="6.77734375" style="1008" customWidth="1"/>
    <col min="15631" max="15631" width="5.33203125" style="1008" customWidth="1"/>
    <col min="15632" max="15632" width="8.77734375" style="1008" bestFit="1" customWidth="1"/>
    <col min="15633" max="15633" width="8" style="1008" customWidth="1"/>
    <col min="15634" max="15873" width="8.88671875" style="1008"/>
    <col min="15874" max="15874" width="7.109375" style="1008" customWidth="1"/>
    <col min="15875" max="15876" width="8.88671875" style="1008"/>
    <col min="15877" max="15877" width="1.77734375" style="1008" customWidth="1"/>
    <col min="15878" max="15878" width="11.109375" style="1008" customWidth="1"/>
    <col min="15879" max="15880" width="8.88671875" style="1008"/>
    <col min="15881" max="15881" width="7.109375" style="1008" customWidth="1"/>
    <col min="15882" max="15882" width="6.44140625" style="1008" customWidth="1"/>
    <col min="15883" max="15883" width="8.88671875" style="1008"/>
    <col min="15884" max="15884" width="6.77734375" style="1008" customWidth="1"/>
    <col min="15885" max="15885" width="5.88671875" style="1008" customWidth="1"/>
    <col min="15886" max="15886" width="6.77734375" style="1008" customWidth="1"/>
    <col min="15887" max="15887" width="5.33203125" style="1008" customWidth="1"/>
    <col min="15888" max="15888" width="8.77734375" style="1008" bestFit="1" customWidth="1"/>
    <col min="15889" max="15889" width="8" style="1008" customWidth="1"/>
    <col min="15890" max="16129" width="8.88671875" style="1008"/>
    <col min="16130" max="16130" width="7.109375" style="1008" customWidth="1"/>
    <col min="16131" max="16132" width="8.88671875" style="1008"/>
    <col min="16133" max="16133" width="1.77734375" style="1008" customWidth="1"/>
    <col min="16134" max="16134" width="11.109375" style="1008" customWidth="1"/>
    <col min="16135" max="16136" width="8.88671875" style="1008"/>
    <col min="16137" max="16137" width="7.109375" style="1008" customWidth="1"/>
    <col min="16138" max="16138" width="6.44140625" style="1008" customWidth="1"/>
    <col min="16139" max="16139" width="8.88671875" style="1008"/>
    <col min="16140" max="16140" width="6.77734375" style="1008" customWidth="1"/>
    <col min="16141" max="16141" width="5.88671875" style="1008" customWidth="1"/>
    <col min="16142" max="16142" width="6.77734375" style="1008" customWidth="1"/>
    <col min="16143" max="16143" width="5.33203125" style="1008" customWidth="1"/>
    <col min="16144" max="16144" width="8.77734375" style="1008" bestFit="1" customWidth="1"/>
    <col min="16145" max="16145" width="8" style="1008" customWidth="1"/>
    <col min="16146" max="16384" width="8.88671875" style="1008"/>
  </cols>
  <sheetData>
    <row r="1" spans="1:21" ht="19.5" customHeight="1">
      <c r="A1" s="996"/>
      <c r="B1" s="996"/>
      <c r="C1" s="996"/>
      <c r="D1" s="1782" t="s">
        <v>5645</v>
      </c>
      <c r="E1" s="1782"/>
      <c r="F1" s="1782"/>
      <c r="G1" s="1782"/>
      <c r="H1" s="1782"/>
      <c r="I1" s="1782"/>
      <c r="J1" s="1782"/>
      <c r="K1" s="1782"/>
      <c r="L1" s="1782"/>
      <c r="M1" s="1782"/>
      <c r="N1" s="1782"/>
      <c r="O1" s="1782"/>
      <c r="P1" s="1782"/>
      <c r="Q1" s="996"/>
      <c r="R1" s="996"/>
      <c r="S1" s="996"/>
      <c r="T1" s="996"/>
      <c r="U1" s="996"/>
    </row>
    <row r="2" spans="1:21" ht="18.75" customHeight="1">
      <c r="A2" s="996"/>
      <c r="B2" s="996"/>
      <c r="C2" s="996"/>
      <c r="D2" s="1775" t="str">
        <f>BBKT_KTHHBT!E2</f>
        <v xml:space="preserve">     Công trình: Gia cố nâng cấp kênh Bà Xoài từ K0+300÷K0+600 - Hệ thống thủy lợi Nha Trinh, huyện Ninh Hải, tỉnh Ninh Thuận</v>
      </c>
      <c r="E2" s="1775"/>
      <c r="F2" s="1775"/>
      <c r="G2" s="1775"/>
      <c r="H2" s="1775"/>
      <c r="I2" s="1775"/>
      <c r="J2" s="1775"/>
      <c r="K2" s="1775"/>
      <c r="L2" s="1775"/>
      <c r="M2" s="1775"/>
      <c r="N2" s="1775"/>
      <c r="O2" s="1775"/>
      <c r="P2" s="1775"/>
      <c r="Q2" s="996"/>
      <c r="R2" s="1046">
        <v>4</v>
      </c>
      <c r="S2" s="996"/>
      <c r="T2" s="996"/>
      <c r="U2" s="996"/>
    </row>
    <row r="3" spans="1:21" ht="18.75" customHeight="1">
      <c r="A3" s="997" t="str">
        <f>"3.3."&amp;R2&amp;".1"&amp;" BBLM do K RC "</f>
        <v xml:space="preserve">3.3.4.1 BBLM do K RC </v>
      </c>
      <c r="B3" s="996"/>
      <c r="C3" s="996"/>
      <c r="D3" s="1775" t="str">
        <f>BBKT_KTHHBT!E3</f>
        <v xml:space="preserve">     Địa điểm XD: Huyện Ninh Hải - Tỉnh Ninh Thuận</v>
      </c>
      <c r="E3" s="1775"/>
      <c r="F3" s="1775"/>
      <c r="G3" s="1775"/>
      <c r="H3" s="1775"/>
      <c r="I3" s="1775"/>
      <c r="J3" s="1775"/>
      <c r="K3" s="1775"/>
      <c r="L3" s="1775"/>
      <c r="M3" s="1775"/>
      <c r="N3" s="1775"/>
      <c r="O3" s="1775"/>
      <c r="P3" s="1775"/>
      <c r="Q3" s="996"/>
      <c r="R3" s="996"/>
      <c r="S3" s="996"/>
      <c r="T3" s="996"/>
      <c r="U3" s="996"/>
    </row>
    <row r="4" spans="1:21" ht="16.5" customHeight="1">
      <c r="A4" s="996"/>
      <c r="B4" s="996"/>
      <c r="C4" s="996"/>
      <c r="D4" s="996"/>
      <c r="E4" s="996"/>
      <c r="F4" s="996"/>
      <c r="G4" s="996"/>
      <c r="H4" s="996"/>
      <c r="I4" s="996"/>
      <c r="J4" s="996"/>
      <c r="K4" s="996"/>
      <c r="L4" s="996"/>
      <c r="M4" s="996"/>
      <c r="N4" s="996"/>
      <c r="O4" s="996"/>
      <c r="P4" s="996"/>
      <c r="Q4" s="996"/>
      <c r="R4" s="996"/>
      <c r="S4" s="996"/>
      <c r="T4" s="996"/>
      <c r="U4" s="996"/>
    </row>
    <row r="5" spans="1:21" ht="12.75" customHeight="1">
      <c r="A5" s="996"/>
      <c r="B5" s="996"/>
      <c r="C5" s="996"/>
      <c r="D5" s="1009"/>
      <c r="E5" s="1009"/>
      <c r="F5" s="1009"/>
      <c r="G5" s="1009"/>
      <c r="H5" s="1009"/>
      <c r="I5" s="1009"/>
      <c r="J5" s="1009"/>
      <c r="K5" s="1009"/>
      <c r="L5" s="1009"/>
      <c r="M5" s="1009"/>
      <c r="N5" s="1009"/>
      <c r="O5" s="1009"/>
      <c r="P5" s="1009"/>
      <c r="Q5" s="996"/>
      <c r="R5" s="996"/>
      <c r="S5" s="996"/>
      <c r="T5" s="996"/>
      <c r="U5" s="996"/>
    </row>
    <row r="6" spans="1:21" ht="18" customHeight="1">
      <c r="A6" s="996"/>
      <c r="B6" s="996"/>
      <c r="C6" s="996"/>
      <c r="D6" s="1009"/>
      <c r="E6" s="1759" t="s">
        <v>3927</v>
      </c>
      <c r="F6" s="1759"/>
      <c r="G6" s="1759"/>
      <c r="H6" s="1759"/>
      <c r="I6" s="1759"/>
      <c r="J6" s="1759"/>
      <c r="K6" s="1759"/>
      <c r="L6" s="1759"/>
      <c r="M6" s="1759"/>
      <c r="N6" s="1759"/>
      <c r="O6" s="1759"/>
      <c r="P6" s="1009"/>
      <c r="Q6" s="996"/>
      <c r="R6" s="996"/>
      <c r="S6" s="996"/>
      <c r="T6" s="996"/>
      <c r="U6" s="996"/>
    </row>
    <row r="7" spans="1:21" ht="18" customHeight="1">
      <c r="A7" s="996"/>
      <c r="B7" s="996"/>
      <c r="C7" s="996"/>
      <c r="D7" s="1009"/>
      <c r="E7" s="1776" t="s">
        <v>178</v>
      </c>
      <c r="F7" s="1776"/>
      <c r="G7" s="1776"/>
      <c r="H7" s="1776"/>
      <c r="I7" s="1776"/>
      <c r="J7" s="1776"/>
      <c r="K7" s="1776"/>
      <c r="L7" s="1776"/>
      <c r="M7" s="1776"/>
      <c r="N7" s="1776"/>
      <c r="O7" s="1776"/>
      <c r="P7" s="1009"/>
      <c r="Q7" s="996"/>
      <c r="R7" s="996"/>
      <c r="S7" s="996"/>
      <c r="T7" s="996"/>
      <c r="U7" s="996"/>
    </row>
    <row r="8" spans="1:21" ht="18" customHeight="1">
      <c r="A8" s="996"/>
      <c r="B8" s="996"/>
      <c r="C8" s="996"/>
      <c r="D8" s="1009"/>
      <c r="E8" s="1777" t="s">
        <v>5617</v>
      </c>
      <c r="F8" s="1776"/>
      <c r="G8" s="1776"/>
      <c r="H8" s="1776"/>
      <c r="I8" s="1776"/>
      <c r="J8" s="1776"/>
      <c r="K8" s="1776"/>
      <c r="L8" s="1776"/>
      <c r="M8" s="1776"/>
      <c r="N8" s="1776"/>
      <c r="O8" s="1776"/>
      <c r="P8" s="1009"/>
      <c r="Q8" s="996"/>
      <c r="R8" s="996"/>
      <c r="S8" s="996"/>
      <c r="T8" s="996"/>
      <c r="U8" s="996"/>
    </row>
    <row r="9" spans="1:21" ht="18.75" customHeight="1">
      <c r="A9" s="996"/>
      <c r="B9" s="996"/>
      <c r="C9" s="996"/>
      <c r="D9" s="1009"/>
      <c r="E9" s="1778" t="s">
        <v>5603</v>
      </c>
      <c r="F9" s="1778"/>
      <c r="G9" s="1778"/>
      <c r="H9" s="1778"/>
      <c r="I9" s="1778"/>
      <c r="J9" s="1778"/>
      <c r="K9" s="1778"/>
      <c r="L9" s="1778"/>
      <c r="M9" s="1778"/>
      <c r="N9" s="1778"/>
      <c r="O9" s="1778"/>
      <c r="P9" s="1009"/>
      <c r="Q9" s="996"/>
      <c r="R9" s="996"/>
      <c r="S9" s="996"/>
      <c r="T9" s="996"/>
      <c r="U9" s="996"/>
    </row>
    <row r="10" spans="1:21" ht="18" customHeight="1">
      <c r="A10" s="996"/>
      <c r="B10" s="996"/>
      <c r="C10" s="996"/>
      <c r="D10" s="1009"/>
      <c r="E10" s="1783" t="str">
        <f>IFERROR("Số: "&amp;TEXT(VLOOKUP($R$2,ListTNkhac!$A$6:$H$800,6,0),"ddmm")&amp;"/BBLM/"&amp;TEXT(VLOOKUP($R$2,ListTNkhac!$A$6:$H$800,6,0),"yyyy"),"Số …../BBLM/…....")</f>
        <v>Số: 0106/BBLM/2020</v>
      </c>
      <c r="F10" s="1783"/>
      <c r="G10" s="1783"/>
      <c r="H10" s="1783"/>
      <c r="I10" s="1783"/>
      <c r="J10" s="1783"/>
      <c r="K10" s="1783"/>
      <c r="L10" s="1783"/>
      <c r="M10" s="1783"/>
      <c r="N10" s="1783"/>
      <c r="O10" s="1783"/>
      <c r="P10" s="1011"/>
      <c r="Q10" s="996"/>
      <c r="R10" s="996"/>
      <c r="S10" s="996"/>
      <c r="T10" s="996"/>
      <c r="U10" s="996"/>
    </row>
    <row r="11" spans="1:21">
      <c r="A11" s="996"/>
      <c r="B11" s="996"/>
      <c r="C11" s="996"/>
      <c r="D11" s="1009"/>
      <c r="F11" s="1784" t="str">
        <f>IFERROR("Hôm nay, ngày "&amp;TEXT(VLOOKUP($R$2,ListTNkhac!$A$6:$H$800,6,0),"dd")&amp;" tháng "&amp;TEXT(VLOOKUP($R$2,ListTNkhac!$A$6:$H$800,6,0),"mm")&amp;" năm "&amp;TEXT(VLOOKUP($R$2,ListTNkhac!$A$6:$H$800,6,0),"yyyy")&amp;", tại hiện trường thi công:"," Hôm nay, ngày … tháng ... năm ......, tại hiện trường thi công: ")</f>
        <v>Hôm nay, ngày 01 tháng 06 năm 2020, tại hiện trường thi công:</v>
      </c>
      <c r="G11" s="1784"/>
      <c r="H11" s="1784"/>
      <c r="I11" s="1784"/>
      <c r="J11" s="1784"/>
      <c r="K11" s="1784"/>
      <c r="L11" s="1784"/>
      <c r="M11" s="1784"/>
      <c r="N11" s="1784"/>
      <c r="O11" s="1784"/>
      <c r="P11" s="1009"/>
      <c r="Q11" s="996"/>
      <c r="R11" s="996"/>
      <c r="S11" s="1209"/>
      <c r="T11" s="1209"/>
      <c r="U11" s="1212"/>
    </row>
    <row r="12" spans="1:21" ht="36.6" customHeight="1">
      <c r="A12" s="996"/>
      <c r="B12" s="996"/>
      <c r="C12" s="996"/>
      <c r="D12" s="1009"/>
      <c r="E12" s="1781" t="str">
        <f>IF(NDtieude1&lt;&gt;"",Tieude1&amp;": "&amp;NDtieude1,"")</f>
        <v>Công trình: Gia cố nâng cấp kênh Bà Xoài từ K0+300÷K0+600 - Hệ thống thủy lợi Nha Trinh, huyện Ninh Hải, tỉnh Ninh Thuận</v>
      </c>
      <c r="F12" s="1781"/>
      <c r="G12" s="1781"/>
      <c r="H12" s="1781"/>
      <c r="I12" s="1781"/>
      <c r="J12" s="1781"/>
      <c r="K12" s="1781"/>
      <c r="L12" s="1781"/>
      <c r="M12" s="1781"/>
      <c r="N12" s="1781"/>
      <c r="O12" s="1781"/>
      <c r="P12" s="1009"/>
      <c r="Q12" s="996"/>
      <c r="R12" s="996"/>
      <c r="S12" s="1209"/>
      <c r="T12" s="1209"/>
      <c r="U12" s="1209">
        <f>ROW()</f>
        <v>12</v>
      </c>
    </row>
    <row r="13" spans="1:21" ht="20.100000000000001" hidden="1" customHeight="1">
      <c r="A13" s="996"/>
      <c r="B13" s="996"/>
      <c r="C13" s="996"/>
      <c r="D13" s="1009"/>
      <c r="E13" s="1781" t="str">
        <f>IF(NDtieude2&lt;&gt;"",Tieude2&amp;": "&amp;NDtieude2,"")</f>
        <v/>
      </c>
      <c r="F13" s="1781"/>
      <c r="G13" s="1781"/>
      <c r="H13" s="1781"/>
      <c r="I13" s="1781"/>
      <c r="J13" s="1781"/>
      <c r="K13" s="1781"/>
      <c r="L13" s="1781"/>
      <c r="M13" s="1781"/>
      <c r="N13" s="1781"/>
      <c r="O13" s="1781"/>
      <c r="P13" s="1009"/>
      <c r="Q13" s="996"/>
      <c r="R13" s="996"/>
      <c r="S13" s="1209"/>
      <c r="T13" s="1209"/>
      <c r="U13" s="1209">
        <f>ROW()</f>
        <v>13</v>
      </c>
    </row>
    <row r="14" spans="1:21" ht="20.100000000000001" customHeight="1">
      <c r="A14" s="996"/>
      <c r="B14" s="996"/>
      <c r="C14" s="996"/>
      <c r="D14" s="1009"/>
      <c r="E14" s="1781" t="str">
        <f>IF(NDtieude3&lt;&gt;"",Tieude3&amp;": "&amp;NDtieude3,"")</f>
        <v>Hạng mục: Kênh và Công trình trên kênh</v>
      </c>
      <c r="F14" s="1781"/>
      <c r="G14" s="1781"/>
      <c r="H14" s="1781"/>
      <c r="I14" s="1781"/>
      <c r="J14" s="1781"/>
      <c r="K14" s="1781"/>
      <c r="L14" s="1781"/>
      <c r="M14" s="1781"/>
      <c r="N14" s="1781"/>
      <c r="O14" s="1781"/>
      <c r="P14" s="1009"/>
      <c r="Q14" s="996"/>
      <c r="R14" s="996"/>
      <c r="S14" s="1209"/>
      <c r="T14" s="1209"/>
      <c r="U14" s="1209">
        <f>ROW()</f>
        <v>14</v>
      </c>
    </row>
    <row r="15" spans="1:21" ht="20.100000000000001" customHeight="1">
      <c r="A15" s="996"/>
      <c r="B15" s="996"/>
      <c r="C15" s="996"/>
      <c r="D15" s="1009"/>
      <c r="E15" s="1781" t="str">
        <f>IF(DDXD&lt;&gt;"","Địa điểm xây dựng : "&amp;DDXD,"")</f>
        <v>Địa điểm xây dựng : Huyện Ninh Hải - Tỉnh Ninh Thuận</v>
      </c>
      <c r="F15" s="1781"/>
      <c r="G15" s="1781"/>
      <c r="H15" s="1781"/>
      <c r="I15" s="1781"/>
      <c r="J15" s="1781"/>
      <c r="K15" s="1781"/>
      <c r="L15" s="1781"/>
      <c r="M15" s="1781"/>
      <c r="N15" s="1781"/>
      <c r="O15" s="1781"/>
      <c r="P15" s="1009"/>
      <c r="Q15" s="996"/>
      <c r="R15" s="996"/>
      <c r="S15" s="1209"/>
      <c r="T15" s="1209"/>
      <c r="U15" s="1209">
        <f>ROW()</f>
        <v>15</v>
      </c>
    </row>
    <row r="16" spans="1:21" ht="18" customHeight="1">
      <c r="A16" s="996"/>
      <c r="B16" s="996"/>
      <c r="C16" s="996"/>
      <c r="D16" s="1009"/>
      <c r="E16" s="1769" t="s">
        <v>5646</v>
      </c>
      <c r="F16" s="1769"/>
      <c r="G16" s="1769"/>
      <c r="H16" s="1769"/>
      <c r="I16" s="1769"/>
      <c r="J16" s="1769"/>
      <c r="K16" s="1769"/>
      <c r="L16" s="1769"/>
      <c r="M16" s="1769"/>
      <c r="N16" s="1769"/>
      <c r="O16" s="1769"/>
      <c r="P16" s="1009"/>
      <c r="Q16" s="996"/>
      <c r="R16" s="996"/>
      <c r="S16" s="1209"/>
      <c r="T16" s="1209"/>
      <c r="U16" s="1209"/>
    </row>
    <row r="17" spans="1:21" ht="20.45" customHeight="1">
      <c r="A17" s="996"/>
      <c r="B17" s="996"/>
      <c r="C17" s="996"/>
      <c r="D17" s="1009"/>
      <c r="E17" s="1770" t="str">
        <f>"- Đối tượng lấy mẫu: "&amp;VLOOKUP($R$2,ListTNkhac!$A$6:$H$800,4,0)</f>
        <v>- Đối tượng lấy mẫu: Xác định độ chặt Đắp đất bờ kênh, độ chặt yêu cầu K=0,85, lớp 4</v>
      </c>
      <c r="F17" s="1770"/>
      <c r="G17" s="1770"/>
      <c r="H17" s="1770"/>
      <c r="I17" s="1770"/>
      <c r="J17" s="1770"/>
      <c r="K17" s="1770"/>
      <c r="L17" s="1770"/>
      <c r="M17" s="1770"/>
      <c r="N17" s="1770"/>
      <c r="O17" s="1770"/>
      <c r="P17" s="1009"/>
      <c r="Q17" s="996"/>
      <c r="R17" s="996"/>
      <c r="S17" s="1209"/>
      <c r="T17" s="1209">
        <f>ROW()</f>
        <v>17</v>
      </c>
      <c r="U17" s="1209"/>
    </row>
    <row r="18" spans="1:21" ht="20.45" customHeight="1">
      <c r="A18" s="996"/>
      <c r="B18" s="996"/>
      <c r="C18" s="996"/>
      <c r="D18" s="1009"/>
      <c r="E18" s="1771" t="str">
        <f>"- Vị trí xây dựng trên công trình: "&amp;VLOOKUP($R$2,ListTNkhac!$A$6:$H$800,5,0)</f>
        <v>- Vị trí xây dựng trên công trình: Đoạn Km0+300 đến Km0+400</v>
      </c>
      <c r="F18" s="1772"/>
      <c r="G18" s="1772"/>
      <c r="H18" s="1772"/>
      <c r="I18" s="1772"/>
      <c r="J18" s="1772"/>
      <c r="K18" s="1772"/>
      <c r="L18" s="1772"/>
      <c r="M18" s="1772"/>
      <c r="N18" s="1772"/>
      <c r="O18" s="1772"/>
      <c r="P18" s="1009"/>
      <c r="Q18" s="996"/>
      <c r="R18" s="996"/>
      <c r="S18" s="1209"/>
      <c r="T18" s="1209">
        <f>ROW()</f>
        <v>18</v>
      </c>
      <c r="U18" s="1209"/>
    </row>
    <row r="19" spans="1:21" ht="20.45" customHeight="1">
      <c r="A19" s="996"/>
      <c r="B19" s="996"/>
      <c r="C19" s="996"/>
      <c r="D19" s="1009"/>
      <c r="E19" s="1773" t="s">
        <v>5647</v>
      </c>
      <c r="F19" s="1773"/>
      <c r="G19" s="1773"/>
      <c r="H19" s="1773"/>
      <c r="I19" s="1773"/>
      <c r="J19" s="1773"/>
      <c r="K19" s="1773"/>
      <c r="L19" s="1773"/>
      <c r="M19" s="1773"/>
      <c r="N19" s="1773"/>
      <c r="O19" s="1773"/>
      <c r="P19" s="1009"/>
      <c r="Q19" s="996"/>
      <c r="R19" s="996"/>
      <c r="S19" s="1209"/>
      <c r="T19" s="1209"/>
      <c r="U19" s="1209"/>
    </row>
    <row r="20" spans="1:21" ht="16.5" customHeight="1">
      <c r="A20" s="996"/>
      <c r="B20" s="996"/>
      <c r="C20" s="996"/>
      <c r="D20" s="1009"/>
      <c r="E20" s="1763" t="str">
        <f>"a. Đại diện "&amp;LOWER(MID(Td_DVGS,1,1))&amp;MID(Td_DVGS,2,LEN(Td_DVGS))&amp;": "&amp;DVGS</f>
        <v>a. Đại diện đơn vị tư vấn giám sát: Công ty TNHH Tư vấn Đầu tư Xây dựng Huy Đạt</v>
      </c>
      <c r="F20" s="1564"/>
      <c r="G20" s="1564"/>
      <c r="H20" s="1564"/>
      <c r="I20" s="1564"/>
      <c r="J20" s="1564"/>
      <c r="K20" s="1564"/>
      <c r="L20" s="1564"/>
      <c r="M20" s="1564"/>
      <c r="N20" s="1564"/>
      <c r="O20" s="1564"/>
      <c r="P20" s="1009"/>
      <c r="Q20" s="996"/>
      <c r="R20" s="996"/>
      <c r="S20" s="1209"/>
      <c r="T20" s="1209"/>
      <c r="U20" s="1209">
        <f>ROW()</f>
        <v>20</v>
      </c>
    </row>
    <row r="21" spans="1:21" ht="26.25" customHeight="1">
      <c r="A21" s="996"/>
      <c r="B21" s="996"/>
      <c r="C21" s="996"/>
      <c r="D21" s="1009"/>
      <c r="F21" s="1762" t="str">
        <f>GT_GS1&amp;CBGS1</f>
        <v>Ông: Trần Trọng Liêm</v>
      </c>
      <c r="G21" s="1762"/>
      <c r="H21" s="1762"/>
      <c r="I21" s="1762"/>
      <c r="J21" s="1762"/>
      <c r="K21" s="1762" t="str">
        <f>"Chức vụ : "&amp;CV_CBGS1</f>
        <v>Chức vụ : Giám sát trưởng</v>
      </c>
      <c r="L21" s="1762"/>
      <c r="M21" s="1762"/>
      <c r="N21" s="1762"/>
      <c r="O21" s="1762"/>
      <c r="P21" s="1009"/>
      <c r="Q21" s="996"/>
      <c r="R21" s="996"/>
      <c r="S21" s="1209"/>
      <c r="T21" s="1209"/>
      <c r="U21" s="1209"/>
    </row>
    <row r="22" spans="1:21" ht="24.95" customHeight="1">
      <c r="A22" s="996"/>
      <c r="B22" s="996"/>
      <c r="C22" s="996"/>
      <c r="D22" s="1009"/>
      <c r="F22" s="1762" t="str">
        <f>GT_GS2&amp;CBGS2</f>
        <v>Bà  : Nguyễn Thị Minh</v>
      </c>
      <c r="G22" s="1762"/>
      <c r="H22" s="1762"/>
      <c r="I22" s="1762"/>
      <c r="J22" s="1762"/>
      <c r="K22" s="1762" t="str">
        <f>"Chức vụ : "&amp;CV_CBGS2</f>
        <v>Chức vụ : Giám sát viên</v>
      </c>
      <c r="L22" s="1762"/>
      <c r="M22" s="1762"/>
      <c r="N22" s="1762"/>
      <c r="O22" s="1762"/>
      <c r="P22" s="1009"/>
      <c r="Q22" s="996"/>
      <c r="R22" s="996"/>
      <c r="S22" s="1209"/>
      <c r="T22" s="1209"/>
      <c r="U22" s="1209"/>
    </row>
    <row r="23" spans="1:21" ht="21.95" hidden="1" customHeight="1">
      <c r="A23" s="996"/>
      <c r="B23" s="996"/>
      <c r="C23" s="996"/>
      <c r="D23" s="1009"/>
      <c r="E23" s="1767" t="str">
        <f>IF(Liendanh&lt;&gt;"","b) Đại diện đơn vị thi công:  "&amp;Liendanh,"")</f>
        <v/>
      </c>
      <c r="F23" s="1767"/>
      <c r="G23" s="1767"/>
      <c r="H23" s="1767"/>
      <c r="I23" s="1767"/>
      <c r="J23" s="1767"/>
      <c r="K23" s="1767"/>
      <c r="L23" s="1767"/>
      <c r="M23" s="1767"/>
      <c r="N23" s="1767"/>
      <c r="O23" s="1767"/>
      <c r="P23" s="1009"/>
      <c r="Q23" s="996"/>
      <c r="R23" s="996"/>
      <c r="S23" s="1209"/>
      <c r="T23" s="1209"/>
      <c r="U23" s="1209">
        <f>ROW(E23)</f>
        <v>23</v>
      </c>
    </row>
    <row r="24" spans="1:21" ht="16.5" customHeight="1">
      <c r="A24" s="996"/>
      <c r="B24" s="996"/>
      <c r="C24" s="996"/>
      <c r="D24" s="1009"/>
      <c r="E24" s="1767" t="str">
        <f>IF(Liendanh="","b) Đại diện đơn vị thi công:  "&amp;DVTC,"   * Đại diện đơn vị thi công trực tiếp:  "&amp;DVTC)</f>
        <v>b) Đại diện đơn vị thi công:  Công ty TNHH Xây dựng Thịnh Dũng</v>
      </c>
      <c r="F24" s="1580"/>
      <c r="G24" s="1580"/>
      <c r="H24" s="1580"/>
      <c r="I24" s="1580"/>
      <c r="J24" s="1580"/>
      <c r="K24" s="1580"/>
      <c r="L24" s="1580"/>
      <c r="M24" s="1580"/>
      <c r="N24" s="1580"/>
      <c r="O24" s="1580"/>
      <c r="P24" s="1009"/>
      <c r="Q24" s="996"/>
      <c r="R24" s="996"/>
      <c r="S24" s="1209"/>
      <c r="T24" s="1209"/>
      <c r="U24" s="1209">
        <f>ROW()</f>
        <v>24</v>
      </c>
    </row>
    <row r="25" spans="1:21" ht="24.95" customHeight="1">
      <c r="A25" s="996"/>
      <c r="B25" s="996"/>
      <c r="C25" s="996"/>
      <c r="D25" s="1009"/>
      <c r="F25" s="1761" t="str">
        <f>GT_CBKT1&amp;CBKT1</f>
        <v>Ông: Hoàng Đình Tảng</v>
      </c>
      <c r="G25" s="1761"/>
      <c r="H25" s="1761"/>
      <c r="I25" s="1761"/>
      <c r="J25" s="1761"/>
      <c r="K25" s="1762" t="str">
        <f>"Chức vụ : "&amp;CV_CBKT1</f>
        <v>Chức vụ : Chỉ huy công trường</v>
      </c>
      <c r="L25" s="1762"/>
      <c r="M25" s="1762"/>
      <c r="N25" s="1762"/>
      <c r="O25" s="1762"/>
      <c r="P25" s="1009"/>
      <c r="Q25" s="996"/>
      <c r="R25" s="996"/>
      <c r="S25" s="1209"/>
      <c r="T25" s="1209"/>
      <c r="U25" s="1209"/>
    </row>
    <row r="26" spans="1:21" ht="24.95" customHeight="1">
      <c r="A26" s="996"/>
      <c r="B26" s="996"/>
      <c r="C26" s="996"/>
      <c r="D26" s="1009"/>
      <c r="F26" s="1761" t="str">
        <f>GT_CBKT2&amp;CBKT2</f>
        <v>Ông: Lê Thiên Phương</v>
      </c>
      <c r="G26" s="1761"/>
      <c r="H26" s="1761"/>
      <c r="I26" s="1761"/>
      <c r="J26" s="1761"/>
      <c r="K26" s="1762" t="str">
        <f>"Chức vụ : "&amp;CV_CBKT1</f>
        <v>Chức vụ : Chỉ huy công trường</v>
      </c>
      <c r="L26" s="1762"/>
      <c r="M26" s="1762"/>
      <c r="N26" s="1762"/>
      <c r="O26" s="1762"/>
      <c r="P26" s="1009"/>
      <c r="Q26" s="996"/>
      <c r="R26" s="996"/>
      <c r="S26" s="1209"/>
      <c r="T26" s="1209"/>
      <c r="U26" s="1209"/>
    </row>
    <row r="27" spans="1:21" ht="33" customHeight="1">
      <c r="A27" s="996"/>
      <c r="B27" s="996"/>
      <c r="C27" s="996"/>
      <c r="D27" s="1009"/>
      <c r="E27" s="1763" t="str">
        <f>"c) Đại diện đơn vị thí nghiệm: "&amp;DVTN</f>
        <v>c) Đại diện đơn vị thí nghiệm: Phòng TNVL &amp; KĐCLCT Xây dựng LAS-XD 1931 thuộc Công ty TNHH Xây dựng Gia Lộc Khang</v>
      </c>
      <c r="F27" s="1564"/>
      <c r="G27" s="1564"/>
      <c r="H27" s="1564"/>
      <c r="I27" s="1564"/>
      <c r="J27" s="1564"/>
      <c r="K27" s="1564"/>
      <c r="L27" s="1564"/>
      <c r="M27" s="1564"/>
      <c r="N27" s="1564"/>
      <c r="O27" s="1564"/>
      <c r="P27" s="1009"/>
      <c r="Q27" s="996"/>
      <c r="R27" s="996"/>
      <c r="S27" s="1209"/>
      <c r="T27" s="1209"/>
      <c r="U27" s="1209">
        <f>ROW()</f>
        <v>27</v>
      </c>
    </row>
    <row r="28" spans="1:21" ht="24.95" customHeight="1">
      <c r="A28" s="996"/>
      <c r="B28" s="996"/>
      <c r="C28" s="996"/>
      <c r="D28" s="1009"/>
      <c r="F28" s="1764" t="str">
        <f>GT_TN2&amp;Nguoi_TN2</f>
        <v>Ông: Đoàn Hữu Quy</v>
      </c>
      <c r="G28" s="1764"/>
      <c r="H28" s="1764"/>
      <c r="I28" s="1764"/>
      <c r="J28" s="1764"/>
      <c r="K28" s="1765" t="str">
        <f>"Chức vụ : "&amp;CV_TN2</f>
        <v>Chức vụ : Cán bộ thí nghiệm</v>
      </c>
      <c r="L28" s="1765"/>
      <c r="M28" s="1765"/>
      <c r="N28" s="1765"/>
      <c r="O28" s="1765"/>
      <c r="P28" s="1009"/>
      <c r="Q28" s="996"/>
      <c r="R28" s="996"/>
      <c r="S28" s="1209"/>
      <c r="T28" s="1209"/>
      <c r="U28" s="1209"/>
    </row>
    <row r="29" spans="1:21" ht="24.95" customHeight="1">
      <c r="A29" s="996"/>
      <c r="B29" s="996"/>
      <c r="C29" s="996"/>
      <c r="D29" s="1009"/>
      <c r="F29" s="1764" t="str">
        <f>GT_TN3&amp;Nguoi_TN3</f>
        <v>Ông: ………………………..</v>
      </c>
      <c r="G29" s="1764"/>
      <c r="H29" s="1764"/>
      <c r="I29" s="1764"/>
      <c r="J29" s="1764"/>
      <c r="K29" s="1765" t="str">
        <f>"Chức vụ : "&amp;CV_TN3</f>
        <v>Chức vụ : ………………………..</v>
      </c>
      <c r="L29" s="1765"/>
      <c r="M29" s="1765"/>
      <c r="N29" s="1765"/>
      <c r="O29" s="1765"/>
      <c r="P29" s="1009"/>
      <c r="Q29" s="996"/>
      <c r="R29" s="996"/>
      <c r="S29" s="1209"/>
      <c r="T29" s="1209"/>
      <c r="U29" s="1209"/>
    </row>
    <row r="30" spans="1:21">
      <c r="A30" s="996"/>
      <c r="B30" s="996"/>
      <c r="C30" s="996"/>
      <c r="D30" s="1009"/>
      <c r="E30" s="1766" t="s">
        <v>5648</v>
      </c>
      <c r="F30" s="1766"/>
      <c r="G30" s="1766"/>
      <c r="H30" s="1766"/>
      <c r="I30" s="1766"/>
      <c r="J30" s="1766"/>
      <c r="K30" s="1766"/>
      <c r="L30" s="1766"/>
      <c r="M30" s="1766"/>
      <c r="N30" s="1766"/>
      <c r="O30" s="1766"/>
      <c r="P30" s="1009"/>
      <c r="Q30" s="996"/>
      <c r="R30" s="996"/>
      <c r="S30" s="1209"/>
      <c r="T30" s="1209"/>
      <c r="U30" s="1209"/>
    </row>
    <row r="31" spans="1:21" s="1071" customFormat="1" ht="24.95" customHeight="1">
      <c r="A31" s="1069"/>
      <c r="B31" s="1069"/>
      <c r="C31" s="1069"/>
      <c r="D31" s="1070"/>
      <c r="E31" s="1761" t="str">
        <f>"- Vị trí lấy mẫu: "&amp;SUBSTITUTE(VLOOKUP($R$2,ListTNkhac!$A$6:$H$800,8,0),"/","; ")</f>
        <v>- Vị trí lấy mẫu: K0+325(Phải); K0+345(Trái); K0+360(Phải); K0+385(Trái)</v>
      </c>
      <c r="F31" s="1761"/>
      <c r="G31" s="1761"/>
      <c r="H31" s="1761"/>
      <c r="I31" s="1761"/>
      <c r="J31" s="1761"/>
      <c r="K31" s="1761"/>
      <c r="L31" s="1761"/>
      <c r="M31" s="1761"/>
      <c r="N31" s="1761"/>
      <c r="O31" s="1761"/>
      <c r="P31" s="1070"/>
      <c r="Q31" s="1069"/>
      <c r="R31" s="1069"/>
      <c r="S31" s="1209"/>
      <c r="T31" s="1209">
        <f>ROW()</f>
        <v>31</v>
      </c>
      <c r="U31" s="1210"/>
    </row>
    <row r="32" spans="1:21" s="1071" customFormat="1" ht="25.5" customHeight="1">
      <c r="A32" s="1069"/>
      <c r="B32" s="1069"/>
      <c r="C32" s="1069"/>
      <c r="D32" s="1070"/>
      <c r="E32" s="1760" t="str">
        <f>"- Số lượng mẫu: "&amp;LEN(VLOOKUP($R$2,ListTNkhac!$A$6:$H$800,8,0))-LEN(SUBSTITUTE(VLOOKUP($R$2,ListTNkhac!$A$6:$H$800,8,0),"/",""))+1&amp;" mẫu"</f>
        <v>- Số lượng mẫu: 4 mẫu</v>
      </c>
      <c r="F32" s="1760"/>
      <c r="G32" s="1760"/>
      <c r="H32" s="1760"/>
      <c r="I32" s="1760"/>
      <c r="J32" s="1760"/>
      <c r="K32" s="1760"/>
      <c r="L32" s="1760"/>
      <c r="M32" s="1760"/>
      <c r="N32" s="1760"/>
      <c r="O32" s="1760"/>
      <c r="P32" s="1070"/>
      <c r="Q32" s="1069"/>
      <c r="R32" s="1069"/>
      <c r="S32" s="1210"/>
      <c r="T32" s="1210"/>
      <c r="U32" s="1210"/>
    </row>
    <row r="33" spans="1:21" ht="25.5" customHeight="1">
      <c r="A33" s="996"/>
      <c r="B33" s="996"/>
      <c r="C33" s="996"/>
      <c r="D33" s="1009"/>
      <c r="E33" s="1755" t="s">
        <v>5649</v>
      </c>
      <c r="F33" s="1755"/>
      <c r="G33" s="1755"/>
      <c r="H33" s="1755"/>
      <c r="I33" s="1755"/>
      <c r="J33" s="1755"/>
      <c r="K33" s="1755"/>
      <c r="L33" s="1755"/>
      <c r="M33" s="1755"/>
      <c r="N33" s="1755"/>
      <c r="O33" s="1755"/>
      <c r="P33" s="1009"/>
      <c r="Q33" s="996"/>
      <c r="R33" s="996"/>
      <c r="S33" s="1209"/>
      <c r="T33" s="1209"/>
      <c r="U33" s="1209"/>
    </row>
    <row r="34" spans="1:21" ht="24.95" customHeight="1">
      <c r="A34" s="996"/>
      <c r="B34" s="996"/>
      <c r="C34" s="996"/>
      <c r="D34" s="1009"/>
      <c r="E34" s="1754" t="s">
        <v>5650</v>
      </c>
      <c r="F34" s="1755"/>
      <c r="G34" s="1755"/>
      <c r="H34" s="1755"/>
      <c r="I34" s="1755"/>
      <c r="J34" s="1755"/>
      <c r="K34" s="1755"/>
      <c r="L34" s="1755"/>
      <c r="M34" s="1755"/>
      <c r="N34" s="1755"/>
      <c r="O34" s="1755"/>
      <c r="P34" s="1009"/>
      <c r="Q34" s="996"/>
      <c r="R34" s="996"/>
      <c r="S34" s="1209"/>
      <c r="T34" s="1209"/>
      <c r="U34" s="1209"/>
    </row>
    <row r="35" spans="1:21">
      <c r="A35" s="996"/>
      <c r="B35" s="996"/>
      <c r="C35" s="996"/>
      <c r="D35" s="1009"/>
      <c r="E35" s="1759" t="s">
        <v>5334</v>
      </c>
      <c r="F35" s="1759"/>
      <c r="G35" s="1759"/>
      <c r="H35" s="1759"/>
      <c r="I35" s="1759"/>
      <c r="J35" s="1759"/>
      <c r="K35" s="1759"/>
      <c r="L35" s="1759"/>
      <c r="M35" s="1759"/>
      <c r="N35" s="1759"/>
      <c r="O35" s="1759"/>
      <c r="P35" s="1009"/>
      <c r="Q35" s="996"/>
      <c r="R35" s="996"/>
      <c r="S35" s="1209"/>
      <c r="T35" s="1209"/>
      <c r="U35" s="1209"/>
    </row>
    <row r="36" spans="1:21">
      <c r="A36" s="996"/>
      <c r="B36" s="996"/>
      <c r="C36" s="996"/>
      <c r="D36" s="1009"/>
      <c r="F36" s="1756" t="s">
        <v>5611</v>
      </c>
      <c r="G36" s="1756"/>
      <c r="H36" s="1756"/>
      <c r="I36" s="1756" t="s">
        <v>5612</v>
      </c>
      <c r="J36" s="1756"/>
      <c r="K36" s="1756"/>
      <c r="L36" s="1756" t="s">
        <v>5622</v>
      </c>
      <c r="M36" s="1756"/>
      <c r="N36" s="1756"/>
      <c r="O36" s="1756"/>
      <c r="P36" s="1009"/>
      <c r="Q36" s="996"/>
      <c r="R36" s="996"/>
      <c r="S36" s="1209"/>
      <c r="T36" s="1209"/>
      <c r="U36" s="1209"/>
    </row>
    <row r="37" spans="1:21">
      <c r="A37" s="996"/>
      <c r="B37" s="996"/>
      <c r="C37" s="996"/>
      <c r="D37" s="1009"/>
      <c r="F37" s="1013"/>
      <c r="G37" s="1013"/>
      <c r="H37" s="1013"/>
      <c r="I37" s="998"/>
      <c r="J37" s="998"/>
      <c r="K37" s="998"/>
      <c r="L37" s="998"/>
      <c r="M37" s="998"/>
      <c r="N37" s="998"/>
      <c r="O37" s="998"/>
      <c r="P37" s="1009"/>
      <c r="Q37" s="996"/>
      <c r="R37" s="996"/>
      <c r="S37" s="1209"/>
      <c r="T37" s="1209"/>
      <c r="U37" s="1209"/>
    </row>
    <row r="38" spans="1:21">
      <c r="A38" s="996"/>
      <c r="B38" s="996"/>
      <c r="C38" s="996"/>
      <c r="D38" s="1009"/>
      <c r="F38" s="1013"/>
      <c r="G38" s="1013"/>
      <c r="H38" s="1013"/>
      <c r="I38" s="998"/>
      <c r="J38" s="998"/>
      <c r="K38" s="998"/>
      <c r="L38" s="998"/>
      <c r="M38" s="998"/>
      <c r="N38" s="998"/>
      <c r="O38" s="998"/>
      <c r="P38" s="1009"/>
      <c r="Q38" s="996"/>
      <c r="R38" s="996"/>
      <c r="S38" s="1209"/>
      <c r="T38" s="1209"/>
      <c r="U38" s="1209"/>
    </row>
    <row r="39" spans="1:21">
      <c r="A39" s="996"/>
      <c r="B39" s="996"/>
      <c r="C39" s="996"/>
      <c r="D39" s="1009"/>
      <c r="F39" s="1010"/>
      <c r="G39" s="1010"/>
      <c r="H39" s="1010"/>
      <c r="P39" s="1009"/>
      <c r="Q39" s="996"/>
      <c r="R39" s="996"/>
      <c r="S39" s="1209"/>
      <c r="T39" s="1209"/>
      <c r="U39" s="1209"/>
    </row>
    <row r="40" spans="1:21">
      <c r="A40" s="996"/>
      <c r="B40" s="996"/>
      <c r="C40" s="996"/>
      <c r="D40" s="1009"/>
      <c r="F40" s="1010"/>
      <c r="G40" s="1010"/>
      <c r="H40" s="1012"/>
      <c r="P40" s="1009"/>
      <c r="Q40" s="996"/>
      <c r="R40" s="996"/>
      <c r="S40" s="1209"/>
      <c r="T40" s="1209"/>
      <c r="U40" s="1209"/>
    </row>
    <row r="41" spans="1:21">
      <c r="A41" s="996"/>
      <c r="B41" s="996"/>
      <c r="C41" s="996"/>
      <c r="D41" s="1009"/>
      <c r="E41" s="1014"/>
      <c r="F41" s="1757" t="str">
        <f>CBGS1</f>
        <v>Trần Trọng Liêm</v>
      </c>
      <c r="G41" s="1757"/>
      <c r="H41" s="1757"/>
      <c r="I41" s="1758" t="str">
        <f>CBKT1</f>
        <v>Hoàng Đình Tảng</v>
      </c>
      <c r="J41" s="1758"/>
      <c r="K41" s="1758"/>
      <c r="L41" s="1758" t="str">
        <f>Nguoi_TN2</f>
        <v>Đoàn Hữu Quy</v>
      </c>
      <c r="M41" s="1758"/>
      <c r="N41" s="1758"/>
      <c r="O41" s="1758"/>
      <c r="P41" s="1009"/>
      <c r="Q41" s="996"/>
      <c r="R41" s="996"/>
      <c r="S41" s="1209"/>
      <c r="T41" s="1209"/>
      <c r="U41" s="1209"/>
    </row>
    <row r="42" spans="1:21">
      <c r="A42" s="996"/>
      <c r="B42" s="996"/>
      <c r="C42" s="996"/>
      <c r="D42" s="1009"/>
      <c r="E42" s="1009"/>
      <c r="F42" s="1009"/>
      <c r="G42" s="1009"/>
      <c r="H42" s="1009"/>
      <c r="I42" s="1009"/>
      <c r="J42" s="1009"/>
      <c r="K42" s="1009"/>
      <c r="L42" s="1009"/>
      <c r="M42" s="1009"/>
      <c r="N42" s="1009"/>
      <c r="O42" s="1009"/>
      <c r="P42" s="1009"/>
      <c r="Q42" s="996"/>
      <c r="R42" s="996"/>
      <c r="S42" s="1209"/>
      <c r="T42" s="1209"/>
      <c r="U42" s="1209"/>
    </row>
    <row r="43" spans="1:21">
      <c r="A43" s="996"/>
      <c r="B43" s="996"/>
      <c r="C43" s="996"/>
      <c r="D43" s="996"/>
      <c r="E43" s="996"/>
      <c r="F43" s="996"/>
      <c r="G43" s="996"/>
      <c r="H43" s="996"/>
      <c r="I43" s="996"/>
      <c r="J43" s="996"/>
      <c r="K43" s="996"/>
      <c r="L43" s="996"/>
      <c r="M43" s="996"/>
      <c r="N43" s="996"/>
      <c r="O43" s="996"/>
      <c r="P43" s="996"/>
      <c r="Q43" s="996"/>
      <c r="R43" s="996"/>
      <c r="S43" s="996"/>
      <c r="T43" s="996"/>
      <c r="U43" s="996"/>
    </row>
    <row r="44" spans="1:21">
      <c r="A44" s="996"/>
      <c r="B44" s="996"/>
      <c r="C44" s="996"/>
      <c r="D44" s="996"/>
      <c r="E44" s="996"/>
      <c r="F44" s="996"/>
      <c r="G44" s="996"/>
      <c r="H44" s="996"/>
      <c r="I44" s="996"/>
      <c r="J44" s="996"/>
      <c r="K44" s="996"/>
      <c r="L44" s="996"/>
      <c r="M44" s="996"/>
      <c r="N44" s="996"/>
      <c r="O44" s="996"/>
      <c r="P44" s="996"/>
      <c r="Q44" s="996"/>
      <c r="R44" s="996"/>
      <c r="S44" s="996"/>
      <c r="T44" s="996"/>
      <c r="U44" s="996"/>
    </row>
    <row r="45" spans="1:21">
      <c r="A45" s="996"/>
      <c r="B45" s="996"/>
      <c r="C45" s="996"/>
      <c r="D45" s="996"/>
      <c r="E45" s="996"/>
      <c r="F45" s="996"/>
      <c r="G45" s="996"/>
      <c r="H45" s="996"/>
      <c r="I45" s="996"/>
      <c r="J45" s="996"/>
      <c r="K45" s="996"/>
      <c r="L45" s="996"/>
      <c r="M45" s="996"/>
      <c r="N45" s="996"/>
      <c r="O45" s="996"/>
      <c r="P45" s="996"/>
      <c r="Q45" s="996"/>
      <c r="R45" s="996"/>
      <c r="S45" s="996"/>
      <c r="T45" s="996"/>
      <c r="U45" s="996"/>
    </row>
    <row r="46" spans="1:21">
      <c r="A46" s="996"/>
      <c r="B46" s="996"/>
      <c r="C46" s="996"/>
      <c r="D46" s="996"/>
      <c r="E46" s="996"/>
      <c r="F46" s="996"/>
      <c r="G46" s="996"/>
      <c r="H46" s="996"/>
      <c r="I46" s="996"/>
      <c r="J46" s="996"/>
      <c r="K46" s="996"/>
      <c r="L46" s="996"/>
      <c r="M46" s="996"/>
      <c r="N46" s="996"/>
      <c r="O46" s="996"/>
      <c r="P46" s="996"/>
      <c r="Q46" s="996"/>
      <c r="R46" s="996"/>
      <c r="S46" s="996"/>
      <c r="T46" s="996"/>
      <c r="U46" s="996"/>
    </row>
    <row r="47" spans="1:21">
      <c r="A47" s="996"/>
      <c r="B47" s="996"/>
      <c r="C47" s="996"/>
      <c r="D47" s="996"/>
      <c r="E47" s="996"/>
      <c r="F47" s="996"/>
      <c r="G47" s="996"/>
      <c r="H47" s="996"/>
      <c r="I47" s="996"/>
      <c r="J47" s="996"/>
      <c r="K47" s="996"/>
      <c r="L47" s="996"/>
      <c r="M47" s="996"/>
      <c r="N47" s="996"/>
      <c r="O47" s="996"/>
      <c r="P47" s="996"/>
      <c r="Q47" s="996"/>
      <c r="R47" s="996"/>
      <c r="S47" s="996"/>
      <c r="T47" s="996"/>
      <c r="U47" s="996"/>
    </row>
    <row r="48" spans="1:21">
      <c r="A48" s="996"/>
      <c r="B48" s="996"/>
      <c r="C48" s="996"/>
      <c r="D48" s="996"/>
      <c r="E48" s="996"/>
      <c r="F48" s="996"/>
      <c r="G48" s="996"/>
      <c r="H48" s="996"/>
      <c r="I48" s="996"/>
      <c r="J48" s="996"/>
      <c r="K48" s="996"/>
      <c r="L48" s="996"/>
      <c r="M48" s="996"/>
      <c r="N48" s="996"/>
      <c r="O48" s="996"/>
      <c r="P48" s="996"/>
      <c r="Q48" s="996"/>
      <c r="R48" s="996"/>
      <c r="S48" s="996"/>
      <c r="T48" s="996"/>
      <c r="U48" s="996"/>
    </row>
    <row r="49" spans="1:21">
      <c r="A49" s="996"/>
      <c r="B49" s="996"/>
      <c r="C49" s="996"/>
      <c r="D49" s="996"/>
      <c r="E49" s="996"/>
      <c r="F49" s="996"/>
      <c r="G49" s="996"/>
      <c r="H49" s="996"/>
      <c r="I49" s="996"/>
      <c r="J49" s="996"/>
      <c r="K49" s="996"/>
      <c r="L49" s="996"/>
      <c r="M49" s="996"/>
      <c r="N49" s="996"/>
      <c r="O49" s="996"/>
      <c r="P49" s="996"/>
      <c r="Q49" s="996"/>
      <c r="R49" s="996"/>
      <c r="S49" s="996"/>
      <c r="T49" s="996"/>
      <c r="U49" s="996"/>
    </row>
    <row r="50" spans="1:21">
      <c r="A50" s="996"/>
      <c r="B50" s="996"/>
      <c r="C50" s="996"/>
      <c r="D50" s="996"/>
      <c r="E50" s="996"/>
      <c r="F50" s="996"/>
      <c r="G50" s="996"/>
      <c r="H50" s="996"/>
      <c r="I50" s="996"/>
      <c r="J50" s="996"/>
      <c r="K50" s="996"/>
      <c r="L50" s="996"/>
      <c r="M50" s="996"/>
      <c r="N50" s="996"/>
      <c r="O50" s="996"/>
      <c r="P50" s="996"/>
      <c r="Q50" s="996"/>
      <c r="R50" s="996"/>
      <c r="S50" s="996"/>
      <c r="T50" s="996"/>
      <c r="U50" s="996"/>
    </row>
    <row r="51" spans="1:21">
      <c r="A51" s="996"/>
      <c r="B51" s="996"/>
      <c r="C51" s="996"/>
      <c r="D51" s="996"/>
      <c r="E51" s="996"/>
      <c r="F51" s="996"/>
      <c r="G51" s="996"/>
      <c r="H51" s="996"/>
      <c r="I51" s="996"/>
      <c r="J51" s="996"/>
      <c r="K51" s="996"/>
      <c r="L51" s="996"/>
      <c r="M51" s="996"/>
      <c r="N51" s="996"/>
      <c r="O51" s="996"/>
      <c r="P51" s="996"/>
      <c r="Q51" s="996"/>
      <c r="R51" s="996"/>
      <c r="S51" s="996"/>
      <c r="T51" s="996"/>
      <c r="U51" s="996"/>
    </row>
  </sheetData>
  <mergeCells count="45">
    <mergeCell ref="F41:H41"/>
    <mergeCell ref="I41:K41"/>
    <mergeCell ref="L41:O41"/>
    <mergeCell ref="E15:O15"/>
    <mergeCell ref="K25:O25"/>
    <mergeCell ref="F26:J26"/>
    <mergeCell ref="K26:O26"/>
    <mergeCell ref="E27:O27"/>
    <mergeCell ref="F28:J28"/>
    <mergeCell ref="K28:O28"/>
    <mergeCell ref="F29:J29"/>
    <mergeCell ref="K29:O29"/>
    <mergeCell ref="E31:O31"/>
    <mergeCell ref="E32:O32"/>
    <mergeCell ref="E33:O33"/>
    <mergeCell ref="F36:H36"/>
    <mergeCell ref="I36:K36"/>
    <mergeCell ref="L36:O36"/>
    <mergeCell ref="E18:O18"/>
    <mergeCell ref="E19:O19"/>
    <mergeCell ref="E20:O20"/>
    <mergeCell ref="F21:J21"/>
    <mergeCell ref="K21:O21"/>
    <mergeCell ref="F22:J22"/>
    <mergeCell ref="K22:O22"/>
    <mergeCell ref="E30:O30"/>
    <mergeCell ref="E23:O23"/>
    <mergeCell ref="F25:J25"/>
    <mergeCell ref="E35:O35"/>
    <mergeCell ref="E34:O34"/>
    <mergeCell ref="E24:O24"/>
    <mergeCell ref="E14:O14"/>
    <mergeCell ref="E16:O16"/>
    <mergeCell ref="E17:O17"/>
    <mergeCell ref="D1:P1"/>
    <mergeCell ref="D2:P2"/>
    <mergeCell ref="D3:P3"/>
    <mergeCell ref="E12:O12"/>
    <mergeCell ref="E13:O13"/>
    <mergeCell ref="E10:O10"/>
    <mergeCell ref="E6:O6"/>
    <mergeCell ref="E7:O7"/>
    <mergeCell ref="E8:O8"/>
    <mergeCell ref="E9:O9"/>
    <mergeCell ref="F11:O11"/>
  </mergeCells>
  <pageMargins left="0.70866141732283472" right="0.41" top="0.35" bottom="0.19"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55041" r:id="rId4" name="Spinner 1">
              <controlPr defaultSize="0" autoPict="0">
                <anchor moveWithCells="1" sizeWithCells="1">
                  <from>
                    <xdr:col>18</xdr:col>
                    <xdr:colOff>323850</xdr:colOff>
                    <xdr:row>0</xdr:row>
                    <xdr:rowOff>95250</xdr:rowOff>
                  </from>
                  <to>
                    <xdr:col>18</xdr:col>
                    <xdr:colOff>581025</xdr:colOff>
                    <xdr:row>2</xdr:row>
                    <xdr:rowOff>161925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pageSetUpPr fitToPage="1"/>
  </sheetPr>
  <dimension ref="A1:XFC60"/>
  <sheetViews>
    <sheetView showGridLines="0" zoomScale="90" zoomScaleNormal="90" workbookViewId="0">
      <pane xSplit="22" ySplit="3" topLeftCell="W16" activePane="bottomRight" state="frozen"/>
      <selection pane="topRight" activeCell="X1" sqref="X1"/>
      <selection pane="bottomLeft" activeCell="A4" sqref="A4"/>
      <selection pane="bottomRight" activeCell="S26" sqref="S26"/>
    </sheetView>
  </sheetViews>
  <sheetFormatPr defaultRowHeight="16.5" zeroHeight="1"/>
  <cols>
    <col min="1" max="1" width="8.88671875" style="29"/>
    <col min="2" max="2" width="13.77734375" style="29" customWidth="1"/>
    <col min="3" max="3" width="14.88671875" style="29" customWidth="1"/>
    <col min="4" max="4" width="4.33203125" style="29" customWidth="1"/>
    <col min="5" max="5" width="9.109375" style="29" customWidth="1"/>
    <col min="6" max="6" width="9.5546875" style="29" customWidth="1"/>
    <col min="7" max="7" width="1.5546875" style="29" customWidth="1"/>
    <col min="8" max="8" width="8.5546875" style="29" customWidth="1"/>
    <col min="9" max="9" width="11.6640625" style="29" customWidth="1"/>
    <col min="10" max="10" width="6.77734375" style="29" customWidth="1"/>
    <col min="11" max="11" width="7.44140625" style="29" customWidth="1"/>
    <col min="12" max="12" width="3.44140625" style="29" customWidth="1"/>
    <col min="13" max="13" width="5.33203125" style="29" customWidth="1"/>
    <col min="14" max="14" width="8.77734375" style="29" customWidth="1"/>
    <col min="15" max="15" width="5.33203125" style="29" customWidth="1"/>
    <col min="16" max="17" width="8.88671875" style="29"/>
    <col min="18" max="18" width="4" style="29" customWidth="1"/>
    <col min="19" max="22" width="8.88671875" style="29"/>
    <col min="23" max="24" width="8.77734375" style="29" customWidth="1"/>
    <col min="25" max="25" width="9.33203125" style="29" customWidth="1"/>
    <col min="26" max="26" width="8.88671875" style="29"/>
    <col min="27" max="256" width="8.77734375" style="29" customWidth="1"/>
    <col min="257" max="16382" width="8.88671875" style="29"/>
    <col min="16383" max="16384" width="8.77734375" style="29" customWidth="1"/>
  </cols>
  <sheetData>
    <row r="1" spans="1:22">
      <c r="A1" s="1263" t="str">
        <f>VLOOKUP(R2,Tam!$AA$1:$AC$5,2,0)</f>
        <v>4. 1. 0. Bia NTHT</v>
      </c>
      <c r="B1" s="87"/>
      <c r="C1" s="87"/>
      <c r="D1" s="1785" t="str">
        <f>"     "&amp;Tieude1&amp;": "&amp;NDtieude1</f>
        <v xml:space="preserve">     Công trình: Gia cố nâng cấp kênh Bà Xoài từ K0+300÷K0+600 - Hệ thống thủy lợi Nha Trinh, huyện Ninh Hải, tỉnh Ninh Thuận</v>
      </c>
      <c r="E1" s="1785"/>
      <c r="F1" s="1785"/>
      <c r="G1" s="1785"/>
      <c r="H1" s="1785"/>
      <c r="I1" s="1785"/>
      <c r="J1" s="1785"/>
      <c r="K1" s="1785"/>
      <c r="L1" s="1785"/>
      <c r="M1" s="1785"/>
      <c r="N1" s="1785"/>
      <c r="O1" s="1785"/>
      <c r="P1" s="87"/>
      <c r="Q1" s="87"/>
      <c r="R1" s="87"/>
      <c r="S1" s="87"/>
      <c r="T1" s="87"/>
      <c r="U1" s="87"/>
      <c r="V1" s="87"/>
    </row>
    <row r="2" spans="1:22">
      <c r="A2" s="87"/>
      <c r="B2" s="87"/>
      <c r="C2" s="87"/>
      <c r="D2" s="1785" t="str">
        <f>"     Địa điểm XD: "&amp;DDXD</f>
        <v xml:space="preserve">     Địa điểm XD: Huyện Ninh Hải - Tỉnh Ninh Thuận</v>
      </c>
      <c r="E2" s="1785"/>
      <c r="F2" s="1785"/>
      <c r="G2" s="1785"/>
      <c r="H2" s="1785"/>
      <c r="I2" s="1785"/>
      <c r="J2" s="1785"/>
      <c r="K2" s="1785"/>
      <c r="L2" s="1785"/>
      <c r="M2" s="1785"/>
      <c r="N2" s="1785"/>
      <c r="O2" s="1785"/>
      <c r="P2" s="87"/>
      <c r="Q2" s="87"/>
      <c r="R2" s="100">
        <v>4</v>
      </c>
      <c r="S2" s="87"/>
      <c r="T2" s="87"/>
      <c r="U2" s="87"/>
      <c r="V2" s="87"/>
    </row>
    <row r="3" spans="1:22" ht="14.25" customHeight="1">
      <c r="A3" s="87"/>
      <c r="B3" s="87"/>
      <c r="C3" s="87"/>
      <c r="D3" s="87"/>
      <c r="E3" s="87"/>
      <c r="F3" s="87"/>
      <c r="G3" s="87"/>
      <c r="H3" s="87"/>
      <c r="I3" s="87"/>
      <c r="J3" s="87"/>
      <c r="K3" s="87"/>
      <c r="L3" s="87"/>
      <c r="M3" s="87"/>
      <c r="N3" s="87"/>
      <c r="O3" s="87"/>
      <c r="P3" s="87"/>
      <c r="Q3" s="87"/>
      <c r="R3" s="87"/>
      <c r="S3" s="87"/>
      <c r="T3" s="87"/>
      <c r="U3" s="87"/>
      <c r="V3" s="87"/>
    </row>
    <row r="4" spans="1:22">
      <c r="A4" s="87"/>
      <c r="B4" s="87"/>
      <c r="C4" s="87"/>
      <c r="P4" s="87"/>
      <c r="Q4" s="87"/>
      <c r="R4" s="87"/>
      <c r="S4" s="87"/>
      <c r="T4" s="87"/>
      <c r="U4" s="87"/>
      <c r="V4" s="87"/>
    </row>
    <row r="5" spans="1:22">
      <c r="A5" s="87"/>
      <c r="B5" s="87"/>
      <c r="C5" s="87"/>
      <c r="P5" s="87"/>
      <c r="Q5" s="87"/>
      <c r="R5" s="87"/>
      <c r="S5" s="87"/>
      <c r="T5" s="87"/>
      <c r="U5" s="87"/>
      <c r="V5" s="87"/>
    </row>
    <row r="6" spans="1:22">
      <c r="A6" s="87"/>
      <c r="B6" s="87"/>
      <c r="C6" s="87"/>
      <c r="D6" s="1786" t="s">
        <v>158</v>
      </c>
      <c r="E6" s="1786"/>
      <c r="F6" s="1786"/>
      <c r="G6" s="1786"/>
      <c r="H6" s="1786"/>
      <c r="I6" s="1786"/>
      <c r="J6" s="1786"/>
      <c r="K6" s="1786"/>
      <c r="L6" s="1786"/>
      <c r="M6" s="1786"/>
      <c r="N6" s="1786"/>
      <c r="O6" s="1786"/>
      <c r="P6" s="87"/>
      <c r="Q6" s="87"/>
      <c r="R6" s="87"/>
      <c r="S6" s="87"/>
      <c r="T6" s="87"/>
      <c r="U6" s="87"/>
      <c r="V6" s="87"/>
    </row>
    <row r="7" spans="1:22" ht="18">
      <c r="A7" s="87"/>
      <c r="B7" s="87"/>
      <c r="C7" s="87"/>
      <c r="D7" s="1787" t="s">
        <v>161</v>
      </c>
      <c r="E7" s="1787"/>
      <c r="F7" s="1787"/>
      <c r="G7" s="1787"/>
      <c r="H7" s="1787"/>
      <c r="I7" s="1787"/>
      <c r="J7" s="1787"/>
      <c r="K7" s="1787"/>
      <c r="L7" s="1787"/>
      <c r="M7" s="1787"/>
      <c r="N7" s="1787"/>
      <c r="O7" s="1787"/>
      <c r="P7" s="87"/>
      <c r="Q7" s="87"/>
      <c r="R7" s="87"/>
      <c r="S7" s="87"/>
      <c r="T7" s="87"/>
      <c r="U7" s="87"/>
      <c r="V7" s="87"/>
    </row>
    <row r="8" spans="1:22">
      <c r="A8" s="87"/>
      <c r="B8" s="87"/>
      <c r="C8" s="87"/>
      <c r="P8" s="87"/>
      <c r="Q8" s="87"/>
      <c r="R8" s="87"/>
      <c r="S8" s="87"/>
      <c r="T8" s="87"/>
      <c r="U8" s="87"/>
      <c r="V8" s="87"/>
    </row>
    <row r="9" spans="1:22">
      <c r="A9" s="87"/>
      <c r="B9" s="87"/>
      <c r="C9" s="87"/>
      <c r="P9" s="87"/>
      <c r="Q9" s="87"/>
      <c r="R9" s="87"/>
      <c r="S9" s="87"/>
      <c r="T9" s="87"/>
      <c r="U9" s="87"/>
      <c r="V9" s="87"/>
    </row>
    <row r="10" spans="1:22">
      <c r="A10" s="87"/>
      <c r="B10" s="87"/>
      <c r="C10" s="87"/>
      <c r="P10" s="87"/>
      <c r="Q10" s="87"/>
      <c r="R10" s="87"/>
      <c r="S10" s="87"/>
      <c r="T10" s="87"/>
      <c r="U10" s="87"/>
      <c r="V10" s="87"/>
    </row>
    <row r="11" spans="1:22">
      <c r="A11" s="87"/>
      <c r="B11" s="87"/>
      <c r="C11" s="87"/>
      <c r="P11" s="87"/>
      <c r="Q11" s="87"/>
      <c r="R11" s="87"/>
      <c r="S11" s="87"/>
      <c r="T11" s="87"/>
      <c r="U11" s="87"/>
      <c r="V11" s="87"/>
    </row>
    <row r="12" spans="1:22">
      <c r="A12" s="87"/>
      <c r="B12" s="87"/>
      <c r="C12" s="87"/>
      <c r="P12" s="87"/>
      <c r="Q12" s="87"/>
      <c r="R12" s="87"/>
      <c r="S12" s="87"/>
      <c r="T12" s="87"/>
      <c r="U12" s="87"/>
      <c r="V12" s="87"/>
    </row>
    <row r="13" spans="1:22">
      <c r="A13" s="87"/>
      <c r="B13" s="87"/>
      <c r="C13" s="87"/>
      <c r="P13" s="87"/>
      <c r="Q13" s="87"/>
      <c r="R13" s="87"/>
      <c r="S13" s="87"/>
      <c r="T13" s="87"/>
      <c r="U13" s="87"/>
      <c r="V13" s="87"/>
    </row>
    <row r="14" spans="1:22">
      <c r="A14" s="87"/>
      <c r="B14" s="87"/>
      <c r="C14" s="87"/>
      <c r="P14" s="87"/>
      <c r="Q14" s="87"/>
      <c r="R14" s="87"/>
      <c r="S14" s="87"/>
      <c r="T14" s="87"/>
      <c r="U14" s="87"/>
      <c r="V14" s="87"/>
    </row>
    <row r="15" spans="1:22" ht="25.5">
      <c r="A15" s="87"/>
      <c r="B15" s="87"/>
      <c r="C15" s="87"/>
      <c r="D15" s="1790" t="s">
        <v>217</v>
      </c>
      <c r="E15" s="1790"/>
      <c r="F15" s="1790"/>
      <c r="G15" s="1790"/>
      <c r="H15" s="1790"/>
      <c r="I15" s="1790"/>
      <c r="J15" s="1790"/>
      <c r="K15" s="1790"/>
      <c r="L15" s="1790"/>
      <c r="M15" s="1790"/>
      <c r="N15" s="1790"/>
      <c r="O15" s="1790"/>
      <c r="P15" s="87"/>
      <c r="Q15" s="87"/>
      <c r="R15" s="87"/>
      <c r="S15" s="87"/>
      <c r="T15" s="87"/>
      <c r="U15" s="87"/>
      <c r="V15" s="87"/>
    </row>
    <row r="16" spans="1:22" ht="45">
      <c r="A16" s="87"/>
      <c r="B16" s="87"/>
      <c r="C16" s="87"/>
      <c r="D16" s="1791" t="s">
        <v>218</v>
      </c>
      <c r="E16" s="1791"/>
      <c r="F16" s="1791"/>
      <c r="G16" s="1791"/>
      <c r="H16" s="1791"/>
      <c r="I16" s="1791"/>
      <c r="J16" s="1791"/>
      <c r="K16" s="1791"/>
      <c r="L16" s="1791"/>
      <c r="M16" s="1791"/>
      <c r="N16" s="1791"/>
      <c r="O16" s="1791"/>
      <c r="P16" s="87"/>
      <c r="Q16" s="87"/>
      <c r="R16" s="87"/>
      <c r="S16" s="87"/>
      <c r="T16" s="87"/>
      <c r="U16" s="87"/>
      <c r="V16" s="87"/>
    </row>
    <row r="17" spans="1:254 16383:16383">
      <c r="A17" s="87"/>
      <c r="B17" s="87"/>
      <c r="C17" s="87"/>
      <c r="P17" s="87"/>
      <c r="Q17" s="87"/>
      <c r="R17" s="87"/>
      <c r="S17" s="87"/>
      <c r="T17" s="87"/>
      <c r="U17" s="87"/>
      <c r="V17" s="87"/>
    </row>
    <row r="18" spans="1:254 16383:16383">
      <c r="A18" s="87"/>
      <c r="B18" s="87"/>
      <c r="C18" s="87"/>
      <c r="P18" s="87"/>
      <c r="Q18" s="87"/>
      <c r="R18" s="87"/>
      <c r="S18" s="87"/>
      <c r="T18" s="87"/>
      <c r="U18" s="87"/>
      <c r="V18" s="87"/>
    </row>
    <row r="19" spans="1:254 16383:16383">
      <c r="A19" s="87"/>
      <c r="B19" s="87"/>
      <c r="C19" s="87"/>
      <c r="P19" s="87"/>
      <c r="Q19" s="87"/>
      <c r="R19" s="87"/>
      <c r="S19" s="87"/>
      <c r="T19" s="87"/>
      <c r="U19" s="87"/>
      <c r="V19" s="87"/>
    </row>
    <row r="20" spans="1:254 16383:16383">
      <c r="A20" s="87"/>
      <c r="B20" s="87"/>
      <c r="C20" s="87"/>
      <c r="P20" s="87"/>
      <c r="Q20" s="87"/>
      <c r="R20" s="87"/>
      <c r="S20" s="87"/>
      <c r="T20" s="87"/>
      <c r="U20" s="87"/>
      <c r="V20" s="87"/>
    </row>
    <row r="21" spans="1:254 16383:16383" ht="19.899999999999999" customHeight="1">
      <c r="A21" s="87"/>
      <c r="B21" s="87"/>
      <c r="C21" s="87"/>
      <c r="P21" s="87"/>
      <c r="Q21" s="87"/>
      <c r="R21" s="87"/>
      <c r="S21" s="87"/>
      <c r="T21" s="87"/>
      <c r="U21" s="87"/>
      <c r="V21" s="87"/>
      <c r="W21"/>
      <c r="Y21" s="84"/>
      <c r="AA21"/>
    </row>
    <row r="22" spans="1:254 16383:16383" ht="28.9" customHeight="1">
      <c r="A22" s="87"/>
      <c r="B22" s="87"/>
      <c r="C22" s="87"/>
      <c r="E22" s="1792" t="s">
        <v>220</v>
      </c>
      <c r="F22" s="1792"/>
      <c r="G22" s="1792"/>
      <c r="H22" s="1792"/>
      <c r="I22" s="1792"/>
      <c r="J22" s="1792"/>
      <c r="K22" s="1792"/>
      <c r="L22" s="1792"/>
      <c r="M22" s="1792"/>
      <c r="N22" s="1792"/>
      <c r="P22" s="87"/>
      <c r="Q22" s="87"/>
      <c r="R22" s="87"/>
      <c r="S22" s="87"/>
      <c r="T22" s="87"/>
      <c r="U22" s="87"/>
      <c r="V22" s="87"/>
      <c r="W22"/>
      <c r="AA22"/>
    </row>
    <row r="23" spans="1:254 16383:16383" ht="19.899999999999999" customHeight="1">
      <c r="A23" s="87"/>
      <c r="B23" s="87"/>
      <c r="C23" s="87"/>
      <c r="E23" s="1793" t="str">
        <f>IF(VLOOKUP(R2,Tam!$AA$1:$AC$5,3,0)&lt;&gt;"",UPPER(VLOOKUP(R2,Tam!$AA$1:$AC$5,3,0)),"")</f>
        <v>TẬP: BIÊN BẢN NGHIỆM THU HOÀN THÀNH HẠNG MỤC</v>
      </c>
      <c r="F23" s="1793"/>
      <c r="G23" s="1793"/>
      <c r="H23" s="1793"/>
      <c r="I23" s="1793"/>
      <c r="J23" s="1793"/>
      <c r="K23" s="1793"/>
      <c r="L23" s="1793"/>
      <c r="M23" s="1793"/>
      <c r="N23" s="1793"/>
      <c r="P23" s="87"/>
      <c r="Q23" s="87"/>
      <c r="R23" s="87"/>
      <c r="S23" s="87"/>
      <c r="T23" s="87"/>
      <c r="U23" s="87"/>
      <c r="V23" s="87"/>
      <c r="W23"/>
      <c r="AA23"/>
    </row>
    <row r="24" spans="1:254 16383:16383" ht="19.899999999999999" customHeight="1">
      <c r="A24" s="87"/>
      <c r="B24" s="87"/>
      <c r="C24" s="87"/>
      <c r="E24" s="1793"/>
      <c r="F24" s="1793"/>
      <c r="G24" s="1793"/>
      <c r="H24" s="1793"/>
      <c r="I24" s="1793"/>
      <c r="J24" s="1793"/>
      <c r="K24" s="1793"/>
      <c r="L24" s="1793"/>
      <c r="M24" s="1793"/>
      <c r="N24" s="1793"/>
      <c r="P24" s="87"/>
      <c r="Q24" s="87"/>
      <c r="R24" s="87"/>
      <c r="S24" s="87"/>
      <c r="T24" s="87"/>
      <c r="U24" s="87"/>
      <c r="V24" s="87"/>
      <c r="W24"/>
      <c r="AA24"/>
    </row>
    <row r="25" spans="1:254 16383:16383" ht="19.899999999999999" customHeight="1">
      <c r="A25" s="87"/>
      <c r="B25" s="87"/>
      <c r="C25" s="87"/>
      <c r="P25" s="87"/>
      <c r="Q25" s="87"/>
      <c r="R25" s="87"/>
      <c r="S25" s="87"/>
      <c r="T25" s="87"/>
      <c r="U25" s="87"/>
      <c r="V25" s="87"/>
      <c r="W25"/>
      <c r="AA25"/>
    </row>
    <row r="26" spans="1:254 16383:16383" ht="19.899999999999999" customHeight="1">
      <c r="A26" s="87"/>
      <c r="B26" s="87"/>
      <c r="C26" s="87"/>
      <c r="P26" s="87"/>
      <c r="Q26" s="87"/>
      <c r="R26" s="87"/>
      <c r="S26" s="87"/>
      <c r="T26" s="87"/>
      <c r="U26" s="87"/>
      <c r="V26" s="87"/>
      <c r="W26"/>
      <c r="AA26"/>
    </row>
    <row r="27" spans="1:254 16383:16383" ht="19.899999999999999" customHeight="1">
      <c r="A27" s="87"/>
      <c r="B27" s="87"/>
      <c r="C27" s="87"/>
      <c r="P27" s="87"/>
      <c r="Q27" s="87"/>
      <c r="R27" s="87"/>
      <c r="S27" s="87"/>
      <c r="T27" s="87"/>
      <c r="U27" s="87"/>
      <c r="V27" s="87"/>
      <c r="W27"/>
      <c r="AA27"/>
    </row>
    <row r="28" spans="1:254 16383:16383" ht="33" customHeight="1">
      <c r="A28" s="87"/>
      <c r="B28" s="87"/>
      <c r="C28" s="87"/>
      <c r="E28" s="1788" t="str">
        <f>IF(NDtieude1&lt;&gt;"",Tieude1&amp;": "&amp;NDtieude1,"")</f>
        <v>Công trình: Gia cố nâng cấp kênh Bà Xoài từ K0+300÷K0+600 - Hệ thống thủy lợi Nha Trinh, huyện Ninh Hải, tỉnh Ninh Thuận</v>
      </c>
      <c r="F28" s="1564"/>
      <c r="G28" s="1564"/>
      <c r="H28" s="1564"/>
      <c r="I28" s="1564"/>
      <c r="J28" s="1564"/>
      <c r="K28" s="1564"/>
      <c r="L28" s="1564"/>
      <c r="M28" s="1564"/>
      <c r="N28" s="1564"/>
      <c r="P28" s="90">
        <f>IF(NDtieude1="","",ROW(H28))</f>
        <v>28</v>
      </c>
      <c r="Q28" s="87"/>
      <c r="R28" s="87"/>
      <c r="S28" s="87"/>
      <c r="T28" s="87"/>
      <c r="U28" s="87">
        <f>ROW()</f>
        <v>28</v>
      </c>
      <c r="V28" s="87"/>
      <c r="W28"/>
      <c r="AA28"/>
      <c r="AC28"/>
      <c r="AH28"/>
      <c r="AO28"/>
      <c r="AV28"/>
      <c r="BC28"/>
      <c r="BJ28"/>
      <c r="BU28"/>
      <c r="CA28"/>
      <c r="CG28"/>
      <c r="CM28"/>
      <c r="CS28"/>
      <c r="CY28"/>
      <c r="DE28"/>
      <c r="DK28"/>
      <c r="DQ28"/>
      <c r="DW28"/>
      <c r="EC28"/>
      <c r="EI28"/>
      <c r="EO28"/>
      <c r="EU28"/>
      <c r="FA28"/>
      <c r="FG28"/>
      <c r="FM28"/>
      <c r="FS28"/>
      <c r="FY28"/>
      <c r="GT28"/>
      <c r="GY28"/>
      <c r="HD28"/>
      <c r="IC28"/>
      <c r="IG28"/>
      <c r="IK28"/>
      <c r="IO28"/>
      <c r="IS28"/>
      <c r="XFC28"/>
    </row>
    <row r="29" spans="1:254 16383:16383" ht="16.5" hidden="1" customHeight="1">
      <c r="A29" s="87"/>
      <c r="B29" s="87"/>
      <c r="C29" s="87"/>
      <c r="E29" s="1788" t="str">
        <f>IF(NDtieude2&lt;&gt;"",Tieude2&amp;": "&amp;NDtieude2,"")</f>
        <v/>
      </c>
      <c r="F29" s="1564"/>
      <c r="G29" s="1564"/>
      <c r="H29" s="1564"/>
      <c r="I29" s="1564"/>
      <c r="J29" s="1564"/>
      <c r="K29" s="1564"/>
      <c r="L29" s="1564"/>
      <c r="M29" s="1564"/>
      <c r="N29" s="1564"/>
      <c r="P29" s="90" t="str">
        <f>IF(NDtieude2="","",ROW(H29))</f>
        <v/>
      </c>
      <c r="Q29" s="87"/>
      <c r="R29" s="87"/>
      <c r="S29" s="87"/>
      <c r="T29" s="87"/>
      <c r="U29" s="87">
        <f>ROW()</f>
        <v>29</v>
      </c>
      <c r="V29" s="87"/>
      <c r="AC29"/>
      <c r="AI29"/>
      <c r="AP29"/>
      <c r="AW29"/>
      <c r="BD29"/>
      <c r="BK29"/>
      <c r="BP29"/>
      <c r="BV29"/>
      <c r="CB29"/>
      <c r="CH29"/>
      <c r="CN29"/>
      <c r="CT29"/>
      <c r="CZ29"/>
      <c r="DF29"/>
      <c r="DL29"/>
      <c r="DR29"/>
      <c r="DX29"/>
      <c r="ED29"/>
      <c r="EJ29"/>
      <c r="EP29"/>
      <c r="EV29"/>
      <c r="FB29"/>
      <c r="FH29"/>
      <c r="FN29"/>
      <c r="FT29"/>
      <c r="FZ29"/>
      <c r="GE29"/>
      <c r="GJ29"/>
      <c r="GO29"/>
      <c r="HI29"/>
      <c r="HN29"/>
      <c r="HS29"/>
      <c r="HX29"/>
      <c r="XFC29"/>
    </row>
    <row r="30" spans="1:254 16383:16383" ht="16.5" customHeight="1">
      <c r="A30" s="87"/>
      <c r="B30" s="87"/>
      <c r="C30" s="87"/>
      <c r="E30" s="1788" t="str">
        <f>IF(NDtieude3&lt;&gt;"",Tieude3&amp;": "&amp;NDtieude3,"")</f>
        <v>Hạng mục: Kênh và Công trình trên kênh</v>
      </c>
      <c r="F30" s="1564"/>
      <c r="G30" s="1564"/>
      <c r="H30" s="1564"/>
      <c r="I30" s="1564"/>
      <c r="J30" s="1564"/>
      <c r="K30" s="1564"/>
      <c r="L30" s="1564"/>
      <c r="M30" s="1564"/>
      <c r="N30" s="1564"/>
      <c r="P30" s="90">
        <f>IF(NDtieude3="","",ROW(H30))</f>
        <v>30</v>
      </c>
      <c r="Q30" s="87"/>
      <c r="R30" s="87"/>
      <c r="S30" s="87"/>
      <c r="T30" s="87"/>
      <c r="U30" s="87">
        <f>ROW()</f>
        <v>30</v>
      </c>
      <c r="V30" s="87"/>
      <c r="AC30"/>
      <c r="AJ30"/>
      <c r="AQ30"/>
      <c r="AX30"/>
      <c r="BE30"/>
      <c r="BL30"/>
      <c r="BQ30"/>
      <c r="BW30"/>
      <c r="CC30"/>
      <c r="CI30"/>
      <c r="CO30"/>
      <c r="CU30"/>
      <c r="DA30"/>
      <c r="DG30"/>
      <c r="DM30"/>
      <c r="DS30"/>
      <c r="DY30"/>
      <c r="EE30"/>
      <c r="EK30"/>
      <c r="EQ30"/>
      <c r="EW30"/>
      <c r="FC30"/>
      <c r="FI30"/>
      <c r="FO30"/>
      <c r="FU30"/>
      <c r="GA30"/>
      <c r="GF30"/>
      <c r="GK30"/>
      <c r="GP30"/>
      <c r="GU30"/>
      <c r="GZ30"/>
      <c r="HE30"/>
      <c r="HJ30"/>
      <c r="HO30"/>
      <c r="HT30"/>
      <c r="HY30"/>
      <c r="XFC30"/>
    </row>
    <row r="31" spans="1:254 16383:16383" ht="16.5" customHeight="1">
      <c r="A31" s="87"/>
      <c r="B31" s="87"/>
      <c r="C31" s="87"/>
      <c r="E31" s="1788" t="str">
        <f>"Địa điểm xây dựng: "&amp;DDXD</f>
        <v>Địa điểm xây dựng: Huyện Ninh Hải - Tỉnh Ninh Thuận</v>
      </c>
      <c r="F31" s="1564"/>
      <c r="G31" s="1564"/>
      <c r="H31" s="1564"/>
      <c r="I31" s="1564"/>
      <c r="J31" s="1564"/>
      <c r="K31" s="1564"/>
      <c r="L31" s="1564"/>
      <c r="M31" s="1564"/>
      <c r="N31" s="1564"/>
      <c r="P31" s="87"/>
      <c r="Q31" s="87"/>
      <c r="R31" s="87"/>
      <c r="S31" s="87"/>
      <c r="T31" s="87"/>
      <c r="U31" s="87">
        <f>ROW()</f>
        <v>31</v>
      </c>
      <c r="V31" s="87"/>
      <c r="AC31"/>
      <c r="AK31"/>
      <c r="AR31"/>
      <c r="AY31"/>
      <c r="BF31"/>
      <c r="BM31"/>
      <c r="BR31"/>
      <c r="BX31"/>
      <c r="CD31"/>
      <c r="CJ31"/>
      <c r="CP31"/>
      <c r="CV31"/>
      <c r="DB31"/>
      <c r="DH31"/>
      <c r="DN31"/>
      <c r="DT31"/>
      <c r="DZ31"/>
      <c r="EF31"/>
      <c r="EL31"/>
      <c r="ER31"/>
      <c r="EX31"/>
      <c r="FD31"/>
      <c r="FJ31"/>
      <c r="FP31"/>
      <c r="FV31"/>
      <c r="GB31"/>
      <c r="GG31"/>
      <c r="GL31"/>
      <c r="GQ31"/>
      <c r="GV31"/>
      <c r="HA31"/>
      <c r="HF31"/>
      <c r="HK31"/>
      <c r="HP31"/>
      <c r="HU31"/>
      <c r="HZ31"/>
      <c r="ID31"/>
      <c r="IH31"/>
      <c r="IL31"/>
      <c r="IP31"/>
      <c r="IT31"/>
      <c r="XFC31"/>
    </row>
    <row r="32" spans="1:254 16383:16383">
      <c r="A32" s="87"/>
      <c r="B32" s="87"/>
      <c r="C32" s="87"/>
      <c r="P32" s="87"/>
      <c r="Q32" s="87"/>
      <c r="R32" s="87"/>
      <c r="S32" s="87"/>
      <c r="T32" s="87"/>
      <c r="U32" s="87"/>
      <c r="V32" s="87"/>
    </row>
    <row r="33" spans="1:256 16383:16383">
      <c r="A33" s="87"/>
      <c r="B33" s="87"/>
      <c r="C33" s="87"/>
      <c r="H33" s="1794"/>
      <c r="I33" s="1794"/>
      <c r="J33" s="1794"/>
      <c r="K33" s="1794"/>
      <c r="L33" s="1794"/>
      <c r="M33" s="1794"/>
      <c r="N33" s="1794"/>
      <c r="P33" s="87"/>
      <c r="Q33" s="87"/>
      <c r="R33" s="87"/>
      <c r="S33" s="87"/>
      <c r="T33" s="87"/>
      <c r="U33" s="87"/>
      <c r="V33" s="87"/>
    </row>
    <row r="34" spans="1:256 16383:16383">
      <c r="A34" s="87"/>
      <c r="B34" s="87"/>
      <c r="C34" s="87"/>
      <c r="H34" s="1794"/>
      <c r="I34" s="1794"/>
      <c r="J34" s="1794"/>
      <c r="K34" s="1794"/>
      <c r="L34" s="1794"/>
      <c r="M34" s="1794"/>
      <c r="N34" s="1794"/>
      <c r="P34" s="87"/>
      <c r="Q34" s="87"/>
      <c r="R34" s="87"/>
      <c r="S34" s="87"/>
      <c r="T34" s="87"/>
      <c r="U34" s="87"/>
      <c r="V34" s="87"/>
    </row>
    <row r="35" spans="1:256 16383:16383">
      <c r="A35" s="87"/>
      <c r="B35" s="87"/>
      <c r="C35" s="87"/>
      <c r="P35" s="87"/>
      <c r="Q35" s="87"/>
      <c r="R35" s="87"/>
      <c r="S35" s="87"/>
      <c r="T35" s="87"/>
      <c r="U35" s="87"/>
      <c r="V35" s="87"/>
    </row>
    <row r="36" spans="1:256 16383:16383" ht="16.5" customHeight="1">
      <c r="A36" s="87"/>
      <c r="B36" s="87"/>
      <c r="C36" s="87"/>
      <c r="E36" s="1788" t="str">
        <f>"Chủ đầu tư: "&amp;CĐT</f>
        <v>Chủ đầu tư: Công ty TNHH MTV khai thác công trình thủy lợi Ninh Thuận</v>
      </c>
      <c r="F36" s="1564"/>
      <c r="G36" s="1564"/>
      <c r="H36" s="1564"/>
      <c r="I36" s="1564"/>
      <c r="J36" s="1564"/>
      <c r="K36" s="1564"/>
      <c r="L36" s="1564"/>
      <c r="M36" s="1564"/>
      <c r="N36" s="1564"/>
      <c r="P36" s="87"/>
      <c r="Q36" s="87"/>
      <c r="R36" s="87"/>
      <c r="S36" s="87"/>
      <c r="T36" s="87"/>
      <c r="U36" s="87">
        <f>ROW()</f>
        <v>36</v>
      </c>
      <c r="V36" s="87"/>
      <c r="X36"/>
      <c r="AB36"/>
      <c r="AD36"/>
      <c r="AE36"/>
      <c r="AF36"/>
      <c r="AL36"/>
      <c r="AS36"/>
    </row>
    <row r="37" spans="1:256 16383:16383" ht="16.5" customHeight="1">
      <c r="A37" s="87"/>
      <c r="B37" s="87"/>
      <c r="C37" s="87"/>
      <c r="E37" s="1788" t="str">
        <f>"Đơn vị giám sát: "&amp;DVGS</f>
        <v>Đơn vị giám sát: Công ty TNHH Tư vấn Đầu tư Xây dựng Huy Đạt</v>
      </c>
      <c r="F37" s="1564"/>
      <c r="G37" s="1564"/>
      <c r="H37" s="1564"/>
      <c r="I37" s="1564"/>
      <c r="J37" s="1564"/>
      <c r="K37" s="1564"/>
      <c r="L37" s="1564"/>
      <c r="M37" s="1564"/>
      <c r="N37" s="1564"/>
      <c r="P37" s="87"/>
      <c r="Q37" s="87"/>
      <c r="R37" s="87"/>
      <c r="S37" s="87"/>
      <c r="T37" s="87"/>
      <c r="U37" s="87">
        <f>ROW()</f>
        <v>37</v>
      </c>
      <c r="V37" s="87"/>
      <c r="X37"/>
      <c r="AB37"/>
      <c r="AD37"/>
      <c r="AE37"/>
      <c r="AF37"/>
      <c r="AM37"/>
      <c r="AT37"/>
      <c r="AZ37"/>
      <c r="BG37"/>
      <c r="BN37"/>
      <c r="BS37"/>
      <c r="BY37"/>
      <c r="CE37"/>
      <c r="CK37"/>
      <c r="CQ37"/>
      <c r="CW37"/>
      <c r="DC37"/>
      <c r="DI37"/>
      <c r="DO37"/>
      <c r="DU37"/>
      <c r="EA37"/>
      <c r="EG37"/>
      <c r="EM37"/>
      <c r="ES37"/>
      <c r="EY37"/>
      <c r="FE37"/>
      <c r="FK37"/>
      <c r="FQ37"/>
      <c r="FW37"/>
      <c r="GC37"/>
      <c r="GH37"/>
      <c r="GM37"/>
      <c r="GR37"/>
      <c r="GW37"/>
      <c r="HB37"/>
      <c r="HG37"/>
      <c r="HL37"/>
      <c r="HQ37"/>
      <c r="HV37"/>
      <c r="IA37"/>
      <c r="IE37"/>
      <c r="II37"/>
      <c r="IM37"/>
      <c r="IQ37"/>
      <c r="IU37"/>
      <c r="XFC37"/>
    </row>
    <row r="38" spans="1:256 16383:16383" ht="16.5" customHeight="1">
      <c r="A38" s="87"/>
      <c r="B38" s="87"/>
      <c r="C38" s="87"/>
      <c r="E38" s="1788" t="str">
        <f>"Đơn vị thi công: "&amp;DVTC</f>
        <v>Đơn vị thi công: Công ty TNHH Xây dựng Thịnh Dũng</v>
      </c>
      <c r="F38" s="1564"/>
      <c r="G38" s="1564"/>
      <c r="H38" s="1564"/>
      <c r="I38" s="1564"/>
      <c r="J38" s="1564"/>
      <c r="K38" s="1564"/>
      <c r="L38" s="1564"/>
      <c r="M38" s="1564"/>
      <c r="N38" s="1564"/>
      <c r="P38" s="87"/>
      <c r="Q38" s="87"/>
      <c r="R38" s="87"/>
      <c r="S38" s="87"/>
      <c r="T38" s="87"/>
      <c r="U38" s="87">
        <f>ROW()</f>
        <v>38</v>
      </c>
      <c r="V38" s="87"/>
      <c r="X38"/>
      <c r="AB38"/>
      <c r="AD38"/>
      <c r="AE38"/>
      <c r="AF38"/>
      <c r="AG38"/>
      <c r="AN38"/>
      <c r="AU38"/>
      <c r="BA38"/>
      <c r="BH38"/>
      <c r="BO38"/>
      <c r="BT38"/>
      <c r="BZ38"/>
      <c r="CF38"/>
      <c r="CL38"/>
      <c r="CR38"/>
      <c r="CX38"/>
      <c r="DD38"/>
      <c r="DJ38"/>
      <c r="DP38"/>
      <c r="DV38"/>
      <c r="EB38"/>
      <c r="EH38"/>
      <c r="EN38"/>
      <c r="ET38"/>
      <c r="EZ38"/>
      <c r="FF38"/>
      <c r="FL38"/>
      <c r="FR38"/>
      <c r="FX38"/>
      <c r="GD38"/>
      <c r="GI38"/>
      <c r="GN38"/>
      <c r="GS38"/>
      <c r="GX38"/>
      <c r="HC38"/>
      <c r="HH38"/>
      <c r="HM38"/>
      <c r="HR38"/>
      <c r="HW38"/>
      <c r="IB38"/>
      <c r="IF38"/>
      <c r="IJ38"/>
      <c r="IN38"/>
      <c r="IR38"/>
      <c r="IV38"/>
      <c r="XFC38"/>
    </row>
    <row r="39" spans="1:256 16383:16383" ht="19.899999999999999" hidden="1" customHeight="1">
      <c r="A39" s="87"/>
      <c r="B39" s="87"/>
      <c r="C39" s="87"/>
      <c r="P39" s="87"/>
      <c r="Q39" s="87"/>
      <c r="R39" s="87"/>
      <c r="S39" s="87"/>
      <c r="T39" s="87"/>
      <c r="U39" s="87"/>
      <c r="V39" s="87"/>
      <c r="BB39"/>
      <c r="BI39"/>
    </row>
    <row r="40" spans="1:256 16383:16383" hidden="1">
      <c r="A40" s="87"/>
      <c r="B40" s="87"/>
      <c r="C40" s="87"/>
      <c r="P40" s="87"/>
      <c r="Q40" s="87"/>
      <c r="R40" s="87"/>
      <c r="S40" s="87"/>
      <c r="T40" s="87"/>
      <c r="U40" s="87"/>
      <c r="V40" s="87"/>
    </row>
    <row r="41" spans="1:256 16383:16383">
      <c r="A41" s="87"/>
      <c r="B41" s="87"/>
      <c r="C41" s="87"/>
      <c r="P41" s="87"/>
      <c r="Q41" s="87"/>
      <c r="R41" s="87"/>
      <c r="S41" s="87"/>
      <c r="T41" s="87"/>
      <c r="U41" s="87"/>
      <c r="V41" s="87"/>
    </row>
    <row r="42" spans="1:256 16383:16383">
      <c r="A42" s="87"/>
      <c r="B42" s="87"/>
      <c r="C42" s="87"/>
      <c r="P42" s="87"/>
      <c r="Q42" s="87"/>
      <c r="R42" s="87"/>
      <c r="S42" s="87"/>
      <c r="T42" s="87"/>
      <c r="U42" s="87"/>
      <c r="V42" s="87"/>
    </row>
    <row r="43" spans="1:256 16383:16383">
      <c r="A43" s="87"/>
      <c r="B43" s="87"/>
      <c r="C43" s="87"/>
      <c r="P43" s="87"/>
      <c r="Q43" s="87"/>
      <c r="R43" s="87"/>
      <c r="S43" s="87"/>
      <c r="T43" s="87"/>
      <c r="U43" s="87"/>
      <c r="V43" s="87"/>
    </row>
    <row r="44" spans="1:256 16383:16383">
      <c r="A44" s="87"/>
      <c r="B44" s="87"/>
      <c r="C44" s="87"/>
      <c r="P44" s="87"/>
      <c r="Q44" s="87"/>
      <c r="R44" s="87"/>
      <c r="S44" s="87"/>
      <c r="T44" s="87"/>
      <c r="U44" s="87"/>
      <c r="V44" s="87"/>
    </row>
    <row r="45" spans="1:256 16383:16383">
      <c r="A45" s="87"/>
      <c r="B45" s="87"/>
      <c r="C45" s="87"/>
      <c r="F45" s="1789" t="str">
        <f>"Ninh Thuận: Năm "&amp;YEAR(Nhattrinh!C4)</f>
        <v>Ninh Thuận: Năm 2020</v>
      </c>
      <c r="G45" s="1789"/>
      <c r="H45" s="1789"/>
      <c r="I45" s="1789"/>
      <c r="J45" s="1789"/>
      <c r="K45" s="1789"/>
      <c r="L45" s="1789"/>
      <c r="M45" s="1789"/>
      <c r="N45" s="88"/>
      <c r="P45" s="87"/>
      <c r="Q45" s="87"/>
      <c r="R45" s="87"/>
      <c r="S45" s="87"/>
      <c r="T45" s="87"/>
      <c r="U45" s="87"/>
      <c r="V45" s="87"/>
    </row>
    <row r="46" spans="1:256 16383:16383">
      <c r="A46" s="87"/>
      <c r="B46" s="87"/>
      <c r="C46" s="87"/>
      <c r="P46" s="87"/>
      <c r="Q46" s="87"/>
      <c r="R46" s="87"/>
      <c r="S46" s="87"/>
      <c r="T46" s="87"/>
      <c r="U46" s="87"/>
      <c r="V46" s="87"/>
    </row>
    <row r="47" spans="1:256 16383:16383">
      <c r="A47" s="87"/>
      <c r="B47" s="87"/>
      <c r="C47" s="87"/>
      <c r="P47" s="87"/>
      <c r="Q47" s="87"/>
      <c r="R47" s="87"/>
      <c r="S47" s="87"/>
      <c r="T47" s="87"/>
      <c r="U47" s="87"/>
      <c r="V47" s="87"/>
    </row>
    <row r="48" spans="1:256 16383:16383">
      <c r="A48" s="87"/>
      <c r="B48" s="87"/>
      <c r="C48" s="87"/>
      <c r="D48" s="87"/>
      <c r="E48" s="87"/>
      <c r="F48" s="87"/>
      <c r="G48" s="87"/>
      <c r="H48" s="87"/>
      <c r="I48" s="87"/>
      <c r="J48" s="87"/>
      <c r="K48" s="87"/>
      <c r="L48" s="87"/>
      <c r="M48" s="87"/>
      <c r="N48" s="87"/>
      <c r="O48" s="87"/>
      <c r="P48" s="87"/>
      <c r="Q48" s="87"/>
      <c r="R48" s="87"/>
      <c r="S48" s="87"/>
      <c r="T48" s="87"/>
      <c r="U48" s="87"/>
      <c r="V48" s="87"/>
    </row>
    <row r="49" spans="1:22">
      <c r="A49" s="87"/>
      <c r="B49" s="87"/>
      <c r="C49" s="87"/>
      <c r="D49" s="87"/>
      <c r="E49" s="87"/>
      <c r="F49" s="87"/>
      <c r="G49" s="87"/>
      <c r="H49" s="87"/>
      <c r="I49" s="87"/>
      <c r="J49" s="87"/>
      <c r="K49" s="87"/>
      <c r="L49" s="87"/>
      <c r="M49" s="87"/>
      <c r="N49" s="87"/>
      <c r="O49" s="87"/>
      <c r="P49" s="87"/>
      <c r="Q49" s="87"/>
      <c r="R49" s="87"/>
      <c r="S49" s="87"/>
      <c r="T49" s="87"/>
      <c r="U49" s="87"/>
      <c r="V49" s="87"/>
    </row>
    <row r="50" spans="1:22">
      <c r="A50" s="87"/>
      <c r="B50" s="87"/>
      <c r="C50" s="87"/>
      <c r="D50" s="87"/>
      <c r="E50" s="87"/>
      <c r="F50" s="87"/>
      <c r="G50" s="87"/>
      <c r="H50" s="87"/>
      <c r="I50" s="87"/>
      <c r="J50" s="87"/>
      <c r="K50" s="87"/>
      <c r="L50" s="87"/>
      <c r="M50" s="87"/>
      <c r="N50" s="87"/>
      <c r="O50" s="87"/>
      <c r="P50" s="87"/>
      <c r="Q50" s="87"/>
      <c r="R50" s="87"/>
      <c r="S50" s="87"/>
      <c r="T50" s="87"/>
      <c r="U50" s="87"/>
      <c r="V50" s="87"/>
    </row>
    <row r="51" spans="1:22">
      <c r="A51" s="87"/>
      <c r="B51" s="87"/>
      <c r="C51" s="87"/>
      <c r="D51" s="87"/>
      <c r="E51" s="87"/>
      <c r="F51" s="87"/>
      <c r="G51" s="87"/>
      <c r="H51" s="87"/>
      <c r="I51" s="87"/>
      <c r="J51" s="87"/>
      <c r="K51" s="87"/>
      <c r="L51" s="87"/>
      <c r="M51" s="87"/>
      <c r="N51" s="87"/>
      <c r="O51" s="87"/>
      <c r="P51" s="87"/>
      <c r="Q51" s="87"/>
      <c r="R51" s="87"/>
      <c r="S51" s="87"/>
      <c r="T51" s="87"/>
      <c r="U51" s="87"/>
      <c r="V51" s="87"/>
    </row>
    <row r="52" spans="1:22">
      <c r="A52" s="87"/>
      <c r="B52" s="87"/>
      <c r="C52" s="87"/>
      <c r="D52" s="87"/>
      <c r="E52" s="87"/>
      <c r="F52" s="87"/>
      <c r="G52" s="87"/>
      <c r="H52" s="87"/>
      <c r="I52" s="87"/>
      <c r="J52" s="87"/>
      <c r="K52" s="87"/>
      <c r="L52" s="87"/>
      <c r="M52" s="87"/>
      <c r="N52" s="87"/>
      <c r="O52" s="87"/>
      <c r="P52" s="87"/>
      <c r="Q52" s="87"/>
      <c r="R52" s="87"/>
      <c r="S52" s="87"/>
      <c r="T52" s="87"/>
      <c r="U52" s="87"/>
      <c r="V52" s="87"/>
    </row>
    <row r="53" spans="1:22">
      <c r="A53" s="87"/>
      <c r="B53" s="87"/>
      <c r="C53" s="87"/>
      <c r="D53" s="87"/>
      <c r="E53" s="87"/>
      <c r="F53" s="87"/>
      <c r="G53" s="87"/>
      <c r="H53" s="87"/>
      <c r="I53" s="87"/>
      <c r="J53" s="87"/>
      <c r="K53" s="87"/>
      <c r="L53" s="87"/>
      <c r="M53" s="87"/>
      <c r="N53" s="87"/>
      <c r="O53" s="87"/>
      <c r="P53" s="87"/>
      <c r="Q53" s="87"/>
      <c r="R53" s="87"/>
      <c r="S53" s="87"/>
      <c r="T53" s="87"/>
      <c r="U53" s="87"/>
      <c r="V53" s="87"/>
    </row>
    <row r="54" spans="1:22">
      <c r="A54" s="87"/>
      <c r="B54" s="87"/>
      <c r="C54" s="87"/>
      <c r="D54" s="87"/>
      <c r="E54" s="87"/>
      <c r="F54" s="87"/>
      <c r="G54" s="87"/>
      <c r="H54" s="87"/>
      <c r="I54" s="87"/>
      <c r="J54" s="87"/>
      <c r="K54" s="87"/>
      <c r="L54" s="87"/>
      <c r="M54" s="87"/>
      <c r="N54" s="87"/>
      <c r="O54" s="87"/>
      <c r="P54" s="87"/>
      <c r="Q54" s="87"/>
      <c r="R54" s="87"/>
      <c r="S54" s="87"/>
      <c r="T54" s="87"/>
      <c r="U54" s="87"/>
      <c r="V54" s="87"/>
    </row>
    <row r="55" spans="1:22">
      <c r="A55" s="87"/>
      <c r="B55" s="87"/>
      <c r="C55" s="87"/>
      <c r="D55" s="87"/>
      <c r="E55" s="87"/>
      <c r="F55" s="87"/>
      <c r="G55" s="87"/>
      <c r="H55" s="87"/>
      <c r="I55" s="87"/>
      <c r="J55" s="87"/>
      <c r="K55" s="87"/>
      <c r="L55" s="87"/>
      <c r="M55" s="87"/>
      <c r="N55" s="87"/>
      <c r="O55" s="87"/>
      <c r="P55" s="87"/>
      <c r="Q55" s="87"/>
      <c r="R55" s="87"/>
      <c r="S55" s="87"/>
      <c r="T55" s="87"/>
      <c r="U55" s="87"/>
      <c r="V55" s="87"/>
    </row>
    <row r="56" spans="1:22">
      <c r="A56" s="87"/>
      <c r="B56" s="87"/>
      <c r="C56" s="87"/>
      <c r="D56" s="87"/>
      <c r="E56" s="87"/>
      <c r="F56" s="87"/>
      <c r="G56" s="87"/>
      <c r="H56" s="87"/>
      <c r="I56" s="87"/>
      <c r="J56" s="87"/>
      <c r="K56" s="87"/>
      <c r="L56" s="87"/>
      <c r="M56" s="87"/>
      <c r="N56" s="87"/>
      <c r="O56" s="87"/>
      <c r="P56" s="87"/>
      <c r="Q56" s="87"/>
      <c r="R56" s="87"/>
      <c r="S56" s="87"/>
      <c r="T56" s="87"/>
      <c r="U56" s="87"/>
      <c r="V56" s="87"/>
    </row>
    <row r="57" spans="1:22">
      <c r="A57" s="87"/>
      <c r="B57" s="87"/>
      <c r="C57" s="87"/>
      <c r="D57" s="87"/>
      <c r="E57" s="87"/>
      <c r="F57" s="87"/>
      <c r="G57" s="87"/>
      <c r="H57" s="87"/>
      <c r="I57" s="87"/>
      <c r="J57" s="87"/>
      <c r="K57" s="87"/>
      <c r="L57" s="87"/>
      <c r="M57" s="87"/>
      <c r="N57" s="87"/>
      <c r="O57" s="87"/>
      <c r="P57" s="87"/>
      <c r="Q57" s="87"/>
      <c r="R57" s="87"/>
      <c r="S57" s="87"/>
      <c r="T57" s="87"/>
      <c r="U57" s="87"/>
      <c r="V57" s="87"/>
    </row>
    <row r="58" spans="1:22">
      <c r="A58" s="87"/>
      <c r="B58" s="87"/>
      <c r="C58" s="87"/>
      <c r="D58" s="87"/>
      <c r="E58" s="87"/>
      <c r="F58" s="87"/>
      <c r="G58" s="87"/>
      <c r="H58" s="87"/>
      <c r="I58" s="87"/>
      <c r="J58" s="87"/>
      <c r="K58" s="87"/>
      <c r="L58" s="87"/>
      <c r="M58" s="87"/>
      <c r="N58" s="87"/>
      <c r="O58" s="87"/>
      <c r="P58" s="87"/>
      <c r="Q58" s="87"/>
      <c r="R58" s="87"/>
      <c r="S58" s="87"/>
      <c r="T58" s="87"/>
      <c r="U58" s="87"/>
      <c r="V58" s="87"/>
    </row>
    <row r="59" spans="1:22">
      <c r="A59" s="87"/>
      <c r="B59" s="87"/>
      <c r="C59" s="87"/>
      <c r="D59" s="87"/>
      <c r="E59" s="87"/>
      <c r="F59" s="87"/>
      <c r="G59" s="87"/>
      <c r="H59" s="87"/>
      <c r="I59" s="87"/>
      <c r="J59" s="87"/>
      <c r="K59" s="87"/>
      <c r="L59" s="87"/>
      <c r="M59" s="87"/>
      <c r="N59" s="87"/>
      <c r="O59" s="87"/>
      <c r="P59" s="87"/>
      <c r="Q59" s="87"/>
      <c r="R59" s="87"/>
      <c r="S59" s="87"/>
      <c r="T59" s="87"/>
      <c r="U59" s="87"/>
      <c r="V59" s="87"/>
    </row>
    <row r="60" spans="1:22">
      <c r="A60" s="87"/>
      <c r="B60" s="87"/>
      <c r="C60" s="87"/>
      <c r="D60" s="87"/>
      <c r="E60" s="87"/>
      <c r="F60" s="87"/>
      <c r="G60" s="87"/>
      <c r="H60" s="87"/>
      <c r="I60" s="87"/>
      <c r="J60" s="87"/>
      <c r="K60" s="87"/>
      <c r="L60" s="87"/>
      <c r="M60" s="87"/>
      <c r="N60" s="87"/>
      <c r="O60" s="87"/>
      <c r="P60" s="87"/>
      <c r="Q60" s="87"/>
      <c r="R60" s="87"/>
      <c r="S60" s="87"/>
      <c r="T60" s="87"/>
      <c r="U60" s="87"/>
      <c r="V60" s="87"/>
    </row>
  </sheetData>
  <mergeCells count="18">
    <mergeCell ref="E36:N36"/>
    <mergeCell ref="E37:N37"/>
    <mergeCell ref="E38:N38"/>
    <mergeCell ref="F45:M45"/>
    <mergeCell ref="D15:O15"/>
    <mergeCell ref="D16:O16"/>
    <mergeCell ref="E22:N22"/>
    <mergeCell ref="E23:N24"/>
    <mergeCell ref="H33:N33"/>
    <mergeCell ref="H34:N34"/>
    <mergeCell ref="E29:N29"/>
    <mergeCell ref="E30:N30"/>
    <mergeCell ref="E31:N31"/>
    <mergeCell ref="D1:O1"/>
    <mergeCell ref="D2:O2"/>
    <mergeCell ref="D6:O6"/>
    <mergeCell ref="D7:O7"/>
    <mergeCell ref="E28:N28"/>
  </mergeCells>
  <printOptions horizontalCentered="1" verticalCentered="1"/>
  <pageMargins left="0.62992125984251968" right="0.23622047244094491" top="0.31496062992125984" bottom="0.3149606299212598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25633" r:id="rId4" name="Spinner 1">
              <controlPr defaultSize="0" autoPict="0">
                <anchor moveWithCells="1" sizeWithCells="1">
                  <from>
                    <xdr:col>18</xdr:col>
                    <xdr:colOff>304800</xdr:colOff>
                    <xdr:row>0</xdr:row>
                    <xdr:rowOff>66675</xdr:rowOff>
                  </from>
                  <to>
                    <xdr:col>18</xdr:col>
                    <xdr:colOff>628650</xdr:colOff>
                    <xdr:row>2</xdr:row>
                    <xdr:rowOff>123825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dimension ref="A1:Y161"/>
  <sheetViews>
    <sheetView showGridLines="0" zoomScaleNormal="100" workbookViewId="0">
      <pane xSplit="22" ySplit="3" topLeftCell="W101" activePane="bottomRight" state="frozen"/>
      <selection pane="topRight" activeCell="X1" sqref="X1"/>
      <selection pane="bottomLeft" activeCell="A4" sqref="A4"/>
      <selection pane="bottomRight"/>
    </sheetView>
  </sheetViews>
  <sheetFormatPr defaultRowHeight="16.5" customHeight="1" zeroHeight="1"/>
  <cols>
    <col min="1" max="1" width="8.88671875" style="331"/>
    <col min="2" max="2" width="11.5546875" style="331" customWidth="1"/>
    <col min="3" max="3" width="9.6640625" style="331" customWidth="1"/>
    <col min="4" max="4" width="4.33203125" style="331" customWidth="1"/>
    <col min="5" max="5" width="9.109375" style="331" customWidth="1"/>
    <col min="6" max="6" width="9.5546875" style="331" customWidth="1"/>
    <col min="7" max="7" width="1.5546875" style="331" customWidth="1"/>
    <col min="8" max="8" width="7.21875" style="331" customWidth="1"/>
    <col min="9" max="9" width="7" style="331" customWidth="1"/>
    <col min="10" max="10" width="6.77734375" style="331" customWidth="1"/>
    <col min="11" max="11" width="6.44140625" style="331" customWidth="1"/>
    <col min="12" max="12" width="8.44140625" style="331" customWidth="1"/>
    <col min="13" max="13" width="4.33203125" style="331" customWidth="1"/>
    <col min="14" max="14" width="7.5546875" style="331" customWidth="1"/>
    <col min="15" max="15" width="6.44140625" style="331" customWidth="1"/>
    <col min="16" max="16" width="5.5546875" style="331" customWidth="1"/>
    <col min="17" max="18" width="4" style="331" customWidth="1"/>
    <col min="19" max="22" width="8.88671875" style="331"/>
    <col min="23" max="24" width="8.77734375" style="331" customWidth="1"/>
    <col min="25" max="25" width="9.33203125" style="331" customWidth="1"/>
    <col min="26" max="26" width="8.88671875" style="331"/>
    <col min="27" max="256" width="8.77734375" style="331" customWidth="1"/>
    <col min="257" max="16382" width="8.88671875" style="331"/>
    <col min="16383" max="16384" width="8.77734375" style="331" customWidth="1"/>
  </cols>
  <sheetData>
    <row r="1" spans="1:22">
      <c r="A1" s="1261" t="str">
        <f>VLOOKUP(Q2,Tam!$AA$1:$AB$7,2,0)</f>
        <v>7. 1. 0. Bia NKGS</v>
      </c>
      <c r="B1" s="647"/>
      <c r="C1" s="647"/>
      <c r="D1" s="1798" t="str">
        <f>"     "&amp;Tieude1&amp;": "&amp;NDtieude1</f>
        <v xml:space="preserve">     Công trình: Gia cố nâng cấp kênh Bà Xoài từ K0+300÷K0+600 - Hệ thống thủy lợi Nha Trinh, huyện Ninh Hải, tỉnh Ninh Thuận</v>
      </c>
      <c r="E1" s="1798"/>
      <c r="F1" s="1798"/>
      <c r="G1" s="1798"/>
      <c r="H1" s="1798"/>
      <c r="I1" s="1798"/>
      <c r="J1" s="1798"/>
      <c r="K1" s="1798"/>
      <c r="L1" s="1798"/>
      <c r="M1" s="1798"/>
      <c r="N1" s="1798"/>
      <c r="O1" s="1798"/>
      <c r="P1" s="647"/>
      <c r="Q1" s="647"/>
      <c r="R1" s="647"/>
      <c r="S1" s="647"/>
      <c r="T1" s="647"/>
      <c r="U1" s="647"/>
      <c r="V1" s="647"/>
    </row>
    <row r="2" spans="1:22">
      <c r="A2" s="647"/>
      <c r="B2" s="647"/>
      <c r="C2" s="647"/>
      <c r="D2" s="1798" t="str">
        <f>"     Địa điểm XD: "&amp;DDXD</f>
        <v xml:space="preserve">     Địa điểm XD: Huyện Ninh Hải - Tỉnh Ninh Thuận</v>
      </c>
      <c r="E2" s="1798"/>
      <c r="F2" s="1798"/>
      <c r="G2" s="1798"/>
      <c r="H2" s="1798"/>
      <c r="I2" s="1798"/>
      <c r="J2" s="1798"/>
      <c r="K2" s="1798"/>
      <c r="L2" s="1798"/>
      <c r="M2" s="1798"/>
      <c r="N2" s="1798"/>
      <c r="O2" s="1798"/>
      <c r="P2" s="647"/>
      <c r="Q2" s="936">
        <v>7</v>
      </c>
      <c r="R2" s="647"/>
      <c r="S2" s="647"/>
      <c r="T2" s="647"/>
      <c r="U2" s="647"/>
      <c r="V2" s="647"/>
    </row>
    <row r="3" spans="1:22" ht="14.25" customHeight="1">
      <c r="A3" s="647"/>
      <c r="B3" s="647"/>
      <c r="C3" s="647"/>
      <c r="D3" s="647"/>
      <c r="E3" s="647"/>
      <c r="F3" s="647"/>
      <c r="G3" s="647"/>
      <c r="H3" s="647"/>
      <c r="I3" s="647"/>
      <c r="J3" s="647"/>
      <c r="K3" s="647"/>
      <c r="L3" s="647"/>
      <c r="M3" s="647"/>
      <c r="N3" s="647"/>
      <c r="O3" s="647"/>
      <c r="P3" s="647"/>
      <c r="Q3" s="647"/>
      <c r="R3" s="647"/>
      <c r="S3" s="647"/>
      <c r="T3" s="647"/>
      <c r="U3" s="647"/>
      <c r="V3" s="647"/>
    </row>
    <row r="4" spans="1:22">
      <c r="A4" s="647"/>
      <c r="B4" s="647"/>
      <c r="C4" s="647"/>
      <c r="P4" s="647"/>
      <c r="Q4" s="647"/>
      <c r="R4" s="647"/>
      <c r="S4" s="647"/>
      <c r="T4" s="647"/>
      <c r="U4" s="647"/>
      <c r="V4" s="647"/>
    </row>
    <row r="5" spans="1:22">
      <c r="A5" s="647"/>
      <c r="B5" s="647"/>
      <c r="C5" s="647"/>
      <c r="P5" s="647"/>
      <c r="Q5" s="647"/>
      <c r="R5" s="647"/>
      <c r="S5" s="647"/>
      <c r="T5" s="647"/>
      <c r="U5" s="647"/>
      <c r="V5" s="647"/>
    </row>
    <row r="6" spans="1:22">
      <c r="A6" s="647"/>
      <c r="B6" s="647"/>
      <c r="C6" s="647"/>
      <c r="D6" s="1799" t="s">
        <v>158</v>
      </c>
      <c r="E6" s="1799"/>
      <c r="F6" s="1799"/>
      <c r="G6" s="1799"/>
      <c r="H6" s="1799"/>
      <c r="I6" s="1799"/>
      <c r="J6" s="1799"/>
      <c r="K6" s="1799"/>
      <c r="L6" s="1799"/>
      <c r="M6" s="1799"/>
      <c r="N6" s="1799"/>
      <c r="O6" s="1799"/>
      <c r="P6" s="647"/>
      <c r="Q6" s="647"/>
      <c r="R6" s="647"/>
      <c r="S6" s="647"/>
      <c r="T6" s="647"/>
      <c r="U6" s="647"/>
      <c r="V6" s="647"/>
    </row>
    <row r="7" spans="1:22" ht="18.75">
      <c r="A7" s="647"/>
      <c r="B7" s="647"/>
      <c r="C7" s="647"/>
      <c r="D7" s="1800" t="s">
        <v>161</v>
      </c>
      <c r="E7" s="1800"/>
      <c r="F7" s="1800"/>
      <c r="G7" s="1800"/>
      <c r="H7" s="1800"/>
      <c r="I7" s="1800"/>
      <c r="J7" s="1800"/>
      <c r="K7" s="1800"/>
      <c r="L7" s="1800"/>
      <c r="M7" s="1800"/>
      <c r="N7" s="1800"/>
      <c r="O7" s="1800"/>
      <c r="P7" s="647"/>
      <c r="Q7" s="647"/>
      <c r="R7" s="647"/>
      <c r="S7" s="647"/>
      <c r="T7" s="647"/>
      <c r="U7" s="647"/>
      <c r="V7" s="647"/>
    </row>
    <row r="8" spans="1:22">
      <c r="A8" s="647"/>
      <c r="B8" s="647"/>
      <c r="C8" s="647"/>
      <c r="P8" s="647"/>
      <c r="Q8" s="647"/>
      <c r="R8" s="647"/>
      <c r="S8" s="647"/>
      <c r="T8" s="647"/>
      <c r="U8" s="647"/>
      <c r="V8" s="647"/>
    </row>
    <row r="9" spans="1:22">
      <c r="A9" s="647"/>
      <c r="B9" s="647"/>
      <c r="C9" s="647"/>
      <c r="P9" s="647"/>
      <c r="Q9" s="647"/>
      <c r="R9" s="647"/>
      <c r="S9" s="647"/>
      <c r="T9" s="647"/>
      <c r="U9" s="647"/>
      <c r="V9" s="647"/>
    </row>
    <row r="10" spans="1:22">
      <c r="A10" s="647"/>
      <c r="B10" s="647"/>
      <c r="C10" s="647"/>
      <c r="P10" s="647"/>
      <c r="Q10" s="647"/>
      <c r="R10" s="647"/>
      <c r="S10" s="647"/>
      <c r="T10" s="647"/>
      <c r="U10" s="647"/>
      <c r="V10" s="647"/>
    </row>
    <row r="11" spans="1:22">
      <c r="A11" s="647"/>
      <c r="B11" s="647"/>
      <c r="C11" s="647"/>
      <c r="P11" s="647"/>
      <c r="Q11" s="647"/>
      <c r="R11" s="647"/>
      <c r="S11" s="647"/>
      <c r="T11" s="647"/>
      <c r="U11" s="647"/>
      <c r="V11" s="647"/>
    </row>
    <row r="12" spans="1:22">
      <c r="A12" s="647"/>
      <c r="B12" s="647"/>
      <c r="C12" s="647"/>
      <c r="P12" s="647"/>
      <c r="Q12" s="647"/>
      <c r="R12" s="647"/>
      <c r="S12" s="647"/>
      <c r="T12" s="647"/>
      <c r="U12" s="647"/>
      <c r="V12" s="647"/>
    </row>
    <row r="13" spans="1:22">
      <c r="A13" s="647"/>
      <c r="B13" s="647"/>
      <c r="C13" s="647"/>
      <c r="P13" s="647"/>
      <c r="Q13" s="647"/>
      <c r="R13" s="647"/>
      <c r="S13" s="647"/>
      <c r="T13" s="647"/>
      <c r="U13" s="647"/>
      <c r="V13" s="647"/>
    </row>
    <row r="14" spans="1:22">
      <c r="A14" s="647"/>
      <c r="B14" s="647"/>
      <c r="C14" s="647"/>
      <c r="P14" s="647"/>
      <c r="Q14" s="647"/>
      <c r="R14" s="647"/>
      <c r="S14" s="647"/>
      <c r="T14" s="647"/>
      <c r="U14" s="647"/>
      <c r="V14" s="647"/>
    </row>
    <row r="15" spans="1:22" ht="25.5">
      <c r="A15" s="647"/>
      <c r="B15" s="647"/>
      <c r="C15" s="647"/>
      <c r="D15" s="1801"/>
      <c r="E15" s="1801"/>
      <c r="F15" s="1801"/>
      <c r="G15" s="1801"/>
      <c r="H15" s="1801"/>
      <c r="I15" s="1801"/>
      <c r="J15" s="1801"/>
      <c r="K15" s="1801"/>
      <c r="L15" s="1801"/>
      <c r="M15" s="1801"/>
      <c r="N15" s="1801"/>
      <c r="O15" s="1801"/>
      <c r="P15" s="647"/>
      <c r="Q15" s="647"/>
      <c r="R15" s="647"/>
      <c r="S15" s="647"/>
      <c r="T15" s="647"/>
      <c r="U15" s="647"/>
      <c r="V15" s="647"/>
    </row>
    <row r="16" spans="1:22" ht="45">
      <c r="A16" s="647"/>
      <c r="B16" s="647"/>
      <c r="C16" s="647"/>
      <c r="E16" s="1802" t="str">
        <f>IF(A1="6. 1. 0. Bia NKTC","NHẬT KÝ THI CÔNG","NHẬT KÝ GIÁM SÁT")</f>
        <v>NHẬT KÝ GIÁM SÁT</v>
      </c>
      <c r="F16" s="1802"/>
      <c r="G16" s="1802"/>
      <c r="H16" s="1802"/>
      <c r="I16" s="1802"/>
      <c r="J16" s="1802"/>
      <c r="K16" s="1802"/>
      <c r="L16" s="1802"/>
      <c r="M16" s="1802"/>
      <c r="N16" s="1802"/>
      <c r="O16" s="813"/>
      <c r="P16" s="647"/>
      <c r="Q16" s="647"/>
      <c r="R16" s="647"/>
      <c r="S16" s="647"/>
      <c r="T16" s="647"/>
      <c r="U16" s="647"/>
      <c r="V16" s="647"/>
    </row>
    <row r="17" spans="1:25" ht="34.5">
      <c r="A17" s="647"/>
      <c r="B17" s="647"/>
      <c r="C17" s="647"/>
      <c r="E17" s="1802" t="s">
        <v>4442</v>
      </c>
      <c r="F17" s="1802"/>
      <c r="G17" s="1802"/>
      <c r="H17" s="1802"/>
      <c r="I17" s="1802"/>
      <c r="J17" s="1802"/>
      <c r="K17" s="1802"/>
      <c r="L17" s="1802"/>
      <c r="M17" s="1802"/>
      <c r="N17" s="1802"/>
      <c r="P17" s="647"/>
      <c r="Q17" s="647"/>
      <c r="R17" s="647"/>
      <c r="S17" s="647"/>
      <c r="T17" s="647"/>
      <c r="U17" s="647"/>
      <c r="V17" s="647"/>
    </row>
    <row r="18" spans="1:25" ht="20.25">
      <c r="A18" s="647"/>
      <c r="B18" s="647"/>
      <c r="C18" s="647"/>
      <c r="E18" s="1803" t="s">
        <v>4443</v>
      </c>
      <c r="F18" s="1803"/>
      <c r="G18" s="1803"/>
      <c r="H18" s="1803"/>
      <c r="I18" s="1803"/>
      <c r="J18" s="1803"/>
      <c r="K18" s="1803"/>
      <c r="L18" s="1803"/>
      <c r="M18" s="1803"/>
      <c r="N18" s="1803"/>
      <c r="P18" s="647"/>
      <c r="Q18" s="647"/>
      <c r="R18" s="647"/>
      <c r="S18" s="647"/>
      <c r="T18" s="647"/>
      <c r="U18" s="647"/>
      <c r="V18" s="647"/>
    </row>
    <row r="19" spans="1:25">
      <c r="A19" s="647"/>
      <c r="B19" s="647"/>
      <c r="C19" s="647"/>
      <c r="P19" s="647"/>
      <c r="Q19" s="647"/>
      <c r="R19" s="647"/>
      <c r="S19" s="647"/>
      <c r="T19" s="647"/>
      <c r="U19" s="647"/>
      <c r="V19" s="647"/>
    </row>
    <row r="20" spans="1:25">
      <c r="A20" s="647"/>
      <c r="B20" s="647"/>
      <c r="C20" s="647"/>
      <c r="P20" s="647"/>
      <c r="Q20" s="647"/>
      <c r="R20" s="647"/>
      <c r="S20" s="647"/>
      <c r="T20" s="647"/>
      <c r="U20" s="647"/>
      <c r="V20" s="647"/>
    </row>
    <row r="21" spans="1:25" ht="19.899999999999999" customHeight="1">
      <c r="A21" s="647"/>
      <c r="B21" s="647"/>
      <c r="C21" s="647"/>
      <c r="P21" s="647"/>
      <c r="Q21" s="647"/>
      <c r="R21" s="647"/>
      <c r="S21" s="647"/>
      <c r="T21" s="647"/>
      <c r="U21" s="647"/>
      <c r="V21" s="647"/>
      <c r="Y21" s="814"/>
    </row>
    <row r="22" spans="1:25" ht="28.9" customHeight="1">
      <c r="A22" s="647"/>
      <c r="B22" s="647"/>
      <c r="C22" s="647"/>
      <c r="P22" s="647"/>
      <c r="Q22" s="647"/>
      <c r="R22" s="647"/>
      <c r="S22" s="647"/>
      <c r="T22" s="647"/>
      <c r="U22" s="647"/>
      <c r="V22" s="647"/>
    </row>
    <row r="23" spans="1:25" ht="19.899999999999999" customHeight="1">
      <c r="A23" s="647"/>
      <c r="B23" s="647"/>
      <c r="C23" s="647"/>
      <c r="P23" s="647"/>
      <c r="Q23" s="647"/>
      <c r="R23" s="647"/>
      <c r="S23" s="647"/>
      <c r="T23" s="647"/>
      <c r="U23" s="647"/>
      <c r="V23" s="647"/>
    </row>
    <row r="24" spans="1:25" ht="33" customHeight="1">
      <c r="A24" s="647"/>
      <c r="B24" s="647"/>
      <c r="C24" s="647"/>
      <c r="E24" s="1795" t="str">
        <f>IF(NDtieude1&lt;&gt;"",Tieude1&amp;": "&amp;NDtieude1,"")</f>
        <v>Công trình: Gia cố nâng cấp kênh Bà Xoài từ K0+300÷K0+600 - Hệ thống thủy lợi Nha Trinh, huyện Ninh Hải, tỉnh Ninh Thuận</v>
      </c>
      <c r="F24" s="1564"/>
      <c r="G24" s="1564"/>
      <c r="H24" s="1564"/>
      <c r="I24" s="1564"/>
      <c r="J24" s="1564"/>
      <c r="K24" s="1564"/>
      <c r="L24" s="1564"/>
      <c r="M24" s="1564"/>
      <c r="N24" s="1564"/>
      <c r="P24" s="647"/>
      <c r="Q24" s="647"/>
      <c r="R24" s="647"/>
      <c r="S24" s="647"/>
      <c r="T24" s="647"/>
      <c r="U24" s="1261">
        <f>ROW()</f>
        <v>24</v>
      </c>
      <c r="V24" s="647"/>
    </row>
    <row r="25" spans="1:25" ht="16.5" hidden="1" customHeight="1">
      <c r="A25" s="647"/>
      <c r="B25" s="647"/>
      <c r="C25" s="647"/>
      <c r="E25" s="1795" t="str">
        <f>IF(NDtieude2&lt;&gt;"",Tieude2&amp;": "&amp;NDtieude2,"")</f>
        <v/>
      </c>
      <c r="F25" s="1564"/>
      <c r="G25" s="1564"/>
      <c r="H25" s="1564"/>
      <c r="I25" s="1564"/>
      <c r="J25" s="1564"/>
      <c r="K25" s="1564"/>
      <c r="L25" s="1564"/>
      <c r="M25" s="1564"/>
      <c r="N25" s="1564"/>
      <c r="P25" s="647"/>
      <c r="Q25" s="647"/>
      <c r="R25" s="647"/>
      <c r="S25" s="647"/>
      <c r="T25" s="647"/>
      <c r="U25" s="1261">
        <f>ROW()</f>
        <v>25</v>
      </c>
      <c r="V25" s="647"/>
    </row>
    <row r="26" spans="1:25" ht="16.5" customHeight="1">
      <c r="A26" s="647"/>
      <c r="B26" s="647"/>
      <c r="C26" s="647"/>
      <c r="E26" s="1795" t="str">
        <f>IF(NDtieude3&lt;&gt;"",Tieude3&amp;": "&amp;NDtieude3,"")</f>
        <v>Hạng mục: Kênh và Công trình trên kênh</v>
      </c>
      <c r="F26" s="1564"/>
      <c r="G26" s="1564"/>
      <c r="H26" s="1564"/>
      <c r="I26" s="1564"/>
      <c r="J26" s="1564"/>
      <c r="K26" s="1564"/>
      <c r="L26" s="1564"/>
      <c r="M26" s="1564"/>
      <c r="N26" s="1564"/>
      <c r="P26" s="647"/>
      <c r="Q26" s="647"/>
      <c r="R26" s="647"/>
      <c r="S26" s="647"/>
      <c r="T26" s="647"/>
      <c r="U26" s="1261">
        <f>ROW()</f>
        <v>26</v>
      </c>
      <c r="V26" s="647"/>
    </row>
    <row r="27" spans="1:25" ht="19.899999999999999" customHeight="1">
      <c r="A27" s="647"/>
      <c r="B27" s="647"/>
      <c r="C27" s="647"/>
      <c r="E27" s="1795" t="str">
        <f>"Địa điểm xây dựng: "&amp;DDXD</f>
        <v>Địa điểm xây dựng: Huyện Ninh Hải - Tỉnh Ninh Thuận</v>
      </c>
      <c r="F27" s="1796"/>
      <c r="G27" s="1796"/>
      <c r="H27" s="1796"/>
      <c r="I27" s="1796"/>
      <c r="J27" s="1796"/>
      <c r="K27" s="1796"/>
      <c r="L27" s="1796"/>
      <c r="M27" s="1796"/>
      <c r="N27" s="1796"/>
      <c r="P27" s="647"/>
      <c r="Q27" s="647"/>
      <c r="R27" s="647"/>
      <c r="S27" s="647"/>
      <c r="T27" s="647"/>
      <c r="U27" s="1261"/>
      <c r="V27" s="647"/>
    </row>
    <row r="28" spans="1:25">
      <c r="A28" s="647"/>
      <c r="B28" s="647"/>
      <c r="C28" s="647"/>
      <c r="P28" s="815">
        <f>IF(NDtieude1="","",ROW(H24))</f>
        <v>24</v>
      </c>
      <c r="Q28" s="647"/>
      <c r="R28" s="647"/>
      <c r="S28" s="647"/>
      <c r="T28" s="647"/>
      <c r="U28" s="1261"/>
      <c r="V28" s="647"/>
    </row>
    <row r="29" spans="1:25" ht="33.75" customHeight="1">
      <c r="A29" s="647"/>
      <c r="B29" s="647"/>
      <c r="C29" s="647"/>
      <c r="P29" s="815" t="str">
        <f>IF(NDtieude2="","",ROW(H25))</f>
        <v/>
      </c>
      <c r="Q29" s="647"/>
      <c r="R29" s="647"/>
      <c r="S29" s="647"/>
      <c r="T29" s="647"/>
      <c r="U29" s="1261"/>
      <c r="V29" s="647"/>
    </row>
    <row r="30" spans="1:25">
      <c r="A30" s="647"/>
      <c r="B30" s="647"/>
      <c r="C30" s="647"/>
      <c r="P30" s="815">
        <f>IF(NDtieude3="","",ROW(H26))</f>
        <v>26</v>
      </c>
      <c r="Q30" s="647"/>
      <c r="R30" s="647"/>
      <c r="S30" s="647"/>
      <c r="T30" s="647"/>
      <c r="U30" s="1261"/>
      <c r="V30" s="647"/>
    </row>
    <row r="31" spans="1:25" ht="21.95" customHeight="1">
      <c r="A31" s="647"/>
      <c r="B31" s="647"/>
      <c r="C31" s="647"/>
      <c r="P31" s="647"/>
      <c r="Q31" s="647"/>
      <c r="R31" s="647"/>
      <c r="S31" s="647"/>
      <c r="T31" s="647"/>
      <c r="U31" s="1261"/>
      <c r="V31" s="647"/>
    </row>
    <row r="32" spans="1:25" ht="16.5" customHeight="1">
      <c r="A32" s="647"/>
      <c r="B32" s="647"/>
      <c r="C32" s="647"/>
      <c r="E32" s="1795" t="str">
        <f>"Chủ đầu tư: "&amp;CĐT</f>
        <v>Chủ đầu tư: Công ty TNHH MTV khai thác công trình thủy lợi Ninh Thuận</v>
      </c>
      <c r="F32" s="1564"/>
      <c r="G32" s="1564"/>
      <c r="H32" s="1564"/>
      <c r="I32" s="1564"/>
      <c r="J32" s="1564"/>
      <c r="K32" s="1564"/>
      <c r="L32" s="1564"/>
      <c r="M32" s="1564"/>
      <c r="N32" s="1564"/>
      <c r="P32" s="647"/>
      <c r="Q32" s="647"/>
      <c r="R32" s="647"/>
      <c r="S32" s="647"/>
      <c r="T32" s="647"/>
      <c r="U32" s="1261">
        <f>ROW()</f>
        <v>32</v>
      </c>
      <c r="V32" s="647"/>
    </row>
    <row r="33" spans="1:22" ht="16.5" customHeight="1">
      <c r="A33" s="647"/>
      <c r="B33" s="647"/>
      <c r="C33" s="647"/>
      <c r="E33" s="1795" t="str">
        <f>"Đơn vị giám sát: "&amp;DVGS</f>
        <v>Đơn vị giám sát: Công ty TNHH Tư vấn Đầu tư Xây dựng Huy Đạt</v>
      </c>
      <c r="F33" s="1564"/>
      <c r="G33" s="1564"/>
      <c r="H33" s="1564"/>
      <c r="I33" s="1564"/>
      <c r="J33" s="1564"/>
      <c r="K33" s="1564"/>
      <c r="L33" s="1564"/>
      <c r="M33" s="1564"/>
      <c r="N33" s="1564"/>
      <c r="P33" s="647"/>
      <c r="Q33" s="647"/>
      <c r="R33" s="647"/>
      <c r="S33" s="647"/>
      <c r="T33" s="647"/>
      <c r="U33" s="1261">
        <f>ROW()</f>
        <v>33</v>
      </c>
      <c r="V33" s="647"/>
    </row>
    <row r="34" spans="1:22" ht="16.5" customHeight="1">
      <c r="A34" s="647"/>
      <c r="B34" s="647"/>
      <c r="C34" s="647"/>
      <c r="E34" s="1795" t="str">
        <f>"Đơn vị thi công: "&amp;DVTC</f>
        <v>Đơn vị thi công: Công ty TNHH Xây dựng Thịnh Dũng</v>
      </c>
      <c r="F34" s="1564"/>
      <c r="G34" s="1564"/>
      <c r="H34" s="1564"/>
      <c r="I34" s="1564"/>
      <c r="J34" s="1564"/>
      <c r="K34" s="1564"/>
      <c r="L34" s="1564"/>
      <c r="M34" s="1564"/>
      <c r="N34" s="1564"/>
      <c r="P34" s="647"/>
      <c r="Q34" s="647"/>
      <c r="R34" s="647"/>
      <c r="S34" s="647"/>
      <c r="T34" s="647"/>
      <c r="U34" s="1261">
        <f>ROW()</f>
        <v>34</v>
      </c>
      <c r="V34" s="647"/>
    </row>
    <row r="35" spans="1:22">
      <c r="A35" s="647"/>
      <c r="B35" s="647"/>
      <c r="C35" s="647"/>
      <c r="P35" s="647"/>
      <c r="Q35" s="647"/>
      <c r="R35" s="647"/>
      <c r="S35" s="647"/>
      <c r="T35" s="647"/>
      <c r="U35" s="1261"/>
      <c r="V35" s="647"/>
    </row>
    <row r="36" spans="1:22">
      <c r="A36" s="647"/>
      <c r="B36" s="647"/>
      <c r="C36" s="647"/>
      <c r="P36" s="647"/>
      <c r="Q36" s="647"/>
      <c r="R36" s="647"/>
      <c r="S36" s="647"/>
      <c r="T36" s="647"/>
      <c r="U36" s="647"/>
      <c r="V36" s="647"/>
    </row>
    <row r="37" spans="1:22" ht="21.95" customHeight="1">
      <c r="A37" s="647"/>
      <c r="B37" s="647"/>
      <c r="C37" s="647"/>
      <c r="P37" s="647"/>
      <c r="Q37" s="647"/>
      <c r="R37" s="647"/>
      <c r="S37" s="647"/>
      <c r="T37" s="647"/>
      <c r="U37" s="647"/>
      <c r="V37" s="647"/>
    </row>
    <row r="38" spans="1:22" ht="21.95" hidden="1" customHeight="1">
      <c r="A38" s="647"/>
      <c r="B38" s="647"/>
      <c r="C38" s="647"/>
      <c r="P38" s="647"/>
      <c r="Q38" s="647"/>
      <c r="R38" s="647"/>
      <c r="S38" s="647"/>
      <c r="T38" s="647"/>
      <c r="U38" s="647"/>
      <c r="V38" s="647"/>
    </row>
    <row r="39" spans="1:22" ht="19.899999999999999" hidden="1" customHeight="1">
      <c r="A39" s="647"/>
      <c r="B39" s="647"/>
      <c r="C39" s="647"/>
      <c r="P39" s="647"/>
      <c r="Q39" s="647"/>
      <c r="R39" s="647"/>
      <c r="S39" s="647"/>
      <c r="T39" s="647"/>
      <c r="U39" s="647"/>
      <c r="V39" s="647"/>
    </row>
    <row r="40" spans="1:22" hidden="1">
      <c r="A40" s="647"/>
      <c r="B40" s="647"/>
      <c r="C40" s="647"/>
      <c r="P40" s="647"/>
      <c r="Q40" s="647"/>
      <c r="R40" s="647"/>
      <c r="S40" s="647"/>
      <c r="T40" s="647"/>
      <c r="U40" s="647"/>
      <c r="V40" s="647"/>
    </row>
    <row r="41" spans="1:22">
      <c r="A41" s="647"/>
      <c r="B41" s="647"/>
      <c r="C41" s="647"/>
      <c r="P41" s="647"/>
      <c r="Q41" s="647"/>
      <c r="R41" s="647"/>
      <c r="S41" s="647"/>
      <c r="T41" s="647"/>
      <c r="U41" s="647"/>
      <c r="V41" s="647"/>
    </row>
    <row r="42" spans="1:22">
      <c r="A42" s="647"/>
      <c r="B42" s="647"/>
      <c r="C42" s="647"/>
      <c r="P42" s="647"/>
      <c r="Q42" s="647"/>
      <c r="R42" s="647"/>
      <c r="S42" s="647"/>
      <c r="T42" s="647"/>
      <c r="U42" s="647"/>
      <c r="V42" s="647"/>
    </row>
    <row r="43" spans="1:22" hidden="1">
      <c r="A43" s="647"/>
      <c r="B43" s="647"/>
      <c r="C43" s="647"/>
      <c r="P43" s="647"/>
      <c r="Q43" s="647"/>
      <c r="R43" s="647"/>
      <c r="S43" s="647"/>
      <c r="T43" s="647"/>
      <c r="U43" s="647"/>
      <c r="V43" s="647"/>
    </row>
    <row r="44" spans="1:22" ht="17.25">
      <c r="A44" s="647"/>
      <c r="B44" s="647"/>
      <c r="C44" s="647"/>
      <c r="F44" s="1804" t="str">
        <f>"Ninh Thuận: Năm "&amp;YEAR(Nhattrinh!C4)</f>
        <v>Ninh Thuận: Năm 2020</v>
      </c>
      <c r="G44" s="1804"/>
      <c r="H44" s="1804"/>
      <c r="I44" s="1804"/>
      <c r="J44" s="1804"/>
      <c r="K44" s="1804"/>
      <c r="L44" s="1804"/>
      <c r="M44" s="1804"/>
      <c r="N44" s="337"/>
      <c r="P44" s="647"/>
      <c r="Q44" s="647"/>
      <c r="R44" s="647"/>
      <c r="S44" s="647"/>
      <c r="T44" s="647"/>
      <c r="U44" s="647"/>
      <c r="V44" s="647"/>
    </row>
    <row r="45" spans="1:22">
      <c r="A45" s="647"/>
      <c r="B45" s="647"/>
      <c r="C45" s="647"/>
      <c r="P45" s="647"/>
      <c r="Q45" s="647"/>
      <c r="R45" s="647"/>
      <c r="S45" s="647"/>
      <c r="T45" s="647"/>
      <c r="U45" s="647"/>
      <c r="V45" s="647"/>
    </row>
    <row r="46" spans="1:22">
      <c r="A46" s="647"/>
      <c r="B46" s="647"/>
      <c r="C46" s="647"/>
      <c r="P46" s="647"/>
      <c r="Q46" s="647"/>
      <c r="R46" s="647"/>
      <c r="S46" s="647"/>
      <c r="T46" s="647"/>
      <c r="U46" s="647"/>
      <c r="V46" s="647"/>
    </row>
    <row r="47" spans="1:22">
      <c r="A47" s="647"/>
      <c r="B47" s="647"/>
      <c r="C47" s="647"/>
      <c r="D47" s="647"/>
      <c r="E47" s="647"/>
      <c r="F47" s="647"/>
      <c r="G47" s="647"/>
      <c r="H47" s="647"/>
      <c r="I47" s="647"/>
      <c r="J47" s="647"/>
      <c r="K47" s="647"/>
      <c r="L47" s="647"/>
      <c r="M47" s="647"/>
      <c r="N47" s="647"/>
      <c r="O47" s="647"/>
      <c r="P47" s="647"/>
      <c r="Q47" s="647"/>
      <c r="R47" s="647"/>
      <c r="S47" s="647"/>
      <c r="T47" s="647"/>
      <c r="U47" s="647"/>
      <c r="V47" s="647"/>
    </row>
    <row r="48" spans="1:22" ht="15" customHeight="1">
      <c r="A48" s="647"/>
      <c r="B48" s="647"/>
      <c r="C48" s="647"/>
      <c r="D48" s="802"/>
      <c r="P48" s="647"/>
      <c r="Q48" s="647"/>
      <c r="R48" s="647"/>
      <c r="S48" s="647"/>
      <c r="T48" s="647"/>
      <c r="U48" s="647"/>
      <c r="V48" s="647"/>
    </row>
    <row r="49" spans="1:22" ht="22.5">
      <c r="A49" s="647"/>
      <c r="B49" s="647"/>
      <c r="C49" s="647"/>
      <c r="D49" s="1805" t="str">
        <f>IF(A1="6. 1. 0. Bia NKTC","NHẬT KÝ THI CÔNG","NHẬT KÝ GIÁM SÁT")&amp;" THI CÔNG XÂY DỰNG CÔNG TRÌNH"</f>
        <v>NHẬT KÝ GIÁM SÁT THI CÔNG XÂY DỰNG CÔNG TRÌNH</v>
      </c>
      <c r="E49" s="1805"/>
      <c r="F49" s="1805"/>
      <c r="G49" s="1805"/>
      <c r="H49" s="1805"/>
      <c r="I49" s="1805"/>
      <c r="J49" s="1805"/>
      <c r="K49" s="1805"/>
      <c r="L49" s="1805"/>
      <c r="M49" s="1805"/>
      <c r="N49" s="1805"/>
      <c r="O49" s="1805"/>
      <c r="P49" s="647"/>
      <c r="Q49" s="647"/>
      <c r="R49" s="647"/>
      <c r="S49" s="647"/>
      <c r="T49" s="647"/>
      <c r="U49" s="647"/>
      <c r="V49" s="647"/>
    </row>
    <row r="50" spans="1:22" ht="18.75">
      <c r="A50" s="647"/>
      <c r="B50" s="647"/>
      <c r="C50" s="647"/>
      <c r="D50" s="802"/>
      <c r="P50" s="647"/>
      <c r="Q50" s="647"/>
      <c r="R50" s="647"/>
      <c r="S50" s="647"/>
      <c r="T50" s="647"/>
      <c r="U50" s="647"/>
      <c r="V50" s="647"/>
    </row>
    <row r="51" spans="1:22" ht="20.25">
      <c r="A51" s="647"/>
      <c r="B51" s="647"/>
      <c r="C51" s="647"/>
      <c r="D51" s="1806" t="s">
        <v>4444</v>
      </c>
      <c r="E51" s="1806"/>
      <c r="F51" s="1806"/>
      <c r="G51" s="1806"/>
      <c r="H51" s="1806"/>
      <c r="I51" s="1806"/>
      <c r="J51" s="1806"/>
      <c r="K51" s="1806"/>
      <c r="L51" s="1806"/>
      <c r="M51" s="1806"/>
      <c r="N51" s="1806"/>
      <c r="O51" s="1806"/>
      <c r="P51" s="647"/>
      <c r="Q51" s="647"/>
      <c r="R51" s="647"/>
      <c r="S51" s="647"/>
      <c r="T51" s="647"/>
      <c r="U51" s="647"/>
      <c r="V51" s="647"/>
    </row>
    <row r="52" spans="1:22" ht="18.75">
      <c r="A52" s="647"/>
      <c r="B52" s="647"/>
      <c r="C52" s="647"/>
      <c r="D52" s="802"/>
      <c r="P52" s="647"/>
      <c r="Q52" s="647"/>
      <c r="R52" s="647"/>
      <c r="S52" s="647"/>
      <c r="T52" s="647"/>
      <c r="U52" s="647"/>
      <c r="V52" s="647"/>
    </row>
    <row r="53" spans="1:22" ht="18.75">
      <c r="A53" s="647"/>
      <c r="B53" s="647"/>
      <c r="C53" s="647"/>
      <c r="D53" s="1808"/>
      <c r="E53" s="1808"/>
      <c r="F53" s="1808"/>
      <c r="P53" s="647"/>
      <c r="Q53" s="647"/>
      <c r="R53" s="647"/>
      <c r="S53" s="647"/>
      <c r="T53" s="647"/>
      <c r="U53" s="647"/>
      <c r="V53" s="647"/>
    </row>
    <row r="54" spans="1:22" ht="18.75" customHeight="1">
      <c r="A54" s="647"/>
      <c r="B54" s="647"/>
      <c r="C54" s="647"/>
      <c r="D54" s="1807"/>
      <c r="E54" s="1797" t="str">
        <f>Tieude1&amp;": "&amp;NDtieude1</f>
        <v>Công trình: Gia cố nâng cấp kênh Bà Xoài từ K0+300÷K0+600 - Hệ thống thủy lợi Nha Trinh, huyện Ninh Hải, tỉnh Ninh Thuận</v>
      </c>
      <c r="F54" s="1797"/>
      <c r="G54" s="1797"/>
      <c r="H54" s="1797"/>
      <c r="I54" s="1797"/>
      <c r="J54" s="1797"/>
      <c r="K54" s="1797"/>
      <c r="L54" s="1797"/>
      <c r="M54" s="1797"/>
      <c r="N54" s="1797"/>
      <c r="O54" s="1797"/>
      <c r="P54" s="647"/>
      <c r="Q54" s="647"/>
      <c r="R54" s="647"/>
      <c r="S54" s="647"/>
      <c r="T54" s="647"/>
      <c r="U54" s="647"/>
      <c r="V54" s="647"/>
    </row>
    <row r="55" spans="1:22" ht="18.75" customHeight="1">
      <c r="A55" s="647"/>
      <c r="B55" s="647"/>
      <c r="C55" s="647"/>
      <c r="D55" s="1807"/>
      <c r="E55" s="1797"/>
      <c r="F55" s="1797"/>
      <c r="G55" s="1797"/>
      <c r="H55" s="1797"/>
      <c r="I55" s="1797"/>
      <c r="J55" s="1797"/>
      <c r="K55" s="1797"/>
      <c r="L55" s="1797"/>
      <c r="M55" s="1797"/>
      <c r="N55" s="1797"/>
      <c r="O55" s="1797"/>
      <c r="P55" s="647"/>
      <c r="Q55" s="647"/>
      <c r="R55" s="647"/>
      <c r="S55" s="647"/>
      <c r="T55" s="647"/>
      <c r="U55" s="647"/>
      <c r="V55" s="647"/>
    </row>
    <row r="56" spans="1:22" ht="18.75" customHeight="1">
      <c r="A56" s="647"/>
      <c r="B56" s="647"/>
      <c r="C56" s="647"/>
      <c r="D56" s="1807"/>
      <c r="E56" s="1797"/>
      <c r="F56" s="1797"/>
      <c r="G56" s="1797"/>
      <c r="H56" s="1797"/>
      <c r="I56" s="1797"/>
      <c r="J56" s="1797"/>
      <c r="K56" s="1797"/>
      <c r="L56" s="1797"/>
      <c r="M56" s="1797"/>
      <c r="N56" s="1797"/>
      <c r="O56" s="1797"/>
      <c r="P56" s="647"/>
      <c r="Q56" s="647"/>
      <c r="R56" s="647"/>
      <c r="S56" s="647"/>
      <c r="T56" s="647"/>
      <c r="U56" s="647"/>
      <c r="V56" s="647"/>
    </row>
    <row r="57" spans="1:22" ht="16.5" customHeight="1">
      <c r="A57" s="647"/>
      <c r="B57" s="647"/>
      <c r="C57" s="647"/>
      <c r="D57" s="1807"/>
      <c r="E57" s="1797" t="str">
        <f>Tieude2&amp;": "&amp;NDtieude2</f>
        <v xml:space="preserve">Gói thầu 05: </v>
      </c>
      <c r="F57" s="1797"/>
      <c r="G57" s="1797"/>
      <c r="H57" s="1797"/>
      <c r="I57" s="1797"/>
      <c r="J57" s="1797"/>
      <c r="K57" s="1797"/>
      <c r="L57" s="1797"/>
      <c r="M57" s="1797"/>
      <c r="N57" s="1797"/>
      <c r="O57" s="1797"/>
      <c r="P57" s="647"/>
      <c r="Q57" s="647"/>
      <c r="R57" s="647"/>
      <c r="S57" s="647"/>
      <c r="T57" s="647"/>
      <c r="U57" s="647"/>
      <c r="V57" s="647"/>
    </row>
    <row r="58" spans="1:22" ht="16.5" customHeight="1">
      <c r="A58" s="647"/>
      <c r="B58" s="647"/>
      <c r="C58" s="647"/>
      <c r="D58" s="1807"/>
      <c r="E58" s="1797"/>
      <c r="F58" s="1797"/>
      <c r="G58" s="1797"/>
      <c r="H58" s="1797"/>
      <c r="I58" s="1797"/>
      <c r="J58" s="1797"/>
      <c r="K58" s="1797"/>
      <c r="L58" s="1797"/>
      <c r="M58" s="1797"/>
      <c r="N58" s="1797"/>
      <c r="O58" s="1797"/>
      <c r="P58" s="647"/>
      <c r="Q58" s="647"/>
      <c r="R58" s="647"/>
      <c r="S58" s="647"/>
      <c r="T58" s="647"/>
      <c r="U58" s="647"/>
      <c r="V58" s="647"/>
    </row>
    <row r="59" spans="1:22" ht="16.5" customHeight="1">
      <c r="A59" s="647"/>
      <c r="B59" s="647"/>
      <c r="C59" s="647"/>
      <c r="D59" s="1807"/>
      <c r="E59" s="1797"/>
      <c r="F59" s="1797"/>
      <c r="G59" s="1797"/>
      <c r="H59" s="1797"/>
      <c r="I59" s="1797"/>
      <c r="J59" s="1797"/>
      <c r="K59" s="1797"/>
      <c r="L59" s="1797"/>
      <c r="M59" s="1797"/>
      <c r="N59" s="1797"/>
      <c r="O59" s="1797"/>
      <c r="P59" s="647"/>
      <c r="Q59" s="647"/>
      <c r="R59" s="647"/>
      <c r="S59" s="647"/>
      <c r="T59" s="647"/>
      <c r="U59" s="647"/>
      <c r="V59" s="647"/>
    </row>
    <row r="60" spans="1:22" ht="23.25" customHeight="1">
      <c r="A60" s="647"/>
      <c r="B60" s="647"/>
      <c r="C60" s="647"/>
      <c r="D60" s="1807"/>
      <c r="E60" s="1797" t="str">
        <f>Tieude3&amp;": "&amp;NDtieude3</f>
        <v>Hạng mục: Kênh và Công trình trên kênh</v>
      </c>
      <c r="F60" s="1797"/>
      <c r="G60" s="1797"/>
      <c r="H60" s="1797"/>
      <c r="I60" s="1797"/>
      <c r="J60" s="1797"/>
      <c r="K60" s="1797"/>
      <c r="L60" s="1797"/>
      <c r="M60" s="1797"/>
      <c r="N60" s="1797"/>
      <c r="O60" s="1797"/>
      <c r="P60" s="647"/>
      <c r="Q60" s="647"/>
      <c r="R60" s="647"/>
      <c r="S60" s="647"/>
      <c r="T60" s="647"/>
      <c r="U60" s="647"/>
      <c r="V60" s="647"/>
    </row>
    <row r="61" spans="1:22" ht="16.5" customHeight="1">
      <c r="A61" s="647"/>
      <c r="B61" s="647"/>
      <c r="C61" s="647"/>
      <c r="D61" s="1807"/>
      <c r="E61" s="1797"/>
      <c r="F61" s="1797"/>
      <c r="G61" s="1797"/>
      <c r="H61" s="1797"/>
      <c r="I61" s="1797"/>
      <c r="J61" s="1797"/>
      <c r="K61" s="1797"/>
      <c r="L61" s="1797"/>
      <c r="M61" s="1797"/>
      <c r="N61" s="1797"/>
      <c r="O61" s="1797"/>
      <c r="P61" s="647"/>
      <c r="Q61" s="647"/>
      <c r="R61" s="647"/>
      <c r="S61" s="647"/>
      <c r="T61" s="647"/>
      <c r="U61" s="647"/>
      <c r="V61" s="647"/>
    </row>
    <row r="62" spans="1:22" ht="16.5" customHeight="1">
      <c r="A62" s="647"/>
      <c r="B62" s="647"/>
      <c r="C62" s="647"/>
      <c r="D62" s="1807"/>
      <c r="E62" s="1797"/>
      <c r="F62" s="1797"/>
      <c r="G62" s="1797"/>
      <c r="H62" s="1797"/>
      <c r="I62" s="1797"/>
      <c r="J62" s="1797"/>
      <c r="K62" s="1797"/>
      <c r="L62" s="1797"/>
      <c r="M62" s="1797"/>
      <c r="N62" s="1797"/>
      <c r="O62" s="1797"/>
      <c r="P62" s="647"/>
      <c r="Q62" s="647"/>
      <c r="R62" s="647"/>
      <c r="S62" s="647"/>
      <c r="T62" s="647"/>
      <c r="U62" s="647"/>
      <c r="V62" s="647"/>
    </row>
    <row r="63" spans="1:22" ht="16.5" customHeight="1">
      <c r="A63" s="647"/>
      <c r="B63" s="647"/>
      <c r="C63" s="647"/>
      <c r="D63" s="1807"/>
      <c r="E63" s="1797" t="str">
        <f>"Địa điểm xây dựng"&amp;": "&amp;DDXD</f>
        <v>Địa điểm xây dựng: Huyện Ninh Hải - Tỉnh Ninh Thuận</v>
      </c>
      <c r="F63" s="1797"/>
      <c r="G63" s="1797"/>
      <c r="H63" s="1797"/>
      <c r="I63" s="1797"/>
      <c r="J63" s="1797"/>
      <c r="K63" s="1797"/>
      <c r="L63" s="1797"/>
      <c r="M63" s="1797"/>
      <c r="N63" s="1797"/>
      <c r="O63" s="1797"/>
      <c r="P63" s="647"/>
      <c r="Q63" s="647"/>
      <c r="R63" s="647"/>
      <c r="S63" s="647"/>
      <c r="T63" s="647"/>
      <c r="U63" s="647"/>
      <c r="V63" s="647"/>
    </row>
    <row r="64" spans="1:22" ht="16.5" customHeight="1">
      <c r="A64" s="647"/>
      <c r="B64" s="647"/>
      <c r="C64" s="647"/>
      <c r="D64" s="1807"/>
      <c r="E64" s="1797"/>
      <c r="F64" s="1797"/>
      <c r="G64" s="1797"/>
      <c r="H64" s="1797"/>
      <c r="I64" s="1797"/>
      <c r="J64" s="1797"/>
      <c r="K64" s="1797"/>
      <c r="L64" s="1797"/>
      <c r="M64" s="1797"/>
      <c r="N64" s="1797"/>
      <c r="O64" s="1797"/>
      <c r="P64" s="647"/>
      <c r="Q64" s="647"/>
      <c r="R64" s="647"/>
      <c r="S64" s="647"/>
      <c r="T64" s="647"/>
      <c r="U64" s="647"/>
      <c r="V64" s="647"/>
    </row>
    <row r="65" spans="1:22" ht="16.5" customHeight="1">
      <c r="A65" s="647"/>
      <c r="B65" s="647"/>
      <c r="C65" s="647"/>
      <c r="D65" s="1807"/>
      <c r="E65" s="1797"/>
      <c r="F65" s="1797"/>
      <c r="G65" s="1797"/>
      <c r="H65" s="1797"/>
      <c r="I65" s="1797"/>
      <c r="J65" s="1797"/>
      <c r="K65" s="1797"/>
      <c r="L65" s="1797"/>
      <c r="M65" s="1797"/>
      <c r="N65" s="1797"/>
      <c r="O65" s="1797"/>
      <c r="P65" s="647"/>
      <c r="Q65" s="647"/>
      <c r="R65" s="647"/>
      <c r="S65" s="647"/>
      <c r="T65" s="647"/>
      <c r="U65" s="647"/>
      <c r="V65" s="647"/>
    </row>
    <row r="66" spans="1:22" ht="16.5" customHeight="1">
      <c r="A66" s="647"/>
      <c r="B66" s="647"/>
      <c r="C66" s="647"/>
      <c r="D66" s="1807"/>
      <c r="E66" s="1797" t="str">
        <f>"Nhà thầu giám sát thi công xây dựng công trình: "&amp;DVGS</f>
        <v>Nhà thầu giám sát thi công xây dựng công trình: Công ty TNHH Tư vấn Đầu tư Xây dựng Huy Đạt</v>
      </c>
      <c r="F66" s="1797"/>
      <c r="G66" s="1797"/>
      <c r="H66" s="1797"/>
      <c r="I66" s="1797"/>
      <c r="J66" s="1797"/>
      <c r="K66" s="1797"/>
      <c r="L66" s="1797"/>
      <c r="M66" s="1797"/>
      <c r="N66" s="1797"/>
      <c r="O66" s="1797"/>
      <c r="P66" s="647"/>
      <c r="Q66" s="647"/>
      <c r="R66" s="647"/>
      <c r="S66" s="647"/>
      <c r="T66" s="647"/>
      <c r="U66" s="647"/>
      <c r="V66" s="647"/>
    </row>
    <row r="67" spans="1:22" ht="16.5" customHeight="1">
      <c r="A67" s="647"/>
      <c r="B67" s="647"/>
      <c r="C67" s="647"/>
      <c r="D67" s="1807"/>
      <c r="E67" s="1797"/>
      <c r="F67" s="1797"/>
      <c r="G67" s="1797"/>
      <c r="H67" s="1797"/>
      <c r="I67" s="1797"/>
      <c r="J67" s="1797"/>
      <c r="K67" s="1797"/>
      <c r="L67" s="1797"/>
      <c r="M67" s="1797"/>
      <c r="N67" s="1797"/>
      <c r="O67" s="1797"/>
      <c r="P67" s="647"/>
      <c r="Q67" s="647"/>
      <c r="R67" s="647"/>
      <c r="S67" s="647"/>
      <c r="T67" s="647"/>
      <c r="U67" s="647"/>
      <c r="V67" s="647"/>
    </row>
    <row r="68" spans="1:22" ht="16.5" customHeight="1">
      <c r="A68" s="647"/>
      <c r="B68" s="647"/>
      <c r="C68" s="647"/>
      <c r="D68" s="1807"/>
      <c r="E68" s="1797"/>
      <c r="F68" s="1797"/>
      <c r="G68" s="1797"/>
      <c r="H68" s="1797"/>
      <c r="I68" s="1797"/>
      <c r="J68" s="1797"/>
      <c r="K68" s="1797"/>
      <c r="L68" s="1797"/>
      <c r="M68" s="1797"/>
      <c r="N68" s="1797"/>
      <c r="O68" s="1797"/>
      <c r="P68" s="647"/>
      <c r="Q68" s="647"/>
      <c r="R68" s="647"/>
      <c r="S68" s="647"/>
      <c r="T68" s="647"/>
      <c r="U68" s="647"/>
      <c r="V68" s="647"/>
    </row>
    <row r="69" spans="1:22" ht="16.5" customHeight="1">
      <c r="A69" s="647"/>
      <c r="B69" s="647"/>
      <c r="C69" s="647"/>
      <c r="D69" s="1807"/>
      <c r="E69" s="1797" t="str">
        <f>"Nhà thầu thiết kế xây dựng công trình: "&amp;DVTK</f>
        <v>Nhà thầu thiết kế xây dựng công trình: Công ty TNHH Tư vấn Xây dựng Hưng Thịnh</v>
      </c>
      <c r="F69" s="1797"/>
      <c r="G69" s="1797"/>
      <c r="H69" s="1797"/>
      <c r="I69" s="1797"/>
      <c r="J69" s="1797"/>
      <c r="K69" s="1797"/>
      <c r="L69" s="1797"/>
      <c r="M69" s="1797"/>
      <c r="N69" s="1797"/>
      <c r="O69" s="1797"/>
      <c r="P69" s="647"/>
      <c r="Q69" s="647"/>
      <c r="R69" s="647"/>
      <c r="S69" s="647"/>
      <c r="T69" s="647"/>
      <c r="U69" s="647"/>
      <c r="V69" s="647"/>
    </row>
    <row r="70" spans="1:22" ht="16.5" customHeight="1">
      <c r="A70" s="647"/>
      <c r="B70" s="647"/>
      <c r="C70" s="647"/>
      <c r="D70" s="1807"/>
      <c r="E70" s="1797"/>
      <c r="F70" s="1797"/>
      <c r="G70" s="1797"/>
      <c r="H70" s="1797"/>
      <c r="I70" s="1797"/>
      <c r="J70" s="1797"/>
      <c r="K70" s="1797"/>
      <c r="L70" s="1797"/>
      <c r="M70" s="1797"/>
      <c r="N70" s="1797"/>
      <c r="O70" s="1797"/>
      <c r="P70" s="647"/>
      <c r="Q70" s="647"/>
      <c r="R70" s="647"/>
      <c r="S70" s="647"/>
      <c r="T70" s="647"/>
      <c r="U70" s="647"/>
      <c r="V70" s="647"/>
    </row>
    <row r="71" spans="1:22" ht="16.5" customHeight="1">
      <c r="A71" s="647"/>
      <c r="B71" s="647"/>
      <c r="C71" s="647"/>
      <c r="D71" s="1807"/>
      <c r="E71" s="1797"/>
      <c r="F71" s="1797"/>
      <c r="G71" s="1797"/>
      <c r="H71" s="1797"/>
      <c r="I71" s="1797"/>
      <c r="J71" s="1797"/>
      <c r="K71" s="1797"/>
      <c r="L71" s="1797"/>
      <c r="M71" s="1797"/>
      <c r="N71" s="1797"/>
      <c r="O71" s="1797"/>
      <c r="P71" s="647"/>
      <c r="Q71" s="647"/>
      <c r="R71" s="647"/>
      <c r="S71" s="647"/>
      <c r="T71" s="647"/>
      <c r="U71" s="647"/>
      <c r="V71" s="647"/>
    </row>
    <row r="72" spans="1:22" ht="16.5" customHeight="1">
      <c r="A72" s="647"/>
      <c r="B72" s="647"/>
      <c r="C72" s="647"/>
      <c r="D72" s="1807"/>
      <c r="E72" s="1797" t="str">
        <f>"Nhà thầu quản lý dự án: "&amp;DD_CDT</f>
        <v>Nhà thầu quản lý dự án: Công ty TNHH MTV khai thác công trình thủy lợi Ninh Thuận</v>
      </c>
      <c r="F72" s="1797"/>
      <c r="G72" s="1797"/>
      <c r="H72" s="1797"/>
      <c r="I72" s="1797"/>
      <c r="J72" s="1797"/>
      <c r="K72" s="1797"/>
      <c r="L72" s="1797"/>
      <c r="M72" s="1797"/>
      <c r="N72" s="1797"/>
      <c r="O72" s="1797"/>
      <c r="P72" s="647"/>
      <c r="Q72" s="647"/>
      <c r="R72" s="647"/>
      <c r="S72" s="647"/>
      <c r="T72" s="647"/>
      <c r="U72" s="647"/>
      <c r="V72" s="647"/>
    </row>
    <row r="73" spans="1:22" ht="16.5" customHeight="1">
      <c r="A73" s="647"/>
      <c r="B73" s="647"/>
      <c r="C73" s="647"/>
      <c r="D73" s="1807"/>
      <c r="E73" s="1797"/>
      <c r="F73" s="1797"/>
      <c r="G73" s="1797"/>
      <c r="H73" s="1797"/>
      <c r="I73" s="1797"/>
      <c r="J73" s="1797"/>
      <c r="K73" s="1797"/>
      <c r="L73" s="1797"/>
      <c r="M73" s="1797"/>
      <c r="N73" s="1797"/>
      <c r="O73" s="1797"/>
      <c r="P73" s="647"/>
      <c r="Q73" s="647"/>
      <c r="R73" s="647"/>
      <c r="S73" s="647"/>
      <c r="T73" s="647"/>
      <c r="U73" s="647"/>
      <c r="V73" s="647"/>
    </row>
    <row r="74" spans="1:22" ht="16.5" customHeight="1">
      <c r="A74" s="647"/>
      <c r="B74" s="647"/>
      <c r="C74" s="647"/>
      <c r="D74" s="1807"/>
      <c r="E74" s="1797"/>
      <c r="F74" s="1797"/>
      <c r="G74" s="1797"/>
      <c r="H74" s="1797"/>
      <c r="I74" s="1797"/>
      <c r="J74" s="1797"/>
      <c r="K74" s="1797"/>
      <c r="L74" s="1797"/>
      <c r="M74" s="1797"/>
      <c r="N74" s="1797"/>
      <c r="O74" s="1797"/>
      <c r="P74" s="647"/>
      <c r="Q74" s="647"/>
      <c r="R74" s="647"/>
      <c r="S74" s="647"/>
      <c r="T74" s="647"/>
      <c r="U74" s="647"/>
      <c r="V74" s="647"/>
    </row>
    <row r="75" spans="1:22" ht="18.75" customHeight="1">
      <c r="A75" s="647"/>
      <c r="B75" s="647"/>
      <c r="C75" s="647"/>
      <c r="D75" s="1807"/>
      <c r="E75" s="1797" t="str">
        <f>"Nhà thầu thi công: "&amp;DVTC</f>
        <v>Nhà thầu thi công: Công ty TNHH Xây dựng Thịnh Dũng</v>
      </c>
      <c r="F75" s="1797"/>
      <c r="G75" s="1797"/>
      <c r="H75" s="1797"/>
      <c r="I75" s="1797"/>
      <c r="J75" s="1797"/>
      <c r="K75" s="1797"/>
      <c r="L75" s="1797"/>
      <c r="M75" s="1797"/>
      <c r="N75" s="1797"/>
      <c r="O75" s="1797"/>
      <c r="P75" s="647"/>
      <c r="Q75" s="647"/>
      <c r="R75" s="647"/>
      <c r="S75" s="647"/>
      <c r="T75" s="647"/>
      <c r="U75" s="647"/>
      <c r="V75" s="647"/>
    </row>
    <row r="76" spans="1:22">
      <c r="A76" s="647"/>
      <c r="B76" s="647"/>
      <c r="C76" s="647"/>
      <c r="D76" s="1807"/>
      <c r="E76" s="1797"/>
      <c r="F76" s="1797"/>
      <c r="G76" s="1797"/>
      <c r="H76" s="1797"/>
      <c r="I76" s="1797"/>
      <c r="J76" s="1797"/>
      <c r="K76" s="1797"/>
      <c r="L76" s="1797"/>
      <c r="M76" s="1797"/>
      <c r="N76" s="1797"/>
      <c r="O76" s="1797"/>
      <c r="P76" s="647"/>
      <c r="Q76" s="647"/>
      <c r="R76" s="647"/>
      <c r="S76" s="647"/>
      <c r="T76" s="647"/>
      <c r="U76" s="647"/>
      <c r="V76" s="647"/>
    </row>
    <row r="77" spans="1:22">
      <c r="A77" s="647"/>
      <c r="B77" s="647"/>
      <c r="C77" s="647"/>
      <c r="D77" s="1807"/>
      <c r="E77" s="1797"/>
      <c r="F77" s="1797"/>
      <c r="G77" s="1797"/>
      <c r="H77" s="1797"/>
      <c r="I77" s="1797"/>
      <c r="J77" s="1797"/>
      <c r="K77" s="1797"/>
      <c r="L77" s="1797"/>
      <c r="M77" s="1797"/>
      <c r="N77" s="1797"/>
      <c r="O77" s="1797"/>
      <c r="P77" s="647"/>
      <c r="Q77" s="647"/>
      <c r="R77" s="647"/>
      <c r="S77" s="647"/>
      <c r="T77" s="647"/>
      <c r="U77" s="647"/>
      <c r="V77" s="647"/>
    </row>
    <row r="78" spans="1:22" ht="16.5" customHeight="1">
      <c r="A78" s="647"/>
      <c r="B78" s="647"/>
      <c r="C78" s="647"/>
      <c r="D78" s="803"/>
      <c r="E78" s="803"/>
      <c r="F78" s="803"/>
      <c r="P78" s="647"/>
      <c r="Q78" s="647"/>
      <c r="R78" s="647"/>
      <c r="S78" s="647"/>
      <c r="T78" s="647"/>
      <c r="U78" s="647"/>
      <c r="V78" s="647"/>
    </row>
    <row r="79" spans="1:22" ht="41.25" customHeight="1">
      <c r="A79" s="647"/>
      <c r="B79" s="647"/>
      <c r="C79" s="647"/>
      <c r="E79" s="1812" t="str">
        <f>IF(A1="6. 1. 0. Bia NKTC","CHỦ ĐẦU TƯ","")</f>
        <v/>
      </c>
      <c r="F79" s="1812"/>
      <c r="G79" s="1812"/>
      <c r="H79" s="1812"/>
      <c r="I79" s="816"/>
      <c r="J79" s="1812" t="str">
        <f>IF(A1="6. 1. 0. Bia NKTC",UPPER(DVTC),UPPER(DVGS))</f>
        <v>CÔNG TY TNHH TƯ VẤN ĐẦU TƯ XÂY DỰNG HUY ĐẠT</v>
      </c>
      <c r="K79" s="1812"/>
      <c r="L79" s="1812"/>
      <c r="M79" s="1812"/>
      <c r="N79" s="1812"/>
      <c r="O79" s="1812"/>
      <c r="P79" s="647"/>
      <c r="Q79" s="647"/>
      <c r="R79" s="647"/>
      <c r="S79" s="647"/>
      <c r="T79" s="647"/>
      <c r="U79" s="647"/>
      <c r="V79" s="647"/>
    </row>
    <row r="80" spans="1:22" ht="16.5" customHeight="1">
      <c r="A80" s="647"/>
      <c r="B80" s="647"/>
      <c r="C80" s="647"/>
      <c r="D80" s="803"/>
      <c r="E80" s="803"/>
      <c r="F80" s="806"/>
      <c r="P80" s="647"/>
      <c r="Q80" s="647"/>
      <c r="R80" s="647"/>
      <c r="S80" s="647"/>
      <c r="T80" s="647"/>
      <c r="U80" s="647"/>
      <c r="V80" s="647"/>
    </row>
    <row r="81" spans="1:22" ht="16.5" customHeight="1">
      <c r="A81" s="647"/>
      <c r="B81" s="647"/>
      <c r="C81" s="647"/>
      <c r="P81" s="647"/>
      <c r="Q81" s="647"/>
      <c r="R81" s="647"/>
      <c r="S81" s="647"/>
      <c r="T81" s="647"/>
      <c r="U81" s="647"/>
      <c r="V81" s="647"/>
    </row>
    <row r="82" spans="1:22" ht="16.5" customHeight="1">
      <c r="A82" s="647"/>
      <c r="B82" s="647"/>
      <c r="C82" s="647"/>
      <c r="P82" s="647"/>
      <c r="Q82" s="647"/>
      <c r="R82" s="647"/>
      <c r="S82" s="647"/>
      <c r="T82" s="647"/>
      <c r="U82" s="647"/>
      <c r="V82" s="647"/>
    </row>
    <row r="83" spans="1:22" ht="16.5" customHeight="1">
      <c r="A83" s="647"/>
      <c r="B83" s="647"/>
      <c r="C83" s="647"/>
      <c r="P83" s="647"/>
      <c r="Q83" s="647"/>
      <c r="R83" s="647"/>
      <c r="S83" s="647"/>
      <c r="T83" s="647"/>
      <c r="U83" s="647"/>
      <c r="V83" s="647"/>
    </row>
    <row r="84" spans="1:22" ht="16.5" customHeight="1">
      <c r="A84" s="647"/>
      <c r="B84" s="647"/>
      <c r="C84" s="647"/>
      <c r="P84" s="647"/>
      <c r="Q84" s="647"/>
      <c r="R84" s="647"/>
      <c r="S84" s="647"/>
      <c r="T84" s="647"/>
      <c r="U84" s="647"/>
      <c r="V84" s="647"/>
    </row>
    <row r="85" spans="1:22" ht="16.5" customHeight="1">
      <c r="A85" s="647"/>
      <c r="B85" s="647"/>
      <c r="C85" s="647"/>
      <c r="D85" s="647"/>
      <c r="E85" s="647"/>
      <c r="F85" s="647"/>
      <c r="G85" s="647"/>
      <c r="H85" s="647"/>
      <c r="I85" s="647"/>
      <c r="J85" s="647"/>
      <c r="K85" s="647"/>
      <c r="L85" s="647"/>
      <c r="M85" s="647"/>
      <c r="N85" s="647"/>
      <c r="O85" s="647"/>
      <c r="P85" s="647"/>
      <c r="Q85" s="647"/>
      <c r="R85" s="647"/>
      <c r="S85" s="647"/>
      <c r="T85" s="647"/>
      <c r="U85" s="647"/>
      <c r="V85" s="647"/>
    </row>
    <row r="86" spans="1:22" ht="51.75" customHeight="1">
      <c r="A86" s="647"/>
      <c r="B86" s="647"/>
      <c r="C86" s="647"/>
      <c r="D86" s="1809" t="s">
        <v>4445</v>
      </c>
      <c r="E86" s="1809"/>
      <c r="F86" s="1809"/>
      <c r="G86" s="1809"/>
      <c r="H86" s="1809"/>
      <c r="I86" s="1809"/>
      <c r="J86" s="1809"/>
      <c r="K86" s="1809"/>
      <c r="L86" s="1809"/>
      <c r="M86" s="1809"/>
      <c r="N86" s="1809"/>
      <c r="O86" s="1809"/>
      <c r="P86" s="647"/>
      <c r="Q86" s="647"/>
      <c r="R86" s="647"/>
      <c r="S86" s="647"/>
      <c r="T86" s="647"/>
      <c r="U86" s="647"/>
      <c r="V86" s="647"/>
    </row>
    <row r="87" spans="1:22" ht="22.5">
      <c r="A87" s="647"/>
      <c r="B87" s="647"/>
      <c r="C87" s="647"/>
      <c r="D87" s="808"/>
      <c r="E87" s="808"/>
      <c r="F87" s="808"/>
      <c r="G87" s="808"/>
      <c r="H87" s="808"/>
      <c r="I87" s="808"/>
      <c r="J87" s="808"/>
      <c r="K87" s="808"/>
      <c r="L87" s="808"/>
      <c r="M87" s="808"/>
      <c r="N87" s="808"/>
      <c r="O87" s="808"/>
      <c r="P87" s="647"/>
      <c r="Q87" s="647"/>
      <c r="R87" s="647"/>
      <c r="S87" s="647"/>
      <c r="T87" s="647"/>
      <c r="U87" s="647"/>
      <c r="V87" s="647"/>
    </row>
    <row r="88" spans="1:22" ht="36.6" customHeight="1">
      <c r="A88" s="647"/>
      <c r="B88" s="647"/>
      <c r="C88" s="647"/>
      <c r="E88" s="1796" t="str">
        <f>IF(NDtieude1&lt;&gt;"",Tieude1&amp;": "&amp;NDtieude1,"")</f>
        <v>Công trình: Gia cố nâng cấp kênh Bà Xoài từ K0+300÷K0+600 - Hệ thống thủy lợi Nha Trinh, huyện Ninh Hải, tỉnh Ninh Thuận</v>
      </c>
      <c r="F88" s="1796"/>
      <c r="G88" s="1796"/>
      <c r="H88" s="1796"/>
      <c r="I88" s="1796"/>
      <c r="J88" s="1796"/>
      <c r="K88" s="1796"/>
      <c r="L88" s="1796"/>
      <c r="M88" s="1796"/>
      <c r="N88" s="1796"/>
      <c r="O88" s="1796"/>
      <c r="P88" s="647"/>
      <c r="Q88" s="647"/>
      <c r="R88" s="647"/>
      <c r="S88" s="647"/>
      <c r="T88" s="1261">
        <f>ROW()</f>
        <v>88</v>
      </c>
      <c r="U88" s="647"/>
      <c r="V88" s="647"/>
    </row>
    <row r="89" spans="1:22" ht="20.100000000000001" customHeight="1">
      <c r="A89" s="647"/>
      <c r="B89" s="647"/>
      <c r="C89" s="647"/>
      <c r="E89" s="1796" t="str">
        <f>IF(NDtieude2&lt;&gt;"",Tieude2&amp;": "&amp;NDtieude2,"")</f>
        <v/>
      </c>
      <c r="F89" s="1564"/>
      <c r="G89" s="1564"/>
      <c r="H89" s="1564"/>
      <c r="I89" s="1564"/>
      <c r="J89" s="1564"/>
      <c r="K89" s="1564"/>
      <c r="L89" s="1564"/>
      <c r="M89" s="1564"/>
      <c r="N89" s="1564"/>
      <c r="O89" s="1564"/>
      <c r="P89" s="647"/>
      <c r="Q89" s="647"/>
      <c r="R89" s="647"/>
      <c r="S89" s="647"/>
      <c r="T89" s="1261">
        <f>ROW()</f>
        <v>89</v>
      </c>
      <c r="U89" s="647"/>
      <c r="V89" s="647"/>
    </row>
    <row r="90" spans="1:22" ht="20.100000000000001" customHeight="1">
      <c r="A90" s="647"/>
      <c r="B90" s="647"/>
      <c r="C90" s="647"/>
      <c r="E90" s="1796" t="str">
        <f>IF(NDtieude3&lt;&gt;"",Tieude3&amp;": "&amp;NDtieude3,"")</f>
        <v>Hạng mục: Kênh và Công trình trên kênh</v>
      </c>
      <c r="F90" s="1564"/>
      <c r="G90" s="1564"/>
      <c r="H90" s="1564"/>
      <c r="I90" s="1564"/>
      <c r="J90" s="1564"/>
      <c r="K90" s="1564"/>
      <c r="L90" s="1564"/>
      <c r="M90" s="1564"/>
      <c r="N90" s="1564"/>
      <c r="O90" s="1564"/>
      <c r="P90" s="647"/>
      <c r="Q90" s="647"/>
      <c r="R90" s="647"/>
      <c r="S90" s="647"/>
      <c r="T90" s="1261">
        <f>ROW()</f>
        <v>90</v>
      </c>
      <c r="U90" s="647"/>
      <c r="V90" s="647"/>
    </row>
    <row r="91" spans="1:22" ht="20.100000000000001" customHeight="1">
      <c r="A91" s="647"/>
      <c r="B91" s="647"/>
      <c r="C91" s="647"/>
      <c r="E91" s="1796" t="str">
        <f>"Địa điểm xây dựng: "&amp;DDXD</f>
        <v>Địa điểm xây dựng: Huyện Ninh Hải - Tỉnh Ninh Thuận</v>
      </c>
      <c r="F91" s="1564"/>
      <c r="G91" s="1564"/>
      <c r="H91" s="1564"/>
      <c r="I91" s="1564"/>
      <c r="J91" s="1564"/>
      <c r="K91" s="1564"/>
      <c r="L91" s="1564"/>
      <c r="M91" s="1564"/>
      <c r="N91" s="1564"/>
      <c r="O91" s="1564"/>
      <c r="P91" s="647"/>
      <c r="Q91" s="647"/>
      <c r="R91" s="647"/>
      <c r="S91" s="647"/>
      <c r="T91" s="1261">
        <f>ROW()</f>
        <v>91</v>
      </c>
      <c r="U91" s="647"/>
      <c r="V91" s="647"/>
    </row>
    <row r="92" spans="1:22" ht="18.75">
      <c r="A92" s="647"/>
      <c r="B92" s="647"/>
      <c r="C92" s="647"/>
      <c r="D92" s="805"/>
      <c r="P92" s="647"/>
      <c r="Q92" s="647"/>
      <c r="R92" s="647"/>
      <c r="S92" s="647"/>
      <c r="T92" s="647"/>
      <c r="U92" s="647"/>
      <c r="V92" s="647"/>
    </row>
    <row r="93" spans="1:22" ht="31.5" customHeight="1">
      <c r="A93" s="647"/>
      <c r="B93" s="647"/>
      <c r="C93" s="647"/>
      <c r="D93" s="809" t="s">
        <v>21</v>
      </c>
      <c r="E93" s="1810" t="s">
        <v>4446</v>
      </c>
      <c r="F93" s="1810"/>
      <c r="G93" s="1810"/>
      <c r="H93" s="1810"/>
      <c r="I93" s="1810" t="s">
        <v>4447</v>
      </c>
      <c r="J93" s="1810"/>
      <c r="K93" s="1810"/>
      <c r="L93" s="1810" t="s">
        <v>4448</v>
      </c>
      <c r="M93" s="1810"/>
      <c r="N93" s="1810" t="s">
        <v>4449</v>
      </c>
      <c r="O93" s="1810"/>
      <c r="P93" s="647"/>
      <c r="Q93" s="647"/>
      <c r="R93" s="647"/>
      <c r="S93" s="647"/>
      <c r="T93" s="647"/>
      <c r="U93" s="647"/>
      <c r="V93" s="647"/>
    </row>
    <row r="94" spans="1:22" ht="39" customHeight="1">
      <c r="A94" s="647"/>
      <c r="B94" s="647"/>
      <c r="C94" s="647"/>
      <c r="D94" s="810">
        <v>1</v>
      </c>
      <c r="E94" s="1819" t="s">
        <v>4450</v>
      </c>
      <c r="F94" s="1819"/>
      <c r="G94" s="1819"/>
      <c r="H94" s="1819"/>
      <c r="I94" s="1811"/>
      <c r="J94" s="1811"/>
      <c r="K94" s="1811"/>
      <c r="L94" s="1818"/>
      <c r="M94" s="1818"/>
      <c r="N94" s="1818"/>
      <c r="O94" s="1818"/>
      <c r="P94" s="647"/>
      <c r="Q94" s="647"/>
      <c r="R94" s="647"/>
      <c r="S94" s="647"/>
      <c r="T94" s="647"/>
      <c r="U94" s="647"/>
      <c r="V94" s="647"/>
    </row>
    <row r="95" spans="1:22" ht="16.5" customHeight="1">
      <c r="A95" s="647"/>
      <c r="B95" s="647"/>
      <c r="C95" s="647"/>
      <c r="D95" s="811"/>
      <c r="E95" s="1813" t="str">
        <f>" - "&amp;CBGS1</f>
        <v xml:space="preserve"> - Trần Trọng Liêm</v>
      </c>
      <c r="F95" s="1813"/>
      <c r="G95" s="1813"/>
      <c r="H95" s="1813"/>
      <c r="I95" s="1813" t="str">
        <f>" - "&amp;CV_CBGS1</f>
        <v xml:space="preserve"> - Giám sát trưởng</v>
      </c>
      <c r="J95" s="1813"/>
      <c r="K95" s="1813"/>
      <c r="L95" s="1816"/>
      <c r="M95" s="1816"/>
      <c r="N95" s="1816"/>
      <c r="O95" s="1816"/>
      <c r="P95" s="647"/>
      <c r="Q95" s="647"/>
      <c r="R95" s="647"/>
      <c r="S95" s="647"/>
      <c r="T95" s="647"/>
      <c r="U95" s="647"/>
      <c r="V95" s="647"/>
    </row>
    <row r="96" spans="1:22" ht="16.5" customHeight="1">
      <c r="A96" s="647"/>
      <c r="B96" s="647"/>
      <c r="C96" s="647"/>
      <c r="D96" s="811"/>
      <c r="E96" s="1813" t="str">
        <f>" - "&amp;CBGS2</f>
        <v xml:space="preserve"> - Nguyễn Thị Minh</v>
      </c>
      <c r="F96" s="1813"/>
      <c r="G96" s="1813"/>
      <c r="H96" s="1813"/>
      <c r="I96" s="1813" t="str">
        <f>" - "&amp;CV_CBGS2</f>
        <v xml:space="preserve"> - Giám sát viên</v>
      </c>
      <c r="J96" s="1813"/>
      <c r="K96" s="1813"/>
      <c r="L96" s="1816"/>
      <c r="M96" s="1816"/>
      <c r="N96" s="1816"/>
      <c r="O96" s="1816"/>
      <c r="P96" s="647"/>
      <c r="Q96" s="647"/>
      <c r="R96" s="647"/>
      <c r="S96" s="647"/>
      <c r="T96" s="647"/>
      <c r="U96" s="647"/>
      <c r="V96" s="647"/>
    </row>
    <row r="97" spans="1:22" ht="16.5" customHeight="1">
      <c r="A97" s="647"/>
      <c r="B97" s="647"/>
      <c r="C97" s="647"/>
      <c r="D97" s="811"/>
      <c r="E97" s="1813" t="str">
        <f>" - "&amp;CBGS3</f>
        <v xml:space="preserve"> - ………………………..</v>
      </c>
      <c r="F97" s="1813"/>
      <c r="G97" s="1813"/>
      <c r="H97" s="1813"/>
      <c r="I97" s="1813" t="str">
        <f>" - "&amp;CV_CBGS3</f>
        <v xml:space="preserve"> -  …………………</v>
      </c>
      <c r="J97" s="1813"/>
      <c r="K97" s="1813"/>
      <c r="L97" s="1816"/>
      <c r="M97" s="1816"/>
      <c r="N97" s="1816"/>
      <c r="O97" s="1816"/>
      <c r="P97" s="647"/>
      <c r="Q97" s="647"/>
      <c r="R97" s="647"/>
      <c r="S97" s="647"/>
      <c r="T97" s="647"/>
      <c r="U97" s="647"/>
      <c r="V97" s="647"/>
    </row>
    <row r="98" spans="1:22" ht="16.5" customHeight="1">
      <c r="A98" s="647"/>
      <c r="B98" s="647"/>
      <c r="C98" s="647"/>
      <c r="D98" s="812"/>
      <c r="E98" s="1814"/>
      <c r="F98" s="1814"/>
      <c r="G98" s="1814"/>
      <c r="H98" s="1814"/>
      <c r="I98" s="1814"/>
      <c r="J98" s="1814"/>
      <c r="K98" s="1814"/>
      <c r="L98" s="1817"/>
      <c r="M98" s="1817"/>
      <c r="N98" s="1817"/>
      <c r="O98" s="1817"/>
      <c r="P98" s="647"/>
      <c r="Q98" s="647"/>
      <c r="R98" s="647"/>
      <c r="S98" s="647"/>
      <c r="T98" s="647"/>
      <c r="U98" s="647"/>
      <c r="V98" s="647"/>
    </row>
    <row r="99" spans="1:22" ht="42" customHeight="1">
      <c r="A99" s="647"/>
      <c r="B99" s="647"/>
      <c r="C99" s="647"/>
      <c r="D99" s="810">
        <v>2</v>
      </c>
      <c r="E99" s="1815" t="s">
        <v>4452</v>
      </c>
      <c r="F99" s="1815"/>
      <c r="G99" s="1815"/>
      <c r="H99" s="1815"/>
      <c r="I99" s="1811"/>
      <c r="J99" s="1811"/>
      <c r="K99" s="1811"/>
      <c r="L99" s="1818"/>
      <c r="M99" s="1818"/>
      <c r="N99" s="1818"/>
      <c r="O99" s="1818"/>
      <c r="P99" s="647"/>
      <c r="Q99" s="647"/>
      <c r="R99" s="647"/>
      <c r="S99" s="647"/>
      <c r="T99" s="647"/>
      <c r="U99" s="647"/>
      <c r="V99" s="647"/>
    </row>
    <row r="100" spans="1:22" ht="16.5" customHeight="1">
      <c r="A100" s="647"/>
      <c r="B100" s="647"/>
      <c r="C100" s="647"/>
      <c r="D100" s="811"/>
      <c r="E100" s="1813" t="str">
        <f>" - "&amp;KCS1_</f>
        <v xml:space="preserve"> - Nguyễn Văn Hải</v>
      </c>
      <c r="F100" s="1813"/>
      <c r="G100" s="1813"/>
      <c r="H100" s="1813"/>
      <c r="I100" s="1813" t="str">
        <f>" - "&amp;CV_KCS1</f>
        <v xml:space="preserve"> - Cán bộ KCS</v>
      </c>
      <c r="J100" s="1813"/>
      <c r="K100" s="1813"/>
      <c r="L100" s="1816"/>
      <c r="M100" s="1816"/>
      <c r="N100" s="1816"/>
      <c r="O100" s="1816"/>
      <c r="P100" s="647"/>
      <c r="Q100" s="647"/>
      <c r="R100" s="647"/>
      <c r="S100" s="647"/>
      <c r="T100" s="647"/>
      <c r="U100" s="647"/>
      <c r="V100" s="647"/>
    </row>
    <row r="101" spans="1:22" ht="16.5" customHeight="1">
      <c r="A101" s="647"/>
      <c r="B101" s="647"/>
      <c r="C101" s="647"/>
      <c r="D101" s="811"/>
      <c r="E101" s="1813" t="str">
        <f>" - "&amp;CBKT1</f>
        <v xml:space="preserve"> - Hoàng Đình Tảng</v>
      </c>
      <c r="F101" s="1813"/>
      <c r="G101" s="1813"/>
      <c r="H101" s="1813"/>
      <c r="I101" s="1813" t="str">
        <f>" - "&amp;CV_CBKT1</f>
        <v xml:space="preserve"> - Chỉ huy công trường</v>
      </c>
      <c r="J101" s="1813"/>
      <c r="K101" s="1813"/>
      <c r="L101" s="1816"/>
      <c r="M101" s="1816"/>
      <c r="N101" s="1816"/>
      <c r="O101" s="1816"/>
      <c r="P101" s="647"/>
      <c r="Q101" s="647"/>
      <c r="R101" s="647"/>
      <c r="S101" s="647"/>
      <c r="T101" s="647"/>
      <c r="U101" s="647"/>
      <c r="V101" s="647"/>
    </row>
    <row r="102" spans="1:22" ht="16.5" customHeight="1">
      <c r="A102" s="647"/>
      <c r="B102" s="647"/>
      <c r="C102" s="647"/>
      <c r="D102" s="811"/>
      <c r="E102" s="1813" t="str">
        <f>" - "&amp;CBKT2</f>
        <v xml:space="preserve"> - Lê Thiên Phương</v>
      </c>
      <c r="F102" s="1813"/>
      <c r="G102" s="1813"/>
      <c r="H102" s="1813"/>
      <c r="I102" s="1813" t="str">
        <f>" - "&amp;CV_CBKT2</f>
        <v xml:space="preserve"> - Kỹ thuật thi công</v>
      </c>
      <c r="J102" s="1813"/>
      <c r="K102" s="1813"/>
      <c r="L102" s="1816"/>
      <c r="M102" s="1816"/>
      <c r="N102" s="1816"/>
      <c r="O102" s="1816"/>
      <c r="P102" s="647"/>
      <c r="Q102" s="647"/>
      <c r="R102" s="647"/>
      <c r="S102" s="647"/>
      <c r="T102" s="647"/>
      <c r="U102" s="647"/>
      <c r="V102" s="647"/>
    </row>
    <row r="103" spans="1:22" ht="16.5" customHeight="1">
      <c r="A103" s="647"/>
      <c r="B103" s="647"/>
      <c r="C103" s="647"/>
      <c r="D103" s="811"/>
      <c r="E103" s="1813" t="str">
        <f>" - "&amp;CBKT3</f>
        <v xml:space="preserve"> - ………………………..</v>
      </c>
      <c r="F103" s="1813"/>
      <c r="G103" s="1813"/>
      <c r="H103" s="1813"/>
      <c r="I103" s="1813" t="str">
        <f>" - "&amp;CV_CBKT3</f>
        <v xml:space="preserve"> - ………………………..</v>
      </c>
      <c r="J103" s="1813"/>
      <c r="K103" s="1813"/>
      <c r="L103" s="1816"/>
      <c r="M103" s="1816"/>
      <c r="N103" s="1816"/>
      <c r="O103" s="1816"/>
      <c r="P103" s="647"/>
      <c r="Q103" s="647"/>
      <c r="R103" s="647"/>
      <c r="S103" s="647"/>
      <c r="T103" s="647"/>
      <c r="U103" s="647"/>
      <c r="V103" s="647"/>
    </row>
    <row r="104" spans="1:22" ht="16.5" customHeight="1">
      <c r="A104" s="647"/>
      <c r="B104" s="647"/>
      <c r="C104" s="647"/>
      <c r="D104" s="812"/>
      <c r="E104" s="1820"/>
      <c r="F104" s="1820"/>
      <c r="G104" s="1820"/>
      <c r="H104" s="1820"/>
      <c r="I104" s="1821"/>
      <c r="J104" s="1821"/>
      <c r="K104" s="1821"/>
      <c r="L104" s="1817"/>
      <c r="M104" s="1817"/>
      <c r="N104" s="1817"/>
      <c r="O104" s="1817"/>
      <c r="P104" s="647"/>
      <c r="Q104" s="647"/>
      <c r="R104" s="647"/>
      <c r="S104" s="647"/>
      <c r="T104" s="647"/>
      <c r="U104" s="647"/>
      <c r="V104" s="647"/>
    </row>
    <row r="105" spans="1:22" ht="46.5" customHeight="1">
      <c r="A105" s="647"/>
      <c r="B105" s="647"/>
      <c r="C105" s="647"/>
      <c r="D105" s="810">
        <v>3</v>
      </c>
      <c r="E105" s="1823" t="s">
        <v>4451</v>
      </c>
      <c r="F105" s="1823"/>
      <c r="G105" s="1823"/>
      <c r="H105" s="1823"/>
      <c r="I105" s="1818"/>
      <c r="J105" s="1818"/>
      <c r="K105" s="1818"/>
      <c r="L105" s="1818"/>
      <c r="M105" s="1818"/>
      <c r="N105" s="1818"/>
      <c r="O105" s="1818"/>
      <c r="P105" s="647"/>
      <c r="Q105" s="647"/>
      <c r="R105" s="647"/>
      <c r="S105" s="647"/>
      <c r="T105" s="647"/>
      <c r="U105" s="647"/>
      <c r="V105" s="647"/>
    </row>
    <row r="106" spans="1:22" ht="16.5" customHeight="1">
      <c r="A106" s="647"/>
      <c r="B106" s="647"/>
      <c r="C106" s="647"/>
      <c r="D106" s="811"/>
      <c r="E106" s="1824"/>
      <c r="F106" s="1824"/>
      <c r="G106" s="1824"/>
      <c r="H106" s="1824"/>
      <c r="I106" s="1816"/>
      <c r="J106" s="1816"/>
      <c r="K106" s="1816"/>
      <c r="L106" s="1816"/>
      <c r="M106" s="1816"/>
      <c r="N106" s="1816"/>
      <c r="O106" s="1816"/>
      <c r="P106" s="647"/>
      <c r="Q106" s="647"/>
      <c r="R106" s="647"/>
      <c r="S106" s="647"/>
      <c r="T106" s="647"/>
      <c r="U106" s="647"/>
      <c r="V106" s="647"/>
    </row>
    <row r="107" spans="1:22" ht="16.5" customHeight="1">
      <c r="A107" s="647"/>
      <c r="B107" s="647"/>
      <c r="C107" s="647"/>
      <c r="D107" s="811"/>
      <c r="E107" s="1824"/>
      <c r="F107" s="1824"/>
      <c r="G107" s="1824"/>
      <c r="H107" s="1824"/>
      <c r="I107" s="1816"/>
      <c r="J107" s="1816"/>
      <c r="K107" s="1816"/>
      <c r="L107" s="1816"/>
      <c r="M107" s="1816"/>
      <c r="N107" s="1816"/>
      <c r="O107" s="1816"/>
      <c r="P107" s="647"/>
      <c r="Q107" s="647"/>
      <c r="R107" s="647"/>
      <c r="S107" s="647"/>
      <c r="T107" s="647"/>
      <c r="U107" s="647"/>
      <c r="V107" s="647"/>
    </row>
    <row r="108" spans="1:22" ht="16.5" customHeight="1">
      <c r="A108" s="647"/>
      <c r="B108" s="647"/>
      <c r="C108" s="647"/>
      <c r="D108" s="812"/>
      <c r="E108" s="1825"/>
      <c r="F108" s="1825"/>
      <c r="G108" s="1825"/>
      <c r="H108" s="1825"/>
      <c r="I108" s="1817"/>
      <c r="J108" s="1817"/>
      <c r="K108" s="1817"/>
      <c r="L108" s="1817"/>
      <c r="M108" s="1817"/>
      <c r="N108" s="1817"/>
      <c r="O108" s="1817"/>
      <c r="P108" s="647"/>
      <c r="Q108" s="647"/>
      <c r="R108" s="647"/>
      <c r="S108" s="647"/>
      <c r="T108" s="647"/>
      <c r="U108" s="647"/>
      <c r="V108" s="647"/>
    </row>
    <row r="109" spans="1:22" ht="16.5" hidden="1" customHeight="1">
      <c r="A109" s="647"/>
      <c r="B109" s="647"/>
      <c r="C109" s="647"/>
      <c r="D109" s="811"/>
      <c r="E109" s="1824"/>
      <c r="F109" s="1824"/>
      <c r="G109" s="1824"/>
      <c r="H109" s="1824"/>
      <c r="I109" s="1816"/>
      <c r="J109" s="1816"/>
      <c r="K109" s="1816"/>
      <c r="L109" s="1816"/>
      <c r="M109" s="1816"/>
      <c r="N109" s="1816"/>
      <c r="O109" s="1816"/>
      <c r="P109" s="647"/>
      <c r="Q109" s="647"/>
      <c r="R109" s="647"/>
      <c r="S109" s="647"/>
      <c r="T109" s="647"/>
      <c r="U109" s="647"/>
      <c r="V109" s="647"/>
    </row>
    <row r="110" spans="1:22" ht="16.5" customHeight="1">
      <c r="A110" s="647"/>
      <c r="B110" s="647"/>
      <c r="C110" s="647"/>
      <c r="D110" s="805"/>
      <c r="P110" s="647"/>
      <c r="Q110" s="647"/>
      <c r="R110" s="647"/>
      <c r="S110" s="647"/>
      <c r="T110" s="647"/>
      <c r="U110" s="647"/>
      <c r="V110" s="647"/>
    </row>
    <row r="111" spans="1:22" ht="16.5" customHeight="1">
      <c r="A111" s="647"/>
      <c r="B111" s="647"/>
      <c r="C111" s="647"/>
      <c r="D111" s="647"/>
      <c r="E111" s="647"/>
      <c r="F111" s="647"/>
      <c r="G111" s="647"/>
      <c r="H111" s="647"/>
      <c r="I111" s="647"/>
      <c r="J111" s="647"/>
      <c r="K111" s="647"/>
      <c r="L111" s="647"/>
      <c r="M111" s="647"/>
      <c r="N111" s="647"/>
      <c r="O111" s="647"/>
      <c r="P111" s="647"/>
      <c r="Q111" s="647"/>
      <c r="R111" s="647"/>
      <c r="S111" s="647"/>
      <c r="T111" s="647"/>
      <c r="U111" s="647"/>
      <c r="V111" s="647"/>
    </row>
    <row r="112" spans="1:22" ht="16.5" customHeight="1">
      <c r="A112" s="647"/>
      <c r="B112" s="647"/>
      <c r="C112" s="647"/>
      <c r="D112" s="805"/>
      <c r="P112" s="647"/>
      <c r="Q112" s="647"/>
      <c r="R112" s="647"/>
      <c r="S112" s="647"/>
      <c r="T112" s="647"/>
      <c r="U112" s="647"/>
      <c r="V112" s="647"/>
    </row>
    <row r="113" spans="1:22" ht="16.5" customHeight="1">
      <c r="A113" s="647"/>
      <c r="B113" s="647"/>
      <c r="C113" s="647"/>
      <c r="D113" s="805"/>
      <c r="P113" s="647"/>
      <c r="Q113" s="647"/>
      <c r="R113" s="647"/>
      <c r="S113" s="647"/>
      <c r="T113" s="647"/>
      <c r="U113" s="647"/>
      <c r="V113" s="647"/>
    </row>
    <row r="114" spans="1:22" ht="16.5" customHeight="1">
      <c r="A114" s="647"/>
      <c r="B114" s="647"/>
      <c r="C114" s="647"/>
      <c r="D114" s="805"/>
      <c r="P114" s="647"/>
      <c r="Q114" s="647"/>
      <c r="R114" s="647"/>
      <c r="S114" s="647"/>
      <c r="T114" s="647"/>
      <c r="U114" s="647"/>
      <c r="V114" s="647"/>
    </row>
    <row r="115" spans="1:22" ht="16.5" customHeight="1">
      <c r="A115" s="647"/>
      <c r="B115" s="647"/>
      <c r="C115" s="647"/>
      <c r="D115" s="805"/>
      <c r="P115" s="647"/>
      <c r="Q115" s="647"/>
      <c r="R115" s="647"/>
      <c r="S115" s="647"/>
      <c r="T115" s="647"/>
      <c r="U115" s="647"/>
      <c r="V115" s="647"/>
    </row>
    <row r="116" spans="1:22" ht="16.5" customHeight="1">
      <c r="A116" s="647"/>
      <c r="B116" s="647"/>
      <c r="C116" s="647"/>
      <c r="D116" s="805"/>
      <c r="P116" s="647"/>
      <c r="Q116" s="647"/>
      <c r="R116" s="647"/>
      <c r="S116" s="647"/>
      <c r="T116" s="647"/>
      <c r="U116" s="647"/>
      <c r="V116" s="647"/>
    </row>
    <row r="117" spans="1:22" ht="16.5" customHeight="1">
      <c r="A117" s="647"/>
      <c r="B117" s="647"/>
      <c r="C117" s="647"/>
      <c r="D117" s="805"/>
      <c r="P117" s="647"/>
      <c r="Q117" s="647"/>
      <c r="R117" s="647"/>
      <c r="S117" s="647"/>
      <c r="T117" s="647"/>
      <c r="U117" s="647"/>
      <c r="V117" s="647"/>
    </row>
    <row r="118" spans="1:22" ht="16.5" customHeight="1">
      <c r="A118" s="647"/>
      <c r="B118" s="647"/>
      <c r="C118" s="647"/>
      <c r="D118" s="805"/>
      <c r="P118" s="647"/>
      <c r="Q118" s="647"/>
      <c r="R118" s="647"/>
      <c r="S118" s="647"/>
      <c r="T118" s="647"/>
      <c r="U118" s="647"/>
      <c r="V118" s="647"/>
    </row>
    <row r="119" spans="1:22" ht="16.5" customHeight="1">
      <c r="A119" s="647"/>
      <c r="B119" s="647"/>
      <c r="C119" s="647"/>
      <c r="D119" s="805"/>
      <c r="P119" s="647"/>
      <c r="Q119" s="647"/>
      <c r="R119" s="647"/>
      <c r="S119" s="647"/>
      <c r="T119" s="647"/>
      <c r="U119" s="647"/>
      <c r="V119" s="647"/>
    </row>
    <row r="120" spans="1:22" ht="16.5" customHeight="1">
      <c r="A120" s="647"/>
      <c r="B120" s="647"/>
      <c r="C120" s="647"/>
      <c r="D120" s="805"/>
      <c r="P120" s="647"/>
      <c r="Q120" s="647"/>
      <c r="R120" s="647"/>
      <c r="S120" s="647"/>
      <c r="T120" s="647"/>
      <c r="U120" s="647"/>
      <c r="V120" s="647"/>
    </row>
    <row r="121" spans="1:22" ht="16.5" customHeight="1">
      <c r="A121" s="647"/>
      <c r="B121" s="647"/>
      <c r="C121" s="647"/>
      <c r="D121" s="805"/>
      <c r="P121" s="647"/>
      <c r="Q121" s="647"/>
      <c r="R121" s="647"/>
      <c r="S121" s="647"/>
      <c r="T121" s="647"/>
      <c r="U121" s="647"/>
      <c r="V121" s="647"/>
    </row>
    <row r="122" spans="1:22" ht="16.5" customHeight="1">
      <c r="A122" s="647"/>
      <c r="B122" s="647"/>
      <c r="C122" s="647"/>
      <c r="D122" s="805"/>
      <c r="P122" s="647"/>
      <c r="Q122" s="647"/>
      <c r="R122" s="647"/>
      <c r="S122" s="647"/>
      <c r="T122" s="647"/>
      <c r="U122" s="647"/>
      <c r="V122" s="647"/>
    </row>
    <row r="123" spans="1:22" ht="16.5" customHeight="1">
      <c r="A123" s="647"/>
      <c r="B123" s="647"/>
      <c r="C123" s="647"/>
      <c r="D123" s="805"/>
      <c r="P123" s="647"/>
      <c r="Q123" s="647"/>
      <c r="R123" s="647"/>
      <c r="S123" s="647"/>
      <c r="T123" s="647"/>
      <c r="U123" s="647"/>
      <c r="V123" s="647"/>
    </row>
    <row r="124" spans="1:22" ht="16.5" customHeight="1">
      <c r="A124" s="647"/>
      <c r="B124" s="647"/>
      <c r="C124" s="647"/>
      <c r="D124" s="805"/>
      <c r="P124" s="647"/>
      <c r="Q124" s="647"/>
      <c r="R124" s="647"/>
      <c r="S124" s="647"/>
      <c r="T124" s="647"/>
      <c r="U124" s="647"/>
      <c r="V124" s="647"/>
    </row>
    <row r="125" spans="1:22" ht="16.5" customHeight="1">
      <c r="A125" s="647"/>
      <c r="B125" s="647"/>
      <c r="C125" s="647"/>
      <c r="D125" s="805"/>
      <c r="P125" s="647"/>
      <c r="Q125" s="647"/>
      <c r="R125" s="647"/>
      <c r="S125" s="647"/>
      <c r="T125" s="647"/>
      <c r="U125" s="647"/>
      <c r="V125" s="647"/>
    </row>
    <row r="126" spans="1:22" ht="18.75">
      <c r="A126" s="647"/>
      <c r="B126" s="647"/>
      <c r="C126" s="647"/>
      <c r="D126" s="805"/>
      <c r="P126" s="647"/>
      <c r="Q126" s="647"/>
      <c r="R126" s="647"/>
      <c r="S126" s="647"/>
      <c r="T126" s="647"/>
      <c r="U126" s="647"/>
      <c r="V126" s="647"/>
    </row>
    <row r="127" spans="1:22" ht="16.5" customHeight="1">
      <c r="A127" s="647"/>
      <c r="B127" s="647"/>
      <c r="C127" s="647"/>
      <c r="D127" s="805"/>
      <c r="P127" s="647"/>
      <c r="Q127" s="647"/>
      <c r="R127" s="647"/>
      <c r="S127" s="647"/>
      <c r="T127" s="647"/>
      <c r="U127" s="647"/>
      <c r="V127" s="647"/>
    </row>
    <row r="128" spans="1:22" ht="16.5" customHeight="1">
      <c r="A128" s="647"/>
      <c r="B128" s="647"/>
      <c r="C128" s="647"/>
      <c r="D128" s="805"/>
      <c r="P128" s="647"/>
      <c r="Q128" s="647"/>
      <c r="R128" s="647"/>
      <c r="S128" s="647"/>
      <c r="T128" s="647"/>
      <c r="U128" s="647"/>
      <c r="V128" s="647"/>
    </row>
    <row r="129" spans="1:22" ht="16.5" customHeight="1">
      <c r="A129" s="647"/>
      <c r="B129" s="647"/>
      <c r="C129" s="647"/>
      <c r="D129" s="805"/>
      <c r="P129" s="647"/>
      <c r="Q129" s="647"/>
      <c r="R129" s="647"/>
      <c r="S129" s="647"/>
      <c r="T129" s="647"/>
      <c r="U129" s="647"/>
      <c r="V129" s="647"/>
    </row>
    <row r="130" spans="1:22" ht="16.5" customHeight="1">
      <c r="A130" s="647"/>
      <c r="B130" s="647"/>
      <c r="C130" s="647"/>
      <c r="D130" s="805"/>
      <c r="P130" s="647"/>
      <c r="Q130" s="647"/>
      <c r="R130" s="647"/>
      <c r="S130" s="647"/>
      <c r="T130" s="647"/>
      <c r="U130" s="647"/>
      <c r="V130" s="647"/>
    </row>
    <row r="131" spans="1:22" ht="16.5" customHeight="1">
      <c r="A131" s="647"/>
      <c r="B131" s="647"/>
      <c r="C131" s="647"/>
      <c r="D131" s="805"/>
      <c r="P131" s="647"/>
      <c r="Q131" s="647"/>
      <c r="R131" s="647"/>
      <c r="S131" s="647"/>
      <c r="T131" s="647"/>
      <c r="U131" s="647"/>
      <c r="V131" s="647"/>
    </row>
    <row r="132" spans="1:22" ht="16.5" customHeight="1">
      <c r="A132" s="647"/>
      <c r="B132" s="647"/>
      <c r="C132" s="647"/>
      <c r="D132" s="805"/>
      <c r="P132" s="647"/>
      <c r="Q132" s="647"/>
      <c r="R132" s="647"/>
      <c r="S132" s="647"/>
      <c r="T132" s="647"/>
      <c r="U132" s="647"/>
      <c r="V132" s="647"/>
    </row>
    <row r="133" spans="1:22" ht="37.5" customHeight="1">
      <c r="A133" s="647"/>
      <c r="B133" s="647"/>
      <c r="C133" s="647"/>
      <c r="D133" s="1822" t="s">
        <v>4453</v>
      </c>
      <c r="E133" s="1822"/>
      <c r="F133" s="1822"/>
      <c r="G133" s="1822"/>
      <c r="H133" s="1822"/>
      <c r="I133" s="1822"/>
      <c r="J133" s="1822"/>
      <c r="K133" s="1822"/>
      <c r="L133" s="1822"/>
      <c r="M133" s="1822"/>
      <c r="N133" s="1822"/>
      <c r="O133" s="1822"/>
      <c r="P133" s="647"/>
      <c r="Q133" s="647"/>
      <c r="R133" s="647"/>
      <c r="S133" s="647"/>
      <c r="T133" s="647"/>
      <c r="U133" s="647"/>
      <c r="V133" s="647"/>
    </row>
    <row r="134" spans="1:22" ht="16.5" customHeight="1">
      <c r="A134" s="647"/>
      <c r="B134" s="647"/>
      <c r="C134" s="647"/>
      <c r="D134" s="805"/>
      <c r="P134" s="647"/>
      <c r="Q134" s="647"/>
      <c r="R134" s="647"/>
      <c r="S134" s="647"/>
      <c r="T134" s="647"/>
      <c r="U134" s="647"/>
      <c r="V134" s="647"/>
    </row>
    <row r="135" spans="1:22" ht="16.5" customHeight="1">
      <c r="A135" s="647"/>
      <c r="B135" s="647"/>
      <c r="C135" s="647"/>
      <c r="D135" s="805"/>
      <c r="P135" s="647"/>
      <c r="Q135" s="647"/>
      <c r="R135" s="647"/>
      <c r="S135" s="647"/>
      <c r="T135" s="647"/>
      <c r="U135" s="647"/>
      <c r="V135" s="647"/>
    </row>
    <row r="136" spans="1:22" ht="16.5" customHeight="1">
      <c r="A136" s="647"/>
      <c r="B136" s="647"/>
      <c r="C136" s="647"/>
      <c r="D136" s="805"/>
      <c r="P136" s="647"/>
      <c r="Q136" s="647"/>
      <c r="R136" s="647"/>
      <c r="S136" s="647"/>
      <c r="T136" s="647"/>
      <c r="U136" s="647"/>
      <c r="V136" s="647"/>
    </row>
    <row r="137" spans="1:22" ht="16.5" customHeight="1">
      <c r="A137" s="647"/>
      <c r="B137" s="647"/>
      <c r="C137" s="647"/>
      <c r="D137" s="805"/>
      <c r="P137" s="647"/>
      <c r="Q137" s="647"/>
      <c r="R137" s="647"/>
      <c r="S137" s="647"/>
      <c r="T137" s="647"/>
      <c r="U137" s="647"/>
      <c r="V137" s="647"/>
    </row>
    <row r="138" spans="1:22" ht="16.5" customHeight="1">
      <c r="A138" s="647"/>
      <c r="B138" s="647"/>
      <c r="C138" s="647"/>
      <c r="P138" s="647"/>
      <c r="Q138" s="647"/>
      <c r="R138" s="647"/>
      <c r="S138" s="647"/>
      <c r="T138" s="647"/>
      <c r="U138" s="647"/>
      <c r="V138" s="647"/>
    </row>
    <row r="139" spans="1:22" ht="16.5" customHeight="1">
      <c r="A139" s="647"/>
      <c r="B139" s="647"/>
      <c r="C139" s="647"/>
      <c r="P139" s="647"/>
      <c r="Q139" s="647"/>
      <c r="R139" s="647"/>
      <c r="S139" s="647"/>
      <c r="T139" s="647"/>
      <c r="U139" s="647"/>
      <c r="V139" s="647"/>
    </row>
    <row r="140" spans="1:22" ht="16.5" customHeight="1">
      <c r="A140" s="647"/>
      <c r="B140" s="647"/>
      <c r="C140" s="647"/>
      <c r="P140" s="647"/>
      <c r="Q140" s="647"/>
      <c r="R140" s="647"/>
      <c r="S140" s="647"/>
      <c r="T140" s="647"/>
      <c r="U140" s="647"/>
      <c r="V140" s="647"/>
    </row>
    <row r="141" spans="1:22" ht="16.5" customHeight="1">
      <c r="A141" s="647"/>
      <c r="B141" s="647"/>
      <c r="C141" s="647"/>
      <c r="P141" s="647"/>
      <c r="Q141" s="647"/>
      <c r="R141" s="647"/>
      <c r="S141" s="647"/>
      <c r="T141" s="647"/>
      <c r="U141" s="647"/>
      <c r="V141" s="647"/>
    </row>
    <row r="142" spans="1:22" ht="16.5" customHeight="1">
      <c r="A142" s="647"/>
      <c r="B142" s="647"/>
      <c r="C142" s="647"/>
      <c r="P142" s="647"/>
      <c r="Q142" s="647"/>
      <c r="R142" s="647"/>
      <c r="S142" s="647"/>
      <c r="T142" s="647"/>
      <c r="U142" s="647"/>
      <c r="V142" s="647"/>
    </row>
    <row r="143" spans="1:22" ht="16.5" customHeight="1">
      <c r="A143" s="647"/>
      <c r="B143" s="647"/>
      <c r="C143" s="647"/>
      <c r="P143" s="647"/>
      <c r="Q143" s="647"/>
      <c r="R143" s="647"/>
      <c r="S143" s="647"/>
      <c r="T143" s="647"/>
      <c r="U143" s="647"/>
      <c r="V143" s="647"/>
    </row>
    <row r="144" spans="1:22" ht="16.5" customHeight="1">
      <c r="A144" s="647"/>
      <c r="B144" s="647"/>
      <c r="C144" s="647"/>
      <c r="P144" s="647"/>
      <c r="Q144" s="647"/>
      <c r="R144" s="647"/>
      <c r="S144" s="647"/>
      <c r="T144" s="647"/>
      <c r="U144" s="647"/>
      <c r="V144" s="647"/>
    </row>
    <row r="145" spans="1:22" ht="16.5" customHeight="1">
      <c r="A145" s="647"/>
      <c r="B145" s="647"/>
      <c r="C145" s="647"/>
      <c r="P145" s="647"/>
      <c r="Q145" s="647"/>
      <c r="R145" s="647"/>
      <c r="S145" s="647"/>
      <c r="T145" s="647"/>
      <c r="U145" s="647"/>
      <c r="V145" s="647"/>
    </row>
    <row r="146" spans="1:22" ht="16.5" customHeight="1">
      <c r="A146" s="647"/>
      <c r="B146" s="647"/>
      <c r="C146" s="647"/>
      <c r="P146" s="647"/>
      <c r="Q146" s="647"/>
      <c r="R146" s="647"/>
      <c r="S146" s="647"/>
      <c r="T146" s="647"/>
      <c r="U146" s="647"/>
      <c r="V146" s="647"/>
    </row>
    <row r="147" spans="1:22" ht="16.5" customHeight="1">
      <c r="A147" s="647"/>
      <c r="B147" s="647"/>
      <c r="C147" s="647"/>
      <c r="P147" s="647"/>
      <c r="Q147" s="647"/>
      <c r="R147" s="647"/>
      <c r="S147" s="647"/>
      <c r="T147" s="647"/>
      <c r="U147" s="647"/>
      <c r="V147" s="647"/>
    </row>
    <row r="148" spans="1:22" ht="16.5" customHeight="1">
      <c r="A148" s="647"/>
      <c r="B148" s="647"/>
      <c r="C148" s="647"/>
      <c r="P148" s="647"/>
      <c r="Q148" s="647"/>
      <c r="R148" s="647"/>
      <c r="S148" s="647"/>
      <c r="T148" s="647"/>
      <c r="U148" s="647"/>
      <c r="V148" s="647"/>
    </row>
    <row r="149" spans="1:22" ht="16.5" customHeight="1">
      <c r="A149" s="647"/>
      <c r="B149" s="647"/>
      <c r="C149" s="647"/>
      <c r="P149" s="647"/>
      <c r="Q149" s="647"/>
      <c r="R149" s="647"/>
      <c r="S149" s="647"/>
      <c r="T149" s="647"/>
      <c r="U149" s="647"/>
      <c r="V149" s="647"/>
    </row>
    <row r="150" spans="1:22" ht="16.5" customHeight="1">
      <c r="A150" s="647"/>
      <c r="B150" s="647"/>
      <c r="C150" s="647"/>
      <c r="P150" s="647"/>
      <c r="Q150" s="647"/>
      <c r="R150" s="647"/>
      <c r="S150" s="647"/>
      <c r="T150" s="647"/>
      <c r="U150" s="647"/>
      <c r="V150" s="647"/>
    </row>
    <row r="151" spans="1:22" ht="16.5" customHeight="1">
      <c r="A151" s="647"/>
      <c r="B151" s="647"/>
      <c r="C151" s="647"/>
      <c r="P151" s="647"/>
      <c r="Q151" s="647"/>
      <c r="R151" s="647"/>
      <c r="S151" s="647"/>
      <c r="T151" s="647"/>
      <c r="U151" s="647"/>
      <c r="V151" s="647"/>
    </row>
    <row r="152" spans="1:22" ht="16.5" customHeight="1">
      <c r="A152" s="647"/>
      <c r="B152" s="647"/>
      <c r="C152" s="647"/>
      <c r="P152" s="647"/>
      <c r="Q152" s="647"/>
      <c r="R152" s="647"/>
      <c r="S152" s="647"/>
      <c r="T152" s="647"/>
      <c r="U152" s="647"/>
      <c r="V152" s="647"/>
    </row>
    <row r="153" spans="1:22" ht="16.5" customHeight="1">
      <c r="A153" s="647"/>
      <c r="B153" s="647"/>
      <c r="C153" s="647"/>
      <c r="P153" s="647"/>
      <c r="Q153" s="647"/>
      <c r="R153" s="647"/>
      <c r="S153" s="647"/>
      <c r="T153" s="647"/>
      <c r="U153" s="647"/>
      <c r="V153" s="647"/>
    </row>
    <row r="154" spans="1:22" ht="16.5" customHeight="1">
      <c r="A154" s="647"/>
      <c r="B154" s="647"/>
      <c r="C154" s="647"/>
      <c r="P154" s="647"/>
      <c r="Q154" s="647"/>
      <c r="R154" s="647"/>
      <c r="S154" s="647"/>
      <c r="T154" s="647"/>
      <c r="U154" s="647"/>
      <c r="V154" s="647"/>
    </row>
    <row r="155" spans="1:22" ht="16.5" customHeight="1">
      <c r="A155" s="647"/>
      <c r="B155" s="647"/>
      <c r="C155" s="647"/>
      <c r="P155" s="647"/>
      <c r="Q155" s="647"/>
      <c r="R155" s="647"/>
      <c r="S155" s="647"/>
      <c r="T155" s="647"/>
      <c r="U155" s="647"/>
      <c r="V155" s="647"/>
    </row>
    <row r="156" spans="1:22" ht="16.5" customHeight="1">
      <c r="A156" s="647"/>
      <c r="B156" s="647"/>
      <c r="C156" s="647"/>
      <c r="P156" s="647"/>
      <c r="Q156" s="647"/>
      <c r="R156" s="647"/>
      <c r="S156" s="647"/>
      <c r="T156" s="647"/>
      <c r="U156" s="647"/>
      <c r="V156" s="647"/>
    </row>
    <row r="157" spans="1:22" ht="16.5" customHeight="1">
      <c r="A157" s="647"/>
      <c r="B157" s="647"/>
      <c r="C157" s="647"/>
      <c r="P157" s="647"/>
      <c r="Q157" s="647"/>
      <c r="R157" s="647"/>
      <c r="S157" s="647"/>
      <c r="T157" s="647"/>
      <c r="U157" s="647"/>
      <c r="V157" s="647"/>
    </row>
    <row r="158" spans="1:22" ht="16.5" customHeight="1">
      <c r="A158" s="647"/>
      <c r="B158" s="647"/>
      <c r="C158" s="647"/>
      <c r="P158" s="647"/>
      <c r="Q158" s="647"/>
      <c r="R158" s="647"/>
      <c r="S158" s="647"/>
      <c r="T158" s="647"/>
      <c r="U158" s="647"/>
      <c r="V158" s="647"/>
    </row>
    <row r="159" spans="1:22" ht="16.5" customHeight="1">
      <c r="A159" s="647"/>
      <c r="B159" s="647"/>
      <c r="C159" s="647"/>
      <c r="D159" s="647"/>
      <c r="E159" s="647"/>
      <c r="F159" s="647"/>
      <c r="G159" s="647"/>
      <c r="H159" s="647"/>
      <c r="I159" s="647"/>
      <c r="J159" s="647"/>
      <c r="K159" s="647"/>
      <c r="L159" s="647"/>
      <c r="M159" s="647"/>
      <c r="N159" s="647"/>
      <c r="O159" s="647"/>
      <c r="P159" s="647"/>
      <c r="Q159" s="647"/>
      <c r="R159" s="647"/>
      <c r="S159" s="647"/>
      <c r="T159" s="647"/>
      <c r="U159" s="647"/>
      <c r="V159" s="647"/>
    </row>
    <row r="160" spans="1:22" ht="16.5" customHeight="1">
      <c r="A160" s="647"/>
      <c r="B160" s="647"/>
      <c r="C160" s="647"/>
      <c r="D160" s="647"/>
      <c r="E160" s="647"/>
      <c r="F160" s="647"/>
      <c r="G160" s="647"/>
      <c r="H160" s="647"/>
      <c r="I160" s="647"/>
      <c r="J160" s="647"/>
      <c r="K160" s="647"/>
      <c r="L160" s="647"/>
      <c r="M160" s="647"/>
      <c r="N160" s="647"/>
      <c r="O160" s="647"/>
      <c r="P160" s="647"/>
      <c r="Q160" s="647"/>
      <c r="R160" s="647"/>
      <c r="S160" s="647"/>
      <c r="T160" s="647"/>
      <c r="U160" s="647"/>
      <c r="V160" s="647"/>
    </row>
    <row r="161" spans="1:22" ht="16.5" customHeight="1">
      <c r="A161" s="647"/>
      <c r="B161" s="647"/>
      <c r="C161" s="647"/>
      <c r="D161" s="647"/>
      <c r="E161" s="647"/>
      <c r="F161" s="647"/>
      <c r="G161" s="647"/>
      <c r="H161" s="647"/>
      <c r="I161" s="647"/>
      <c r="J161" s="647"/>
      <c r="K161" s="647"/>
      <c r="L161" s="647"/>
      <c r="M161" s="647"/>
      <c r="N161" s="647"/>
      <c r="O161" s="647"/>
      <c r="P161" s="647"/>
      <c r="Q161" s="647"/>
      <c r="R161" s="647"/>
      <c r="S161" s="647"/>
      <c r="T161" s="647"/>
      <c r="U161" s="647"/>
      <c r="V161" s="647"/>
    </row>
  </sheetData>
  <mergeCells count="111">
    <mergeCell ref="D133:O133"/>
    <mergeCell ref="N105:O105"/>
    <mergeCell ref="N106:O106"/>
    <mergeCell ref="N107:O107"/>
    <mergeCell ref="N108:O108"/>
    <mergeCell ref="N109:O109"/>
    <mergeCell ref="L105:M105"/>
    <mergeCell ref="L106:M106"/>
    <mergeCell ref="L107:M107"/>
    <mergeCell ref="L108:M108"/>
    <mergeCell ref="L109:M109"/>
    <mergeCell ref="I105:K105"/>
    <mergeCell ref="I106:K106"/>
    <mergeCell ref="I107:K107"/>
    <mergeCell ref="I108:K108"/>
    <mergeCell ref="I109:K109"/>
    <mergeCell ref="E105:H105"/>
    <mergeCell ref="E106:H106"/>
    <mergeCell ref="E107:H107"/>
    <mergeCell ref="E108:H108"/>
    <mergeCell ref="E109:H109"/>
    <mergeCell ref="N100:O100"/>
    <mergeCell ref="N101:O101"/>
    <mergeCell ref="N102:O102"/>
    <mergeCell ref="N103:O103"/>
    <mergeCell ref="N104:O104"/>
    <mergeCell ref="I104:K104"/>
    <mergeCell ref="L99:M99"/>
    <mergeCell ref="L100:M100"/>
    <mergeCell ref="L101:M101"/>
    <mergeCell ref="L102:M102"/>
    <mergeCell ref="L103:M103"/>
    <mergeCell ref="L104:M104"/>
    <mergeCell ref="E100:H100"/>
    <mergeCell ref="E101:H101"/>
    <mergeCell ref="E102:H102"/>
    <mergeCell ref="E103:H103"/>
    <mergeCell ref="E104:H104"/>
    <mergeCell ref="I99:K99"/>
    <mergeCell ref="I100:K100"/>
    <mergeCell ref="I101:K101"/>
    <mergeCell ref="I102:K102"/>
    <mergeCell ref="I103:K103"/>
    <mergeCell ref="E95:H95"/>
    <mergeCell ref="E96:H96"/>
    <mergeCell ref="E97:H97"/>
    <mergeCell ref="E98:H98"/>
    <mergeCell ref="E99:H99"/>
    <mergeCell ref="L97:M97"/>
    <mergeCell ref="L98:M98"/>
    <mergeCell ref="N93:O93"/>
    <mergeCell ref="N95:O95"/>
    <mergeCell ref="N96:O96"/>
    <mergeCell ref="N97:O97"/>
    <mergeCell ref="N98:O98"/>
    <mergeCell ref="N94:O94"/>
    <mergeCell ref="I95:K95"/>
    <mergeCell ref="I96:K96"/>
    <mergeCell ref="I97:K97"/>
    <mergeCell ref="I98:K98"/>
    <mergeCell ref="L93:M93"/>
    <mergeCell ref="L94:M94"/>
    <mergeCell ref="L95:M95"/>
    <mergeCell ref="L96:M96"/>
    <mergeCell ref="E94:H94"/>
    <mergeCell ref="N99:O99"/>
    <mergeCell ref="D86:O86"/>
    <mergeCell ref="E93:H93"/>
    <mergeCell ref="I93:K93"/>
    <mergeCell ref="I94:K94"/>
    <mergeCell ref="J79:O79"/>
    <mergeCell ref="E79:H79"/>
    <mergeCell ref="E88:O88"/>
    <mergeCell ref="E89:O89"/>
    <mergeCell ref="E90:O90"/>
    <mergeCell ref="E91:O91"/>
    <mergeCell ref="E69:O71"/>
    <mergeCell ref="E72:O74"/>
    <mergeCell ref="E75:O77"/>
    <mergeCell ref="D49:O49"/>
    <mergeCell ref="D51:O51"/>
    <mergeCell ref="D69:D71"/>
    <mergeCell ref="D54:D56"/>
    <mergeCell ref="D57:D59"/>
    <mergeCell ref="D60:D62"/>
    <mergeCell ref="D66:D68"/>
    <mergeCell ref="D53:F53"/>
    <mergeCell ref="D72:D74"/>
    <mergeCell ref="D63:D65"/>
    <mergeCell ref="E63:O65"/>
    <mergeCell ref="E60:O62"/>
    <mergeCell ref="E57:O59"/>
    <mergeCell ref="D75:D77"/>
    <mergeCell ref="E54:O56"/>
    <mergeCell ref="E24:N24"/>
    <mergeCell ref="E25:N25"/>
    <mergeCell ref="E26:N26"/>
    <mergeCell ref="E27:N27"/>
    <mergeCell ref="E32:N32"/>
    <mergeCell ref="E33:N33"/>
    <mergeCell ref="E34:N34"/>
    <mergeCell ref="E66:O68"/>
    <mergeCell ref="D1:O1"/>
    <mergeCell ref="D2:O2"/>
    <mergeCell ref="D6:O6"/>
    <mergeCell ref="D7:O7"/>
    <mergeCell ref="D15:O15"/>
    <mergeCell ref="E16:N16"/>
    <mergeCell ref="E18:N18"/>
    <mergeCell ref="F44:M44"/>
    <mergeCell ref="E17:N17"/>
  </mergeCells>
  <printOptions horizontalCentered="1"/>
  <pageMargins left="0.70866141732283472" right="0.35433070866141736" top="0.35433070866141736"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Spinner 1">
              <controlPr defaultSize="0" autoPict="0">
                <anchor moveWithCells="1" sizeWithCells="1">
                  <from>
                    <xdr:col>17</xdr:col>
                    <xdr:colOff>85725</xdr:colOff>
                    <xdr:row>0</xdr:row>
                    <xdr:rowOff>38100</xdr:rowOff>
                  </from>
                  <to>
                    <xdr:col>18</xdr:col>
                    <xdr:colOff>57150</xdr:colOff>
                    <xdr:row>2</xdr:row>
                    <xdr:rowOff>95250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2">
    <tabColor rgb="FF00B050"/>
  </sheetPr>
  <dimension ref="A1:W77"/>
  <sheetViews>
    <sheetView showGridLines="0" zoomScaleNormal="100" workbookViewId="0">
      <pane xSplit="23" ySplit="4" topLeftCell="X11" activePane="bottomRight" state="frozen"/>
      <selection pane="topRight" activeCell="X1" sqref="X1"/>
      <selection pane="bottomLeft" activeCell="A4" sqref="A4"/>
      <selection pane="bottomRight" activeCell="E12" sqref="E12:P12"/>
    </sheetView>
  </sheetViews>
  <sheetFormatPr defaultRowHeight="16.5" zeroHeight="1"/>
  <cols>
    <col min="1" max="4" width="8.88671875" style="29"/>
    <col min="5" max="5" width="3.44140625" style="29" customWidth="1"/>
    <col min="6" max="6" width="4.44140625" style="29" customWidth="1"/>
    <col min="7" max="7" width="5" style="29" bestFit="1" customWidth="1"/>
    <col min="8" max="8" width="5.77734375" style="29" customWidth="1"/>
    <col min="9" max="9" width="6" style="29" customWidth="1"/>
    <col min="10" max="10" width="8.77734375" style="29" customWidth="1"/>
    <col min="11" max="11" width="8.5546875" style="29" bestFit="1" customWidth="1"/>
    <col min="12" max="12" width="8.44140625" style="29" customWidth="1"/>
    <col min="13" max="13" width="6.33203125" style="29" customWidth="1"/>
    <col min="14" max="14" width="7.33203125" style="29" customWidth="1"/>
    <col min="15" max="15" width="8.6640625" style="29" customWidth="1"/>
    <col min="16" max="16" width="4.77734375" style="29" customWidth="1"/>
    <col min="17" max="16384" width="8.88671875" style="29"/>
  </cols>
  <sheetData>
    <row r="1" spans="1:23" ht="18">
      <c r="A1" s="90" t="s">
        <v>5829</v>
      </c>
      <c r="B1" s="87"/>
      <c r="C1" s="87"/>
      <c r="D1" s="87"/>
      <c r="E1" s="1826" t="s">
        <v>314</v>
      </c>
      <c r="F1" s="1826"/>
      <c r="G1" s="1826"/>
      <c r="H1" s="1826"/>
      <c r="I1" s="1826"/>
      <c r="J1" s="1826"/>
      <c r="K1" s="1826"/>
      <c r="L1" s="1826"/>
      <c r="M1" s="1826"/>
      <c r="N1" s="1826"/>
      <c r="O1" s="1826"/>
      <c r="P1" s="1826"/>
      <c r="Q1" s="87"/>
      <c r="R1" s="87"/>
      <c r="S1" s="87"/>
      <c r="T1" s="87"/>
      <c r="U1" s="87"/>
      <c r="V1" s="87"/>
      <c r="W1" s="87"/>
    </row>
    <row r="2" spans="1:23">
      <c r="A2" s="87"/>
      <c r="B2" s="87"/>
      <c r="C2" s="87"/>
      <c r="D2" s="87"/>
      <c r="E2" s="1785" t="str">
        <f>LenhK.cong!E2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LenhK.cong!E3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3" customHeight="1">
      <c r="A4" s="87"/>
      <c r="B4" s="87"/>
      <c r="C4" s="87"/>
      <c r="D4" s="87"/>
      <c r="E4" s="87"/>
      <c r="F4" s="87"/>
      <c r="G4" s="87"/>
      <c r="H4" s="87"/>
      <c r="I4" s="87"/>
      <c r="J4" s="87"/>
      <c r="K4" s="87"/>
      <c r="L4" s="87"/>
      <c r="M4" s="87"/>
      <c r="N4" s="87"/>
      <c r="O4" s="87"/>
      <c r="P4" s="87"/>
      <c r="Q4" s="87"/>
      <c r="R4" s="87"/>
      <c r="S4" s="87"/>
      <c r="T4" s="87"/>
      <c r="U4" s="87"/>
      <c r="V4" s="87"/>
      <c r="W4" s="87"/>
    </row>
    <row r="5" spans="1:23">
      <c r="A5" s="87"/>
      <c r="B5" s="87"/>
      <c r="C5" s="87"/>
      <c r="D5" s="87"/>
      <c r="E5" s="1799" t="s">
        <v>158</v>
      </c>
      <c r="F5" s="1799"/>
      <c r="G5" s="1799"/>
      <c r="H5" s="1799"/>
      <c r="I5" s="1799"/>
      <c r="J5" s="1799"/>
      <c r="K5" s="1799"/>
      <c r="L5" s="1799"/>
      <c r="M5" s="1799"/>
      <c r="N5" s="1799"/>
      <c r="O5" s="1799"/>
      <c r="P5" s="1799"/>
      <c r="Q5" s="87"/>
      <c r="R5" s="87"/>
      <c r="S5" s="87"/>
      <c r="T5" s="87"/>
      <c r="U5" s="87"/>
      <c r="V5" s="87"/>
      <c r="W5" s="87"/>
    </row>
    <row r="6" spans="1:23">
      <c r="A6" s="87"/>
      <c r="B6" s="87"/>
      <c r="C6" s="87"/>
      <c r="D6" s="87"/>
      <c r="E6" s="1799" t="s">
        <v>161</v>
      </c>
      <c r="F6" s="1799"/>
      <c r="G6" s="1799"/>
      <c r="H6" s="1799"/>
      <c r="I6" s="1799"/>
      <c r="J6" s="1799"/>
      <c r="K6" s="1799"/>
      <c r="L6" s="1799"/>
      <c r="M6" s="1799"/>
      <c r="N6" s="1799"/>
      <c r="O6" s="1799"/>
      <c r="P6" s="1799"/>
      <c r="Q6" s="87"/>
      <c r="R6" s="87"/>
      <c r="S6" s="87"/>
      <c r="T6" s="87"/>
      <c r="U6" s="87"/>
      <c r="V6" s="87"/>
      <c r="W6" s="87"/>
    </row>
    <row r="7" spans="1:23">
      <c r="A7" s="87"/>
      <c r="B7" s="87"/>
      <c r="C7" s="87"/>
      <c r="D7" s="87"/>
      <c r="E7" s="331"/>
      <c r="F7" s="331"/>
      <c r="G7" s="331"/>
      <c r="H7" s="331"/>
      <c r="I7" s="331"/>
      <c r="J7" s="331"/>
      <c r="K7" s="331"/>
      <c r="L7" s="331"/>
      <c r="M7" s="331"/>
      <c r="N7" s="331"/>
      <c r="O7" s="331"/>
      <c r="P7" s="331"/>
      <c r="Q7" s="87"/>
      <c r="R7" s="87"/>
      <c r="S7" s="87"/>
      <c r="T7" s="87"/>
      <c r="U7" s="87"/>
      <c r="V7" s="87"/>
      <c r="W7" s="87"/>
    </row>
    <row r="8" spans="1:23" ht="48.75" customHeight="1">
      <c r="A8" s="87"/>
      <c r="B8" s="87"/>
      <c r="C8" s="87"/>
      <c r="D8" s="87"/>
      <c r="E8" s="1829" t="s">
        <v>230</v>
      </c>
      <c r="F8" s="1806"/>
      <c r="G8" s="1806"/>
      <c r="H8" s="1806"/>
      <c r="I8" s="1806"/>
      <c r="J8" s="1806"/>
      <c r="K8" s="1806"/>
      <c r="L8" s="1806"/>
      <c r="M8" s="1806"/>
      <c r="N8" s="1806"/>
      <c r="O8" s="1806"/>
      <c r="P8" s="1806"/>
      <c r="Q8" s="87"/>
      <c r="R8" s="87"/>
      <c r="S8" s="87"/>
      <c r="T8" s="87"/>
      <c r="U8" s="87"/>
      <c r="V8" s="87"/>
      <c r="W8" s="87"/>
    </row>
    <row r="9" spans="1:23" ht="9.75" customHeight="1">
      <c r="A9" s="87"/>
      <c r="B9" s="87"/>
      <c r="C9" s="87"/>
      <c r="D9" s="87"/>
      <c r="E9" s="331"/>
      <c r="F9" s="331"/>
      <c r="G9" s="331"/>
      <c r="H9" s="331"/>
      <c r="I9" s="331"/>
      <c r="J9" s="331"/>
      <c r="K9" s="331"/>
      <c r="L9" s="331"/>
      <c r="M9" s="331"/>
      <c r="N9" s="331"/>
      <c r="O9" s="331"/>
      <c r="P9" s="331"/>
      <c r="Q9" s="87"/>
      <c r="R9" s="87"/>
      <c r="S9" s="87"/>
      <c r="T9" s="87"/>
      <c r="U9" s="87"/>
      <c r="V9" s="87"/>
      <c r="W9" s="87"/>
    </row>
    <row r="10" spans="1:23" ht="36.6" customHeight="1">
      <c r="A10" s="87"/>
      <c r="B10" s="87"/>
      <c r="C10" s="87"/>
      <c r="D10" s="87"/>
      <c r="E10" s="1604" t="str">
        <f>Tieude1&amp;": "&amp;NDtieude1</f>
        <v>Công trình: Gia cố nâng cấp kênh Bà Xoài từ K0+300÷K0+600 - Hệ thống thủy lợi Nha Trinh, huyện Ninh Hải, tỉnh Ninh Thuận</v>
      </c>
      <c r="F10" s="1604"/>
      <c r="G10" s="1604"/>
      <c r="H10" s="1604"/>
      <c r="I10" s="1604"/>
      <c r="J10" s="1604"/>
      <c r="K10" s="1604"/>
      <c r="L10" s="1604"/>
      <c r="M10" s="1604"/>
      <c r="N10" s="1604"/>
      <c r="O10" s="1604"/>
      <c r="P10" s="1604"/>
      <c r="Q10" s="87"/>
      <c r="R10" s="87"/>
      <c r="S10" s="87"/>
      <c r="T10" s="87"/>
      <c r="U10" s="87">
        <f>ROW()</f>
        <v>10</v>
      </c>
      <c r="V10" s="87"/>
      <c r="W10" s="87"/>
    </row>
    <row r="11" spans="1:23" ht="20.100000000000001" customHeight="1">
      <c r="A11" s="87"/>
      <c r="B11" s="87"/>
      <c r="C11" s="87"/>
      <c r="D11" s="87"/>
      <c r="E11" s="1832" t="str">
        <f>Tieude2&amp;": "&amp;NDtieude2</f>
        <v xml:space="preserve">Gói thầu 05: </v>
      </c>
      <c r="F11" s="1564"/>
      <c r="G11" s="1564"/>
      <c r="H11" s="1564"/>
      <c r="I11" s="1564"/>
      <c r="J11" s="1564"/>
      <c r="K11" s="1564"/>
      <c r="L11" s="1564"/>
      <c r="M11" s="1564"/>
      <c r="N11" s="1564"/>
      <c r="O11" s="1564"/>
      <c r="P11" s="1564"/>
      <c r="Q11" s="87"/>
      <c r="R11" s="87"/>
      <c r="S11" s="87"/>
      <c r="T11" s="87"/>
      <c r="U11" s="87">
        <f>ROW()</f>
        <v>11</v>
      </c>
      <c r="V11" s="87"/>
      <c r="W11" s="87"/>
    </row>
    <row r="12" spans="1:23" ht="20.100000000000001" customHeight="1">
      <c r="A12" s="87"/>
      <c r="B12" s="87"/>
      <c r="C12" s="87"/>
      <c r="D12" s="87"/>
      <c r="E12" s="1832" t="str">
        <f>Tieude3&amp;": "&amp;NDtieude3</f>
        <v>Hạng mục: Kênh và Công trình trên kênh</v>
      </c>
      <c r="F12" s="1564"/>
      <c r="G12" s="1564"/>
      <c r="H12" s="1564"/>
      <c r="I12" s="1564"/>
      <c r="J12" s="1564"/>
      <c r="K12" s="1564"/>
      <c r="L12" s="1564"/>
      <c r="M12" s="1564"/>
      <c r="N12" s="1564"/>
      <c r="O12" s="1564"/>
      <c r="P12" s="1564"/>
      <c r="Q12" s="87"/>
      <c r="R12" s="87"/>
      <c r="S12" s="87"/>
      <c r="T12" s="87"/>
      <c r="U12" s="87">
        <f>ROW()</f>
        <v>12</v>
      </c>
      <c r="V12" s="87"/>
      <c r="W12" s="87"/>
    </row>
    <row r="13" spans="1:23" ht="20.100000000000001" customHeight="1">
      <c r="A13" s="87"/>
      <c r="B13" s="87"/>
      <c r="C13" s="87"/>
      <c r="D13" s="87"/>
      <c r="E13" s="1832" t="str">
        <f>"Địa điểm xây dựng : "&amp;DDXD</f>
        <v>Địa điểm xây dựng : Huyện Ninh Hải - Tỉnh Ninh Thuận</v>
      </c>
      <c r="F13" s="1564"/>
      <c r="G13" s="1564"/>
      <c r="H13" s="1564"/>
      <c r="I13" s="1564"/>
      <c r="J13" s="1564"/>
      <c r="K13" s="1564"/>
      <c r="L13" s="1564"/>
      <c r="M13" s="1564"/>
      <c r="N13" s="1564"/>
      <c r="O13" s="1564"/>
      <c r="P13" s="1564"/>
      <c r="Q13" s="87"/>
      <c r="R13" s="87"/>
      <c r="S13" s="87"/>
      <c r="T13" s="87"/>
      <c r="U13" s="87">
        <f>ROW()</f>
        <v>13</v>
      </c>
      <c r="V13" s="87"/>
      <c r="W13" s="87"/>
    </row>
    <row r="14" spans="1:23" ht="7.5" customHeight="1">
      <c r="A14" s="87"/>
      <c r="B14" s="87"/>
      <c r="C14" s="87"/>
      <c r="D14" s="87"/>
      <c r="E14" s="332"/>
      <c r="F14" s="332"/>
      <c r="G14" s="332"/>
      <c r="H14" s="332"/>
      <c r="I14" s="332"/>
      <c r="J14" s="332"/>
      <c r="K14" s="332"/>
      <c r="L14" s="332"/>
      <c r="M14" s="332"/>
      <c r="N14" s="332"/>
      <c r="O14" s="332"/>
      <c r="P14" s="332"/>
      <c r="Q14" s="87"/>
      <c r="R14" s="87"/>
      <c r="S14" s="87"/>
      <c r="T14" s="87"/>
      <c r="U14" s="87"/>
      <c r="V14" s="87"/>
      <c r="W14" s="87"/>
    </row>
    <row r="15" spans="1:23" ht="20.100000000000001" customHeight="1">
      <c r="A15" s="87"/>
      <c r="B15" s="87"/>
      <c r="C15" s="87"/>
      <c r="D15" s="87"/>
      <c r="E15" s="1833" t="str">
        <f>"     Căn cứ hồ sơ thiết kế kỹ thuật do "&amp;DVTK&amp;" lập và được duyệt."</f>
        <v xml:space="preserve">     Căn cứ hồ sơ thiết kế kỹ thuật do Công ty TNHH Tư vấn Xây dựng Hưng Thịnh lập và được duyệt.</v>
      </c>
      <c r="F15" s="1833"/>
      <c r="G15" s="1833"/>
      <c r="H15" s="1833"/>
      <c r="I15" s="1833"/>
      <c r="J15" s="1833"/>
      <c r="K15" s="1833"/>
      <c r="L15" s="1833"/>
      <c r="M15" s="1833"/>
      <c r="N15" s="1833"/>
      <c r="O15" s="1833"/>
      <c r="P15" s="1833"/>
      <c r="Q15" s="87"/>
      <c r="R15" s="87"/>
      <c r="S15" s="87"/>
      <c r="T15" s="87"/>
      <c r="U15" s="87">
        <f>ROW()</f>
        <v>15</v>
      </c>
      <c r="V15" s="87"/>
      <c r="W15" s="87"/>
    </row>
    <row r="16" spans="1:23">
      <c r="A16" s="87"/>
      <c r="B16" s="87"/>
      <c r="C16" s="87"/>
      <c r="D16" s="87"/>
      <c r="E16" s="331" t="str">
        <f>"     Hôm nay , ngày "&amp;DAY(Ngaynhanmatbang)&amp;" tháng "&amp;MONTH(Ngaynhanmatbang)&amp;" năm "&amp;YEAR(Ngaynhanmatbang)&amp;" , tại công trình, chúng tôi gồm có :"</f>
        <v xml:space="preserve">     Hôm nay , ngày 2 tháng 5 năm 2020 , tại công trình, chúng tôi gồm có :</v>
      </c>
      <c r="F16" s="333"/>
      <c r="G16" s="331"/>
      <c r="H16" s="331"/>
      <c r="I16" s="331"/>
      <c r="J16" s="331"/>
      <c r="K16" s="331"/>
      <c r="L16" s="331"/>
      <c r="M16" s="331"/>
      <c r="N16" s="331"/>
      <c r="O16" s="331"/>
      <c r="P16" s="331"/>
      <c r="Q16" s="87"/>
      <c r="R16" s="87"/>
      <c r="S16" s="87"/>
      <c r="T16" s="87"/>
      <c r="U16" s="87"/>
      <c r="V16" s="87"/>
      <c r="W16" s="87"/>
    </row>
    <row r="17" spans="1:23">
      <c r="A17" s="87"/>
      <c r="B17" s="87"/>
      <c r="C17" s="87"/>
      <c r="D17" s="87"/>
      <c r="E17" s="331"/>
      <c r="F17" s="333"/>
      <c r="G17" s="331"/>
      <c r="H17" s="331"/>
      <c r="I17" s="331"/>
      <c r="J17" s="331"/>
      <c r="K17" s="331"/>
      <c r="L17" s="331"/>
      <c r="M17" s="331"/>
      <c r="N17" s="331"/>
      <c r="O17" s="331"/>
      <c r="P17" s="331"/>
      <c r="Q17" s="87"/>
      <c r="R17" s="87"/>
      <c r="S17" s="87"/>
      <c r="T17" s="87"/>
      <c r="U17" s="87"/>
      <c r="V17" s="87"/>
      <c r="W17" s="87"/>
    </row>
    <row r="18" spans="1:23">
      <c r="A18" s="87"/>
      <c r="B18" s="87"/>
      <c r="C18" s="87"/>
      <c r="D18" s="87"/>
      <c r="E18" s="334" t="s">
        <v>231</v>
      </c>
      <c r="F18" s="331"/>
      <c r="G18" s="331"/>
      <c r="H18" s="331"/>
      <c r="I18" s="331"/>
      <c r="J18" s="331"/>
      <c r="K18" s="331"/>
      <c r="L18" s="331"/>
      <c r="M18" s="331"/>
      <c r="N18" s="331"/>
      <c r="O18" s="331"/>
      <c r="P18" s="331"/>
      <c r="Q18" s="87"/>
      <c r="R18" s="87"/>
      <c r="S18" s="87"/>
      <c r="T18" s="87"/>
      <c r="U18" s="87"/>
      <c r="V18" s="87"/>
      <c r="W18" s="87"/>
    </row>
    <row r="19" spans="1:23" ht="17.25" customHeight="1">
      <c r="A19" s="87"/>
      <c r="B19" s="87"/>
      <c r="C19" s="87"/>
      <c r="D19" s="87"/>
      <c r="E19" s="1830" t="str">
        <f>"*Chủ đầu tư: "&amp;CĐT</f>
        <v>*Chủ đầu tư: Công ty TNHH MTV khai thác công trình thủy lợi Ninh Thuận</v>
      </c>
      <c r="F19" s="1526"/>
      <c r="G19" s="1526"/>
      <c r="H19" s="1526"/>
      <c r="I19" s="1526"/>
      <c r="J19" s="1526"/>
      <c r="K19" s="1526"/>
      <c r="L19" s="1526"/>
      <c r="M19" s="1526"/>
      <c r="N19" s="1526"/>
      <c r="O19" s="1526"/>
      <c r="P19" s="1526"/>
      <c r="Q19" s="87"/>
      <c r="R19" s="87"/>
      <c r="S19" s="87"/>
      <c r="T19" s="87"/>
      <c r="U19" s="87">
        <f>ROW()</f>
        <v>19</v>
      </c>
      <c r="V19" s="87"/>
      <c r="W19" s="87"/>
    </row>
    <row r="20" spans="1:23">
      <c r="A20" s="87"/>
      <c r="B20" s="87"/>
      <c r="C20" s="87"/>
      <c r="D20" s="87"/>
      <c r="E20" s="331"/>
      <c r="F20" s="331"/>
      <c r="G20" s="335" t="s">
        <v>233</v>
      </c>
      <c r="H20" s="337" t="s">
        <v>232</v>
      </c>
      <c r="I20" s="337"/>
      <c r="J20" s="337"/>
      <c r="K20" s="338" t="s">
        <v>234</v>
      </c>
      <c r="L20" s="337" t="s">
        <v>235</v>
      </c>
      <c r="M20" s="331"/>
      <c r="N20" s="336"/>
      <c r="O20" s="336"/>
      <c r="P20" s="336"/>
      <c r="Q20" s="87"/>
      <c r="R20" s="87"/>
      <c r="S20" s="87"/>
      <c r="T20" s="87"/>
      <c r="U20" s="87"/>
      <c r="V20" s="87"/>
      <c r="W20" s="87"/>
    </row>
    <row r="21" spans="1:23">
      <c r="A21" s="87"/>
      <c r="B21" s="87"/>
      <c r="C21" s="87"/>
      <c r="D21" s="87"/>
      <c r="E21" s="331"/>
      <c r="F21" s="331"/>
      <c r="G21" s="335" t="s">
        <v>233</v>
      </c>
      <c r="H21" s="337" t="s">
        <v>232</v>
      </c>
      <c r="I21" s="337"/>
      <c r="J21" s="337"/>
      <c r="K21" s="338" t="s">
        <v>234</v>
      </c>
      <c r="L21" s="337" t="s">
        <v>235</v>
      </c>
      <c r="M21" s="339"/>
      <c r="N21" s="339"/>
      <c r="O21" s="339"/>
      <c r="P21" s="339"/>
      <c r="Q21" s="87"/>
      <c r="R21" s="87"/>
      <c r="S21" s="87"/>
      <c r="T21" s="87"/>
      <c r="U21" s="87"/>
      <c r="V21" s="87"/>
      <c r="W21" s="87"/>
    </row>
    <row r="22" spans="1:23" ht="17.25" customHeight="1">
      <c r="A22" s="87"/>
      <c r="B22" s="87"/>
      <c r="C22" s="87"/>
      <c r="D22" s="87"/>
      <c r="E22" s="1831" t="str">
        <f>"* Tư vấn thiết kế : "&amp;DVTK</f>
        <v>* Tư vấn thiết kế : Công ty TNHH Tư vấn Xây dựng Hưng Thịnh</v>
      </c>
      <c r="F22" s="1615"/>
      <c r="G22" s="1615"/>
      <c r="H22" s="1615"/>
      <c r="I22" s="1615"/>
      <c r="J22" s="1615"/>
      <c r="K22" s="1615"/>
      <c r="L22" s="1615"/>
      <c r="M22" s="1615"/>
      <c r="N22" s="1615"/>
      <c r="O22" s="1615"/>
      <c r="P22" s="1615"/>
      <c r="Q22" s="87"/>
      <c r="R22" s="87"/>
      <c r="S22" s="87"/>
      <c r="T22" s="87"/>
      <c r="U22" s="87">
        <f>ROW()</f>
        <v>22</v>
      </c>
      <c r="V22" s="87"/>
      <c r="W22" s="87"/>
    </row>
    <row r="23" spans="1:23">
      <c r="A23" s="87"/>
      <c r="B23" s="87"/>
      <c r="C23" s="87"/>
      <c r="D23" s="87"/>
      <c r="E23" s="331"/>
      <c r="F23" s="331"/>
      <c r="G23" s="335" t="s">
        <v>233</v>
      </c>
      <c r="H23" s="337" t="s">
        <v>232</v>
      </c>
      <c r="I23" s="337"/>
      <c r="J23" s="337"/>
      <c r="K23" s="338" t="s">
        <v>234</v>
      </c>
      <c r="L23" s="336" t="s">
        <v>235</v>
      </c>
      <c r="M23" s="336"/>
      <c r="N23" s="336"/>
      <c r="O23" s="331"/>
      <c r="P23" s="331"/>
      <c r="Q23" s="87"/>
      <c r="R23" s="87"/>
      <c r="S23" s="87"/>
      <c r="T23" s="87"/>
      <c r="U23" s="87"/>
      <c r="V23" s="87"/>
      <c r="W23" s="87"/>
    </row>
    <row r="24" spans="1:23">
      <c r="A24" s="87"/>
      <c r="B24" s="87"/>
      <c r="C24" s="87"/>
      <c r="D24" s="87"/>
      <c r="E24" s="331"/>
      <c r="F24" s="331"/>
      <c r="G24" s="335" t="s">
        <v>233</v>
      </c>
      <c r="H24" s="337" t="s">
        <v>232</v>
      </c>
      <c r="I24" s="337"/>
      <c r="J24" s="337"/>
      <c r="K24" s="338" t="s">
        <v>234</v>
      </c>
      <c r="L24" s="336" t="s">
        <v>235</v>
      </c>
      <c r="M24" s="339"/>
      <c r="N24" s="339"/>
      <c r="O24" s="331"/>
      <c r="P24" s="331"/>
      <c r="Q24" s="87"/>
      <c r="R24" s="87"/>
      <c r="S24" s="87"/>
      <c r="T24" s="87"/>
      <c r="U24" s="87"/>
      <c r="V24" s="87"/>
      <c r="W24" s="87"/>
    </row>
    <row r="25" spans="1:23" ht="9" customHeight="1">
      <c r="A25" s="87"/>
      <c r="B25" s="87"/>
      <c r="C25" s="87"/>
      <c r="D25" s="87"/>
      <c r="E25" s="331"/>
      <c r="F25" s="331"/>
      <c r="G25" s="331"/>
      <c r="H25" s="331"/>
      <c r="I25" s="331"/>
      <c r="J25" s="331"/>
      <c r="K25" s="339"/>
      <c r="L25" s="338"/>
      <c r="M25" s="339"/>
      <c r="N25" s="339"/>
      <c r="O25" s="331"/>
      <c r="P25" s="331"/>
      <c r="Q25" s="87"/>
      <c r="R25" s="87"/>
      <c r="S25" s="87"/>
      <c r="T25" s="87"/>
      <c r="U25" s="87"/>
      <c r="V25" s="87"/>
      <c r="W25" s="87"/>
    </row>
    <row r="26" spans="1:23">
      <c r="A26" s="87"/>
      <c r="B26" s="87"/>
      <c r="C26" s="87"/>
      <c r="D26" s="87"/>
      <c r="E26" s="340" t="s">
        <v>236</v>
      </c>
      <c r="F26" s="331"/>
      <c r="G26" s="331"/>
      <c r="H26" s="331"/>
      <c r="I26" s="331"/>
      <c r="J26" s="331"/>
      <c r="K26" s="339"/>
      <c r="L26" s="338"/>
      <c r="M26" s="339"/>
      <c r="N26" s="339"/>
      <c r="O26" s="331"/>
      <c r="P26" s="331"/>
      <c r="Q26" s="87"/>
      <c r="R26" s="87"/>
      <c r="S26" s="87"/>
      <c r="T26" s="87"/>
      <c r="U26" s="87"/>
      <c r="V26" s="87"/>
      <c r="W26" s="87"/>
    </row>
    <row r="27" spans="1:23" ht="17.25" customHeight="1">
      <c r="A27" s="87"/>
      <c r="B27" s="87"/>
      <c r="C27" s="87"/>
      <c r="D27" s="87"/>
      <c r="E27" s="1831" t="str">
        <f>"* Nhà thầu xây lắp : "&amp;DVTC</f>
        <v>* Nhà thầu xây lắp : Công ty TNHH Xây dựng Thịnh Dũng</v>
      </c>
      <c r="F27" s="1615"/>
      <c r="G27" s="1615"/>
      <c r="H27" s="1615"/>
      <c r="I27" s="1615"/>
      <c r="J27" s="1615"/>
      <c r="K27" s="1615"/>
      <c r="L27" s="1615"/>
      <c r="M27" s="1615"/>
      <c r="N27" s="1615"/>
      <c r="O27" s="1615"/>
      <c r="P27" s="1615"/>
      <c r="Q27" s="87"/>
      <c r="R27" s="87"/>
      <c r="S27" s="87"/>
      <c r="T27" s="87"/>
      <c r="U27" s="87">
        <f>ROW()</f>
        <v>27</v>
      </c>
      <c r="V27" s="87"/>
      <c r="W27" s="87"/>
    </row>
    <row r="28" spans="1:23">
      <c r="A28" s="87"/>
      <c r="B28" s="87"/>
      <c r="C28" s="87"/>
      <c r="D28" s="87"/>
      <c r="E28" s="331"/>
      <c r="F28" s="331"/>
      <c r="G28" s="335" t="str">
        <f>GT_CBKT1</f>
        <v xml:space="preserve">Ông: </v>
      </c>
      <c r="H28" s="337" t="str">
        <f>CBKT1</f>
        <v>Hoàng Đình Tảng</v>
      </c>
      <c r="I28" s="337"/>
      <c r="J28" s="337"/>
      <c r="K28" s="338" t="s">
        <v>234</v>
      </c>
      <c r="L28" s="337" t="str">
        <f>CV_CBKT1</f>
        <v>Chỉ huy công trường</v>
      </c>
      <c r="M28" s="339"/>
      <c r="N28" s="339"/>
      <c r="O28" s="331"/>
      <c r="P28" s="331"/>
      <c r="Q28" s="87"/>
      <c r="R28" s="87"/>
      <c r="S28" s="87"/>
      <c r="T28" s="87"/>
      <c r="U28" s="87"/>
      <c r="V28" s="87"/>
      <c r="W28" s="87"/>
    </row>
    <row r="29" spans="1:23">
      <c r="A29" s="87"/>
      <c r="B29" s="87"/>
      <c r="C29" s="87"/>
      <c r="D29" s="87"/>
      <c r="E29" s="331"/>
      <c r="F29" s="331"/>
      <c r="G29" s="335" t="str">
        <f>GT_CBKT2</f>
        <v xml:space="preserve">Ông: </v>
      </c>
      <c r="H29" s="337" t="str">
        <f>CBKT2</f>
        <v>Lê Thiên Phương</v>
      </c>
      <c r="I29" s="337"/>
      <c r="J29" s="337"/>
      <c r="K29" s="338" t="s">
        <v>234</v>
      </c>
      <c r="L29" s="337" t="str">
        <f>CV_CBKT2</f>
        <v>Kỹ thuật thi công</v>
      </c>
      <c r="M29" s="339"/>
      <c r="N29" s="339"/>
      <c r="O29" s="331"/>
      <c r="P29" s="331"/>
      <c r="Q29" s="87"/>
      <c r="R29" s="87"/>
      <c r="S29" s="87"/>
      <c r="T29" s="87"/>
      <c r="U29" s="87"/>
      <c r="V29" s="87"/>
      <c r="W29" s="87"/>
    </row>
    <row r="30" spans="1:23" ht="17.25" customHeight="1">
      <c r="A30" s="87"/>
      <c r="B30" s="87"/>
      <c r="C30" s="87"/>
      <c r="D30" s="87"/>
      <c r="E30" s="1831" t="str">
        <f>"* Giám sát thi công XL : "&amp;DVGS</f>
        <v>* Giám sát thi công XL : Công ty TNHH Tư vấn Đầu tư Xây dựng Huy Đạt</v>
      </c>
      <c r="F30" s="1615"/>
      <c r="G30" s="1615"/>
      <c r="H30" s="1615"/>
      <c r="I30" s="1615"/>
      <c r="J30" s="1615"/>
      <c r="K30" s="1615"/>
      <c r="L30" s="1615"/>
      <c r="M30" s="1615"/>
      <c r="N30" s="1615"/>
      <c r="O30" s="1615"/>
      <c r="P30" s="1615"/>
      <c r="Q30" s="87"/>
      <c r="R30" s="87"/>
      <c r="S30" s="87"/>
      <c r="T30" s="87"/>
      <c r="U30" s="87">
        <f>ROW()</f>
        <v>30</v>
      </c>
      <c r="V30" s="87"/>
      <c r="W30" s="87"/>
    </row>
    <row r="31" spans="1:23">
      <c r="A31" s="87"/>
      <c r="B31" s="87"/>
      <c r="C31" s="87"/>
      <c r="D31" s="87"/>
      <c r="E31" s="331"/>
      <c r="F31" s="331"/>
      <c r="G31" s="335" t="str">
        <f>GT_GS1</f>
        <v xml:space="preserve">Ông: </v>
      </c>
      <c r="H31" s="337" t="str">
        <f>CBGS1</f>
        <v>Trần Trọng Liêm</v>
      </c>
      <c r="I31" s="337"/>
      <c r="J31" s="337"/>
      <c r="K31" s="338" t="s">
        <v>234</v>
      </c>
      <c r="L31" s="337" t="str">
        <f>CV_CBGS1</f>
        <v>Giám sát trưởng</v>
      </c>
      <c r="M31" s="339"/>
      <c r="N31" s="339"/>
      <c r="O31" s="331"/>
      <c r="P31" s="331"/>
      <c r="Q31" s="87"/>
      <c r="R31" s="87"/>
      <c r="S31" s="87"/>
      <c r="T31" s="87"/>
      <c r="U31" s="87"/>
      <c r="V31" s="87"/>
      <c r="W31" s="87"/>
    </row>
    <row r="32" spans="1:23">
      <c r="A32" s="87"/>
      <c r="B32" s="87"/>
      <c r="C32" s="87"/>
      <c r="D32" s="87"/>
      <c r="E32" s="331"/>
      <c r="F32" s="331"/>
      <c r="G32" s="335" t="str">
        <f>GT_GS2</f>
        <v xml:space="preserve">Bà  : </v>
      </c>
      <c r="H32" s="337" t="str">
        <f>CBGS2</f>
        <v>Nguyễn Thị Minh</v>
      </c>
      <c r="I32" s="337"/>
      <c r="J32" s="337"/>
      <c r="K32" s="338" t="s">
        <v>234</v>
      </c>
      <c r="L32" s="337" t="str">
        <f>CV_CBGS2</f>
        <v>Giám sát viên</v>
      </c>
      <c r="M32" s="339"/>
      <c r="N32" s="339"/>
      <c r="O32" s="331"/>
      <c r="P32" s="331"/>
      <c r="Q32" s="87"/>
      <c r="R32" s="87"/>
      <c r="S32" s="87"/>
      <c r="T32" s="87"/>
      <c r="U32" s="87"/>
      <c r="V32" s="87"/>
      <c r="W32" s="87"/>
    </row>
    <row r="33" spans="1:23" ht="69.599999999999994" customHeight="1">
      <c r="A33" s="87"/>
      <c r="B33" s="87"/>
      <c r="C33" s="87"/>
      <c r="D33" s="87"/>
      <c r="E33" s="1827" t="str">
        <f>"     Cùng tiến hành kiểm tra mặt bằng công trình: "&amp;NDtieude1&amp;" và thống nhất giao nhận : mốc, vị trí, cao độ chuẩn và mặt bằng thi công để đơn vị thi công tiến hành định vị và thi công công trình, cụ thể như sau :"</f>
        <v xml:space="preserve">     Cùng tiến hành kiểm tra mặt bằng công trình: Gia cố nâng cấp kênh Bà Xoài từ K0+300÷K0+600 - Hệ thống thủy lợi Nha Trinh, huyện Ninh Hải, tỉnh Ninh Thuận và thống nhất giao nhận : mốc, vị trí, cao độ chuẩn và mặt bằng thi công để đơn vị thi công tiến hành định vị và thi công công trình, cụ thể như sau :</v>
      </c>
      <c r="F33" s="1827"/>
      <c r="G33" s="1827"/>
      <c r="H33" s="1827"/>
      <c r="I33" s="1827"/>
      <c r="J33" s="1827"/>
      <c r="K33" s="1827"/>
      <c r="L33" s="1827"/>
      <c r="M33" s="1827"/>
      <c r="N33" s="1827"/>
      <c r="O33" s="1827"/>
      <c r="P33" s="1827"/>
      <c r="Q33" s="87"/>
      <c r="R33" s="87"/>
      <c r="S33" s="87"/>
      <c r="T33" s="87"/>
      <c r="U33" s="87">
        <f>ROW()</f>
        <v>33</v>
      </c>
      <c r="V33" s="87"/>
      <c r="W33" s="87"/>
    </row>
    <row r="34" spans="1:23">
      <c r="A34" s="87"/>
      <c r="B34" s="87"/>
      <c r="C34" s="87"/>
      <c r="D34" s="87"/>
      <c r="E34" s="331"/>
      <c r="F34" s="144" t="s">
        <v>237</v>
      </c>
      <c r="G34" s="331"/>
      <c r="H34" s="331"/>
      <c r="I34" s="331"/>
      <c r="J34" s="331"/>
      <c r="K34" s="339"/>
      <c r="L34" s="338"/>
      <c r="M34" s="339"/>
      <c r="N34" s="339"/>
      <c r="O34" s="331"/>
      <c r="P34" s="331"/>
      <c r="Q34" s="87"/>
      <c r="R34" s="87"/>
      <c r="S34" s="87"/>
      <c r="T34" s="87"/>
      <c r="U34" s="87"/>
      <c r="V34" s="87"/>
      <c r="W34" s="87"/>
    </row>
    <row r="35" spans="1:23">
      <c r="A35" s="87"/>
      <c r="B35" s="87"/>
      <c r="C35" s="87"/>
      <c r="D35" s="87"/>
      <c r="E35" s="341"/>
      <c r="F35" s="341"/>
      <c r="G35" s="341"/>
      <c r="H35" s="341"/>
      <c r="I35" s="341"/>
      <c r="J35" s="341"/>
      <c r="K35" s="342"/>
      <c r="L35" s="343"/>
      <c r="M35" s="342"/>
      <c r="N35" s="342"/>
      <c r="O35" s="341"/>
      <c r="P35" s="341"/>
      <c r="Q35" s="87"/>
      <c r="R35" s="87"/>
      <c r="S35" s="87"/>
      <c r="T35" s="87"/>
      <c r="U35" s="87"/>
      <c r="V35" s="87"/>
      <c r="W35" s="87"/>
    </row>
    <row r="36" spans="1:23">
      <c r="A36" s="87"/>
      <c r="B36" s="87"/>
      <c r="C36" s="87"/>
      <c r="D36" s="87"/>
      <c r="E36" s="344"/>
      <c r="F36" s="344"/>
      <c r="G36" s="344"/>
      <c r="H36" s="344"/>
      <c r="I36" s="344"/>
      <c r="J36" s="344"/>
      <c r="K36" s="345"/>
      <c r="L36" s="346"/>
      <c r="M36" s="345"/>
      <c r="N36" s="345"/>
      <c r="O36" s="344"/>
      <c r="P36" s="344"/>
      <c r="Q36" s="87"/>
      <c r="R36" s="87"/>
      <c r="S36" s="87"/>
      <c r="T36" s="87"/>
      <c r="U36" s="87"/>
      <c r="V36" s="87"/>
      <c r="W36" s="87"/>
    </row>
    <row r="37" spans="1:23">
      <c r="A37" s="87"/>
      <c r="B37" s="87"/>
      <c r="C37" s="87"/>
      <c r="D37" s="87"/>
      <c r="E37" s="344"/>
      <c r="F37" s="344"/>
      <c r="G37" s="344"/>
      <c r="H37" s="344"/>
      <c r="I37" s="344"/>
      <c r="J37" s="344"/>
      <c r="K37" s="345"/>
      <c r="L37" s="346"/>
      <c r="M37" s="345"/>
      <c r="N37" s="345"/>
      <c r="O37" s="344"/>
      <c r="P37" s="344"/>
      <c r="Q37" s="87"/>
      <c r="R37" s="87"/>
      <c r="S37" s="87"/>
      <c r="T37" s="87"/>
      <c r="U37" s="87"/>
      <c r="V37" s="87"/>
      <c r="W37" s="87"/>
    </row>
    <row r="38" spans="1:23">
      <c r="A38" s="87"/>
      <c r="B38" s="87"/>
      <c r="C38" s="87"/>
      <c r="D38" s="87"/>
      <c r="E38" s="344"/>
      <c r="F38" s="344"/>
      <c r="G38" s="344"/>
      <c r="H38" s="344"/>
      <c r="I38" s="344"/>
      <c r="J38" s="344"/>
      <c r="K38" s="345"/>
      <c r="L38" s="346"/>
      <c r="M38" s="345"/>
      <c r="N38" s="345"/>
      <c r="O38" s="344"/>
      <c r="P38" s="344"/>
      <c r="Q38" s="87"/>
      <c r="R38" s="87"/>
      <c r="S38" s="87"/>
      <c r="T38" s="87"/>
      <c r="U38" s="87"/>
      <c r="V38" s="87"/>
      <c r="W38" s="87"/>
    </row>
    <row r="39" spans="1:23">
      <c r="A39" s="87"/>
      <c r="B39" s="87"/>
      <c r="C39" s="87"/>
      <c r="D39" s="87"/>
      <c r="E39" s="344"/>
      <c r="F39" s="344"/>
      <c r="G39" s="344"/>
      <c r="H39" s="344"/>
      <c r="I39" s="344"/>
      <c r="J39" s="344"/>
      <c r="K39" s="345"/>
      <c r="L39" s="346"/>
      <c r="M39" s="345"/>
      <c r="N39" s="345"/>
      <c r="O39" s="344"/>
      <c r="P39" s="344"/>
      <c r="Q39" s="87"/>
      <c r="R39" s="87"/>
      <c r="S39" s="87"/>
      <c r="T39" s="87"/>
      <c r="U39" s="87"/>
      <c r="V39" s="87"/>
      <c r="W39" s="87"/>
    </row>
    <row r="40" spans="1:23">
      <c r="A40" s="87"/>
      <c r="B40" s="87"/>
      <c r="C40" s="87"/>
      <c r="D40" s="87"/>
      <c r="E40" s="331"/>
      <c r="F40" s="144" t="s">
        <v>238</v>
      </c>
      <c r="G40" s="331"/>
      <c r="H40" s="331"/>
      <c r="I40" s="331"/>
      <c r="J40" s="331"/>
      <c r="K40" s="339"/>
      <c r="L40" s="338"/>
      <c r="M40" s="339"/>
      <c r="N40" s="339"/>
      <c r="O40" s="331"/>
      <c r="P40" s="331"/>
      <c r="Q40" s="87"/>
      <c r="R40" s="87"/>
      <c r="S40" s="87"/>
      <c r="T40" s="87"/>
      <c r="U40" s="87"/>
      <c r="V40" s="87"/>
      <c r="W40" s="87"/>
    </row>
    <row r="41" spans="1:23">
      <c r="A41" s="87"/>
      <c r="B41" s="87"/>
      <c r="C41" s="87"/>
      <c r="D41" s="87"/>
      <c r="E41" s="341"/>
      <c r="F41" s="341"/>
      <c r="G41" s="341"/>
      <c r="H41" s="341"/>
      <c r="I41" s="341"/>
      <c r="J41" s="341"/>
      <c r="K41" s="342"/>
      <c r="L41" s="343"/>
      <c r="M41" s="342"/>
      <c r="N41" s="342"/>
      <c r="O41" s="341"/>
      <c r="P41" s="341"/>
      <c r="Q41" s="87"/>
      <c r="R41" s="87"/>
      <c r="S41" s="87"/>
      <c r="T41" s="87"/>
      <c r="U41" s="87"/>
      <c r="V41" s="87"/>
      <c r="W41" s="87"/>
    </row>
    <row r="42" spans="1:23">
      <c r="A42" s="87"/>
      <c r="B42" s="87"/>
      <c r="C42" s="87"/>
      <c r="D42" s="87"/>
      <c r="E42" s="344"/>
      <c r="F42" s="344"/>
      <c r="G42" s="344"/>
      <c r="H42" s="344"/>
      <c r="I42" s="344"/>
      <c r="J42" s="344"/>
      <c r="K42" s="345"/>
      <c r="L42" s="346"/>
      <c r="M42" s="345"/>
      <c r="N42" s="345"/>
      <c r="O42" s="344"/>
      <c r="P42" s="344"/>
      <c r="Q42" s="87"/>
      <c r="R42" s="87"/>
      <c r="S42" s="87"/>
      <c r="T42" s="87"/>
      <c r="U42" s="87"/>
      <c r="V42" s="87"/>
      <c r="W42" s="87"/>
    </row>
    <row r="43" spans="1:23">
      <c r="A43" s="87"/>
      <c r="B43" s="87"/>
      <c r="C43" s="87"/>
      <c r="D43" s="87"/>
      <c r="E43" s="344"/>
      <c r="F43" s="344"/>
      <c r="G43" s="344"/>
      <c r="H43" s="344"/>
      <c r="I43" s="344"/>
      <c r="J43" s="344"/>
      <c r="K43" s="345"/>
      <c r="L43" s="346"/>
      <c r="M43" s="345"/>
      <c r="N43" s="345"/>
      <c r="O43" s="344"/>
      <c r="P43" s="344"/>
      <c r="Q43" s="87"/>
      <c r="R43" s="87"/>
      <c r="S43" s="87"/>
      <c r="T43" s="87"/>
      <c r="U43" s="87"/>
      <c r="V43" s="87"/>
      <c r="W43" s="87"/>
    </row>
    <row r="44" spans="1:23">
      <c r="A44" s="87"/>
      <c r="B44" s="87"/>
      <c r="C44" s="87"/>
      <c r="D44" s="87"/>
      <c r="E44" s="344"/>
      <c r="F44" s="344"/>
      <c r="G44" s="344"/>
      <c r="H44" s="344"/>
      <c r="I44" s="344"/>
      <c r="J44" s="344"/>
      <c r="K44" s="345"/>
      <c r="L44" s="346"/>
      <c r="M44" s="345"/>
      <c r="N44" s="345"/>
      <c r="O44" s="344"/>
      <c r="P44" s="344"/>
      <c r="Q44" s="87"/>
      <c r="R44" s="87"/>
      <c r="S44" s="87"/>
      <c r="T44" s="87"/>
      <c r="U44" s="87"/>
      <c r="V44" s="87"/>
      <c r="W44" s="87"/>
    </row>
    <row r="45" spans="1:23">
      <c r="A45" s="87"/>
      <c r="B45" s="87"/>
      <c r="C45" s="87"/>
      <c r="D45" s="87"/>
      <c r="E45" s="331"/>
      <c r="F45" s="144" t="s">
        <v>239</v>
      </c>
      <c r="G45" s="331"/>
      <c r="H45" s="331"/>
      <c r="I45" s="331"/>
      <c r="J45" s="331"/>
      <c r="K45" s="339"/>
      <c r="L45" s="338"/>
      <c r="M45" s="339"/>
      <c r="N45" s="339"/>
      <c r="O45" s="331"/>
      <c r="P45" s="331"/>
      <c r="Q45" s="87"/>
      <c r="R45" s="87"/>
      <c r="S45" s="87"/>
      <c r="T45" s="87"/>
      <c r="U45" s="87"/>
      <c r="V45" s="87"/>
      <c r="W45" s="87"/>
    </row>
    <row r="46" spans="1:23">
      <c r="A46" s="87"/>
      <c r="B46" s="87"/>
      <c r="C46" s="87"/>
      <c r="D46" s="87"/>
      <c r="E46" s="341"/>
      <c r="F46" s="341"/>
      <c r="G46" s="341"/>
      <c r="H46" s="341"/>
      <c r="I46" s="341"/>
      <c r="J46" s="341"/>
      <c r="K46" s="341"/>
      <c r="L46" s="341"/>
      <c r="M46" s="341"/>
      <c r="N46" s="341"/>
      <c r="O46" s="341"/>
      <c r="P46" s="341"/>
      <c r="Q46" s="87"/>
      <c r="R46" s="87"/>
      <c r="S46" s="87"/>
      <c r="T46" s="87"/>
      <c r="U46" s="87"/>
      <c r="V46" s="87"/>
      <c r="W46" s="87"/>
    </row>
    <row r="47" spans="1:23">
      <c r="A47" s="87"/>
      <c r="B47" s="87"/>
      <c r="C47" s="87"/>
      <c r="D47" s="87"/>
      <c r="E47" s="344"/>
      <c r="F47" s="344"/>
      <c r="G47" s="344"/>
      <c r="H47" s="344"/>
      <c r="I47" s="344"/>
      <c r="J47" s="344"/>
      <c r="K47" s="344"/>
      <c r="L47" s="344"/>
      <c r="M47" s="344"/>
      <c r="N47" s="344"/>
      <c r="O47" s="344"/>
      <c r="P47" s="344"/>
      <c r="Q47" s="87"/>
      <c r="R47" s="87"/>
      <c r="S47" s="87"/>
      <c r="T47" s="87"/>
      <c r="U47" s="87"/>
      <c r="V47" s="87"/>
      <c r="W47" s="87"/>
    </row>
    <row r="48" spans="1:23">
      <c r="A48" s="87"/>
      <c r="B48" s="87"/>
      <c r="C48" s="87"/>
      <c r="D48" s="87"/>
      <c r="E48" s="344"/>
      <c r="F48" s="344"/>
      <c r="G48" s="344"/>
      <c r="H48" s="344"/>
      <c r="I48" s="344"/>
      <c r="J48" s="344"/>
      <c r="K48" s="344"/>
      <c r="L48" s="344"/>
      <c r="M48" s="344"/>
      <c r="N48" s="344"/>
      <c r="O48" s="344"/>
      <c r="P48" s="344"/>
      <c r="Q48" s="87"/>
      <c r="R48" s="87"/>
      <c r="S48" s="87"/>
      <c r="T48" s="87"/>
      <c r="U48" s="87"/>
      <c r="V48" s="87"/>
      <c r="W48" s="87"/>
    </row>
    <row r="49" spans="1:23">
      <c r="A49" s="87"/>
      <c r="B49" s="87"/>
      <c r="C49" s="87"/>
      <c r="D49" s="87"/>
      <c r="E49" s="344"/>
      <c r="F49" s="344"/>
      <c r="G49" s="344"/>
      <c r="H49" s="344"/>
      <c r="I49" s="344"/>
      <c r="J49" s="344"/>
      <c r="K49" s="344"/>
      <c r="L49" s="344"/>
      <c r="M49" s="344"/>
      <c r="N49" s="344"/>
      <c r="O49" s="344"/>
      <c r="P49" s="344"/>
      <c r="Q49" s="87"/>
      <c r="R49" s="87"/>
      <c r="S49" s="87"/>
      <c r="T49" s="87"/>
      <c r="U49" s="87"/>
      <c r="V49" s="87"/>
      <c r="W49" s="87"/>
    </row>
    <row r="50" spans="1:23">
      <c r="A50" s="87"/>
      <c r="B50" s="87"/>
      <c r="C50" s="87"/>
      <c r="D50" s="87"/>
      <c r="E50" s="344"/>
      <c r="F50" s="344"/>
      <c r="G50" s="344"/>
      <c r="H50" s="344"/>
      <c r="I50" s="344"/>
      <c r="J50" s="344"/>
      <c r="K50" s="344"/>
      <c r="L50" s="344"/>
      <c r="M50" s="344"/>
      <c r="N50" s="344"/>
      <c r="O50" s="344"/>
      <c r="P50" s="344"/>
      <c r="Q50" s="87"/>
      <c r="R50" s="87"/>
      <c r="S50" s="87"/>
      <c r="T50" s="87"/>
      <c r="U50" s="87"/>
      <c r="V50" s="87"/>
      <c r="W50" s="87"/>
    </row>
    <row r="51" spans="1:23">
      <c r="A51" s="87"/>
      <c r="B51" s="87"/>
      <c r="C51" s="87"/>
      <c r="D51" s="87"/>
      <c r="E51" s="344"/>
      <c r="F51" s="344"/>
      <c r="G51" s="344"/>
      <c r="H51" s="344"/>
      <c r="I51" s="344"/>
      <c r="J51" s="344"/>
      <c r="K51" s="344"/>
      <c r="L51" s="344"/>
      <c r="M51" s="344"/>
      <c r="N51" s="344"/>
      <c r="O51" s="344"/>
      <c r="P51" s="344"/>
      <c r="Q51" s="87"/>
      <c r="R51" s="87"/>
      <c r="S51" s="87"/>
      <c r="T51" s="87"/>
      <c r="U51" s="87"/>
      <c r="V51" s="87"/>
      <c r="W51" s="87"/>
    </row>
    <row r="52" spans="1:23">
      <c r="A52" s="87"/>
      <c r="B52" s="87"/>
      <c r="C52" s="87"/>
      <c r="D52" s="87"/>
      <c r="E52" s="344"/>
      <c r="F52" s="344"/>
      <c r="G52" s="344"/>
      <c r="H52" s="344"/>
      <c r="I52" s="344"/>
      <c r="J52" s="344"/>
      <c r="K52" s="344"/>
      <c r="L52" s="344"/>
      <c r="M52" s="344"/>
      <c r="N52" s="344"/>
      <c r="O52" s="344"/>
      <c r="P52" s="344"/>
      <c r="Q52" s="87"/>
      <c r="R52" s="87"/>
      <c r="S52" s="87"/>
      <c r="T52" s="87"/>
      <c r="U52" s="87"/>
      <c r="V52" s="87"/>
      <c r="W52" s="87"/>
    </row>
    <row r="53" spans="1:23">
      <c r="A53" s="87"/>
      <c r="B53" s="87"/>
      <c r="C53" s="87"/>
      <c r="D53" s="87"/>
      <c r="E53" s="344"/>
      <c r="F53" s="344"/>
      <c r="G53" s="344"/>
      <c r="H53" s="344"/>
      <c r="I53" s="344"/>
      <c r="J53" s="344"/>
      <c r="K53" s="344"/>
      <c r="L53" s="344"/>
      <c r="M53" s="344"/>
      <c r="N53" s="344"/>
      <c r="O53" s="344"/>
      <c r="P53" s="344"/>
      <c r="Q53" s="87"/>
      <c r="R53" s="87"/>
      <c r="S53" s="87"/>
      <c r="T53" s="87"/>
      <c r="U53" s="87"/>
      <c r="V53" s="87"/>
      <c r="W53" s="87"/>
    </row>
    <row r="54" spans="1:23">
      <c r="A54" s="87"/>
      <c r="B54" s="87"/>
      <c r="C54" s="87"/>
      <c r="D54" s="87"/>
      <c r="E54" s="331"/>
      <c r="F54" s="144" t="s">
        <v>240</v>
      </c>
      <c r="G54" s="331"/>
      <c r="H54" s="331"/>
      <c r="I54" s="331"/>
      <c r="J54" s="331"/>
      <c r="K54" s="331"/>
      <c r="L54" s="331"/>
      <c r="M54" s="331"/>
      <c r="N54" s="331"/>
      <c r="O54" s="331"/>
      <c r="P54" s="331"/>
      <c r="Q54" s="87"/>
      <c r="R54" s="87"/>
      <c r="S54" s="87"/>
      <c r="T54" s="87"/>
      <c r="U54" s="87"/>
      <c r="V54" s="87"/>
      <c r="W54" s="87"/>
    </row>
    <row r="55" spans="1:23">
      <c r="A55" s="87"/>
      <c r="B55" s="87"/>
      <c r="C55" s="87"/>
      <c r="D55" s="87"/>
      <c r="E55" s="331"/>
      <c r="F55" s="331"/>
      <c r="G55" s="331"/>
      <c r="H55" s="331"/>
      <c r="I55" s="331"/>
      <c r="J55" s="331"/>
      <c r="K55" s="331"/>
      <c r="L55" s="331"/>
      <c r="M55" s="331"/>
      <c r="N55" s="331"/>
      <c r="O55" s="331"/>
      <c r="P55" s="331"/>
      <c r="Q55" s="87"/>
      <c r="R55" s="87"/>
      <c r="S55" s="87"/>
      <c r="T55" s="87"/>
      <c r="U55" s="87"/>
      <c r="V55" s="87"/>
      <c r="W55" s="87"/>
    </row>
    <row r="56" spans="1:23" ht="33.75" customHeight="1">
      <c r="A56" s="87"/>
      <c r="B56" s="87"/>
      <c r="C56" s="87"/>
      <c r="D56" s="87"/>
      <c r="E56" s="1828" t="str">
        <f>UPPER(CĐT)</f>
        <v>CÔNG TY TNHH MTV KHAI THÁC CÔNG TRÌNH THỦY LỢI NINH THUẬN</v>
      </c>
      <c r="F56" s="1828"/>
      <c r="G56" s="1828"/>
      <c r="H56" s="1828"/>
      <c r="I56" s="1828"/>
      <c r="J56" s="1828"/>
      <c r="K56" s="1828"/>
      <c r="L56" s="1828" t="str">
        <f>UPPER(DVTK)</f>
        <v>CÔNG TY TNHH TƯ VẤN XÂY DỰNG HƯNG THỊNH</v>
      </c>
      <c r="M56" s="1828"/>
      <c r="N56" s="1828"/>
      <c r="O56" s="1828"/>
      <c r="P56" s="1828"/>
      <c r="Q56" s="87"/>
      <c r="R56" s="87"/>
      <c r="S56" s="87"/>
      <c r="T56" s="87"/>
      <c r="U56" s="87"/>
      <c r="V56" s="87"/>
      <c r="W56" s="87"/>
    </row>
    <row r="57" spans="1:23">
      <c r="A57" s="87"/>
      <c r="B57" s="87"/>
      <c r="C57" s="87"/>
      <c r="D57" s="87"/>
      <c r="E57" s="347"/>
      <c r="F57" s="347"/>
      <c r="G57" s="347"/>
      <c r="H57" s="347"/>
      <c r="I57" s="347"/>
      <c r="J57" s="347"/>
      <c r="K57" s="347"/>
      <c r="L57" s="347"/>
      <c r="M57" s="347"/>
      <c r="N57" s="347"/>
      <c r="O57" s="347"/>
      <c r="P57" s="347"/>
      <c r="Q57" s="87"/>
      <c r="R57" s="87"/>
      <c r="S57" s="87"/>
      <c r="T57" s="87"/>
      <c r="U57" s="87"/>
      <c r="V57" s="87"/>
      <c r="W57" s="87"/>
    </row>
    <row r="58" spans="1:23">
      <c r="A58" s="87"/>
      <c r="B58" s="87"/>
      <c r="C58" s="87"/>
      <c r="D58" s="87"/>
      <c r="E58" s="347"/>
      <c r="F58" s="347"/>
      <c r="G58" s="347"/>
      <c r="H58" s="347"/>
      <c r="I58" s="347"/>
      <c r="J58" s="347"/>
      <c r="K58" s="347"/>
      <c r="L58" s="347"/>
      <c r="M58" s="347"/>
      <c r="N58" s="347"/>
      <c r="O58" s="347"/>
      <c r="P58" s="347"/>
      <c r="Q58" s="87"/>
      <c r="R58" s="87"/>
      <c r="S58" s="87"/>
      <c r="T58" s="87"/>
      <c r="U58" s="87"/>
      <c r="V58" s="87"/>
      <c r="W58" s="87"/>
    </row>
    <row r="59" spans="1:23">
      <c r="A59" s="87"/>
      <c r="B59" s="87"/>
      <c r="C59" s="87"/>
      <c r="D59" s="87"/>
      <c r="E59" s="347"/>
      <c r="F59" s="347"/>
      <c r="G59" s="347"/>
      <c r="H59" s="347"/>
      <c r="I59" s="347"/>
      <c r="J59" s="347"/>
      <c r="K59" s="347"/>
      <c r="L59" s="347"/>
      <c r="M59" s="347"/>
      <c r="N59" s="347"/>
      <c r="O59" s="347"/>
      <c r="P59" s="347"/>
      <c r="Q59" s="87"/>
      <c r="R59" s="87"/>
      <c r="S59" s="87"/>
      <c r="T59" s="87"/>
      <c r="U59" s="87"/>
      <c r="V59" s="87"/>
      <c r="W59" s="87"/>
    </row>
    <row r="60" spans="1:23">
      <c r="A60" s="87"/>
      <c r="B60" s="87"/>
      <c r="C60" s="87"/>
      <c r="D60" s="87"/>
      <c r="E60" s="347"/>
      <c r="F60" s="347"/>
      <c r="G60" s="347"/>
      <c r="H60" s="347"/>
      <c r="I60" s="347"/>
      <c r="J60" s="347"/>
      <c r="K60" s="347"/>
      <c r="L60" s="347"/>
      <c r="M60" s="347"/>
      <c r="N60" s="347"/>
      <c r="O60" s="347"/>
      <c r="P60" s="347"/>
      <c r="Q60" s="87"/>
      <c r="R60" s="87"/>
      <c r="S60" s="87"/>
      <c r="T60" s="87"/>
      <c r="U60" s="87"/>
      <c r="V60" s="87"/>
      <c r="W60" s="87"/>
    </row>
    <row r="61" spans="1:23">
      <c r="A61" s="87"/>
      <c r="B61" s="87"/>
      <c r="C61" s="87"/>
      <c r="D61" s="87"/>
      <c r="E61" s="347"/>
      <c r="F61" s="347"/>
      <c r="G61" s="347"/>
      <c r="H61" s="347"/>
      <c r="I61" s="347"/>
      <c r="J61" s="347"/>
      <c r="K61" s="347"/>
      <c r="L61" s="347"/>
      <c r="M61" s="347"/>
      <c r="N61" s="347"/>
      <c r="O61" s="347"/>
      <c r="P61" s="347"/>
      <c r="Q61" s="87"/>
      <c r="R61" s="87"/>
      <c r="S61" s="87"/>
      <c r="T61" s="87"/>
      <c r="U61" s="87"/>
      <c r="V61" s="87"/>
      <c r="W61" s="87"/>
    </row>
    <row r="62" spans="1:23">
      <c r="A62" s="87"/>
      <c r="B62" s="87"/>
      <c r="C62" s="87"/>
      <c r="D62" s="87"/>
      <c r="E62" s="347"/>
      <c r="F62" s="347"/>
      <c r="G62" s="347"/>
      <c r="H62" s="347"/>
      <c r="I62" s="347"/>
      <c r="J62" s="347"/>
      <c r="K62" s="347"/>
      <c r="L62" s="347"/>
      <c r="M62" s="347"/>
      <c r="N62" s="347"/>
      <c r="O62" s="347"/>
      <c r="P62" s="347"/>
      <c r="Q62" s="87"/>
      <c r="R62" s="87"/>
      <c r="S62" s="87"/>
      <c r="T62" s="87"/>
      <c r="U62" s="87"/>
      <c r="V62" s="87"/>
      <c r="W62" s="87"/>
    </row>
    <row r="63" spans="1:23" ht="52.5" customHeight="1">
      <c r="A63" s="87"/>
      <c r="B63" s="87"/>
      <c r="C63" s="87"/>
      <c r="D63" s="87"/>
      <c r="E63" s="1828" t="str">
        <f>UPPER(DVGS)</f>
        <v>CÔNG TY TNHH TƯ VẤN ĐẦU TƯ XÂY DỰNG HUY ĐẠT</v>
      </c>
      <c r="F63" s="1828"/>
      <c r="G63" s="1828"/>
      <c r="H63" s="1828"/>
      <c r="I63" s="1828"/>
      <c r="J63" s="1828"/>
      <c r="K63" s="1828"/>
      <c r="L63" s="1828" t="str">
        <f>UPPER(DVTC)</f>
        <v>CÔNG TY TNHH XÂY DỰNG THỊNH DŨNG</v>
      </c>
      <c r="M63" s="1828"/>
      <c r="N63" s="1828"/>
      <c r="O63" s="1828"/>
      <c r="P63" s="1828"/>
      <c r="Q63" s="87"/>
      <c r="R63" s="87"/>
      <c r="S63" s="87"/>
      <c r="T63" s="87"/>
      <c r="U63" s="87"/>
      <c r="V63" s="87"/>
      <c r="W63" s="87"/>
    </row>
    <row r="64" spans="1:23">
      <c r="A64" s="87"/>
      <c r="B64" s="87"/>
      <c r="C64" s="87"/>
      <c r="D64" s="87"/>
      <c r="E64" s="331"/>
      <c r="F64" s="331"/>
      <c r="G64" s="331"/>
      <c r="H64" s="331"/>
      <c r="I64" s="331"/>
      <c r="J64" s="331"/>
      <c r="K64" s="331"/>
      <c r="L64" s="331"/>
      <c r="M64" s="331"/>
      <c r="N64" s="331"/>
      <c r="O64" s="331"/>
      <c r="P64" s="331"/>
      <c r="Q64" s="87"/>
      <c r="R64" s="87"/>
      <c r="S64" s="87"/>
      <c r="T64" s="87"/>
      <c r="U64" s="87"/>
      <c r="V64" s="87"/>
      <c r="W64" s="87"/>
    </row>
    <row r="65" spans="1:23">
      <c r="A65" s="87"/>
      <c r="B65" s="87"/>
      <c r="C65" s="87"/>
      <c r="D65" s="87"/>
      <c r="E65" s="331"/>
      <c r="F65" s="331"/>
      <c r="G65" s="331"/>
      <c r="H65" s="331"/>
      <c r="I65" s="331"/>
      <c r="J65" s="331"/>
      <c r="K65" s="331"/>
      <c r="L65" s="331"/>
      <c r="M65" s="331"/>
      <c r="N65" s="331"/>
      <c r="O65" s="331"/>
      <c r="P65" s="331"/>
      <c r="Q65" s="87"/>
      <c r="R65" s="87"/>
      <c r="S65" s="87"/>
      <c r="T65" s="87"/>
      <c r="U65" s="87"/>
      <c r="V65" s="87"/>
      <c r="W65" s="87"/>
    </row>
    <row r="66" spans="1:23">
      <c r="A66" s="87"/>
      <c r="B66" s="87"/>
      <c r="C66" s="87"/>
      <c r="D66" s="87"/>
      <c r="E66" s="331"/>
      <c r="F66" s="331"/>
      <c r="G66" s="331"/>
      <c r="H66" s="331"/>
      <c r="I66" s="331"/>
      <c r="J66" s="331"/>
      <c r="K66" s="331"/>
      <c r="L66" s="331"/>
      <c r="M66" s="331"/>
      <c r="N66" s="331"/>
      <c r="O66" s="331"/>
      <c r="P66" s="331"/>
      <c r="Q66" s="87"/>
      <c r="R66" s="87"/>
      <c r="S66" s="87"/>
      <c r="T66" s="87"/>
      <c r="U66" s="87"/>
      <c r="V66" s="87"/>
      <c r="W66" s="87"/>
    </row>
    <row r="67" spans="1:23">
      <c r="A67" s="87"/>
      <c r="B67" s="87"/>
      <c r="C67" s="87"/>
      <c r="D67" s="87"/>
      <c r="E67" s="331"/>
      <c r="F67" s="331"/>
      <c r="G67" s="331"/>
      <c r="H67" s="331"/>
      <c r="I67" s="331"/>
      <c r="J67" s="331"/>
      <c r="K67" s="331"/>
      <c r="L67" s="331"/>
      <c r="M67" s="331"/>
      <c r="N67" s="331"/>
      <c r="O67" s="331"/>
      <c r="P67" s="331"/>
      <c r="Q67" s="87"/>
      <c r="R67" s="87"/>
      <c r="S67" s="87"/>
      <c r="T67" s="87"/>
      <c r="U67" s="87"/>
      <c r="V67" s="87"/>
      <c r="W67" s="87"/>
    </row>
    <row r="68" spans="1:23">
      <c r="A68" s="87"/>
      <c r="B68" s="87"/>
      <c r="C68" s="87"/>
      <c r="D68" s="87"/>
      <c r="E68" s="87"/>
      <c r="F68" s="87"/>
      <c r="G68" s="87"/>
      <c r="H68" s="87"/>
      <c r="I68" s="87"/>
      <c r="J68" s="87"/>
      <c r="K68" s="87"/>
      <c r="L68" s="87"/>
      <c r="M68" s="87"/>
      <c r="N68" s="87"/>
      <c r="O68" s="87"/>
      <c r="P68" s="87"/>
      <c r="Q68" s="87"/>
      <c r="R68" s="87"/>
      <c r="S68" s="87"/>
      <c r="T68" s="87"/>
      <c r="U68" s="87"/>
      <c r="V68" s="87"/>
      <c r="W68" s="87"/>
    </row>
    <row r="69" spans="1:23">
      <c r="A69" s="87"/>
      <c r="B69" s="87"/>
      <c r="C69" s="87"/>
      <c r="D69" s="87"/>
      <c r="E69" s="87"/>
      <c r="F69" s="87"/>
      <c r="G69" s="87"/>
      <c r="H69" s="87"/>
      <c r="I69" s="87"/>
      <c r="J69" s="87"/>
      <c r="K69" s="87"/>
      <c r="L69" s="87"/>
      <c r="M69" s="87"/>
      <c r="N69" s="87"/>
      <c r="O69" s="87"/>
      <c r="P69" s="87"/>
      <c r="Q69" s="87"/>
      <c r="R69" s="87"/>
      <c r="S69" s="87"/>
      <c r="T69" s="87"/>
      <c r="U69" s="87"/>
      <c r="V69" s="87"/>
      <c r="W69" s="87"/>
    </row>
    <row r="70" spans="1:23">
      <c r="A70" s="87"/>
      <c r="B70" s="87"/>
      <c r="C70" s="87"/>
      <c r="D70" s="87"/>
      <c r="E70" s="87"/>
      <c r="F70" s="87"/>
      <c r="G70" s="87"/>
      <c r="H70" s="87"/>
      <c r="I70" s="87"/>
      <c r="J70" s="87"/>
      <c r="K70" s="87"/>
      <c r="L70" s="87"/>
      <c r="M70" s="87"/>
      <c r="N70" s="87"/>
      <c r="O70" s="87"/>
      <c r="P70" s="87"/>
      <c r="Q70" s="87"/>
      <c r="R70" s="87"/>
      <c r="S70" s="87"/>
      <c r="T70" s="87"/>
      <c r="U70" s="87"/>
      <c r="V70" s="87"/>
      <c r="W70" s="87"/>
    </row>
    <row r="71" spans="1:23">
      <c r="A71" s="87"/>
      <c r="B71" s="87"/>
      <c r="C71" s="87"/>
      <c r="D71" s="87"/>
      <c r="E71" s="87"/>
      <c r="F71" s="87"/>
      <c r="G71" s="87"/>
      <c r="H71" s="87"/>
      <c r="I71" s="87"/>
      <c r="J71" s="87"/>
      <c r="K71" s="87"/>
      <c r="L71" s="87"/>
      <c r="M71" s="87"/>
      <c r="N71" s="87"/>
      <c r="O71" s="87"/>
      <c r="P71" s="87"/>
      <c r="Q71" s="87"/>
      <c r="R71" s="87"/>
      <c r="S71" s="87"/>
      <c r="T71" s="87"/>
      <c r="U71" s="87"/>
      <c r="V71" s="87"/>
      <c r="W71" s="87"/>
    </row>
    <row r="72" spans="1:23">
      <c r="A72" s="87"/>
      <c r="B72" s="87"/>
      <c r="C72" s="87"/>
      <c r="D72" s="87"/>
      <c r="E72" s="87"/>
      <c r="F72" s="87"/>
      <c r="G72" s="87"/>
      <c r="H72" s="87"/>
      <c r="I72" s="87"/>
      <c r="J72" s="87"/>
      <c r="K72" s="87"/>
      <c r="L72" s="87"/>
      <c r="M72" s="87"/>
      <c r="N72" s="87"/>
      <c r="O72" s="87"/>
      <c r="P72" s="87"/>
      <c r="Q72" s="87"/>
      <c r="R72" s="87"/>
      <c r="S72" s="87"/>
      <c r="T72" s="87"/>
      <c r="U72" s="87"/>
      <c r="V72" s="87"/>
      <c r="W72" s="87"/>
    </row>
    <row r="73" spans="1:23">
      <c r="A73" s="87"/>
      <c r="B73" s="87"/>
      <c r="C73" s="87"/>
      <c r="D73" s="87"/>
      <c r="E73" s="87"/>
      <c r="F73" s="87"/>
      <c r="G73" s="87"/>
      <c r="H73" s="87"/>
      <c r="I73" s="87"/>
      <c r="J73" s="87"/>
      <c r="K73" s="87"/>
      <c r="L73" s="87"/>
      <c r="M73" s="87"/>
      <c r="N73" s="87"/>
      <c r="O73" s="87"/>
      <c r="P73" s="87"/>
      <c r="Q73" s="87"/>
      <c r="R73" s="87"/>
      <c r="S73" s="87"/>
      <c r="T73" s="87"/>
      <c r="U73" s="87"/>
      <c r="V73" s="87"/>
      <c r="W73" s="87"/>
    </row>
    <row r="74" spans="1:23">
      <c r="A74" s="87"/>
      <c r="B74" s="87"/>
      <c r="C74" s="87"/>
      <c r="D74" s="87"/>
      <c r="E74" s="87"/>
      <c r="F74" s="87"/>
      <c r="G74" s="87"/>
      <c r="H74" s="87"/>
      <c r="I74" s="87"/>
      <c r="J74" s="87"/>
      <c r="K74" s="87"/>
      <c r="L74" s="87"/>
      <c r="M74" s="87"/>
      <c r="N74" s="87"/>
      <c r="O74" s="87"/>
      <c r="P74" s="87"/>
      <c r="Q74" s="87"/>
      <c r="R74" s="87"/>
      <c r="S74" s="87"/>
      <c r="T74" s="87"/>
      <c r="U74" s="87"/>
      <c r="V74" s="87"/>
      <c r="W74" s="87"/>
    </row>
    <row r="75" spans="1:23">
      <c r="A75" s="87"/>
      <c r="B75" s="87"/>
      <c r="C75" s="87"/>
      <c r="D75" s="87"/>
      <c r="E75" s="87"/>
      <c r="F75" s="87"/>
      <c r="G75" s="87"/>
      <c r="H75" s="87"/>
      <c r="I75" s="87"/>
      <c r="J75" s="87"/>
      <c r="K75" s="87"/>
      <c r="L75" s="87"/>
      <c r="M75" s="87"/>
      <c r="N75" s="87"/>
      <c r="O75" s="87"/>
      <c r="P75" s="87"/>
      <c r="Q75" s="87"/>
      <c r="R75" s="87"/>
      <c r="S75" s="87"/>
      <c r="T75" s="87"/>
      <c r="U75" s="87"/>
      <c r="V75" s="87"/>
      <c r="W75" s="87"/>
    </row>
    <row r="76" spans="1:23">
      <c r="A76" s="87"/>
      <c r="B76" s="87"/>
      <c r="C76" s="87"/>
      <c r="D76" s="87"/>
      <c r="E76" s="87"/>
      <c r="F76" s="87"/>
      <c r="G76" s="87"/>
      <c r="H76" s="87"/>
      <c r="I76" s="87"/>
      <c r="J76" s="87"/>
      <c r="K76" s="87"/>
      <c r="L76" s="87"/>
      <c r="M76" s="87"/>
      <c r="N76" s="87"/>
      <c r="O76" s="87"/>
      <c r="P76" s="87"/>
      <c r="Q76" s="87"/>
      <c r="R76" s="87"/>
      <c r="S76" s="87"/>
      <c r="T76" s="87"/>
      <c r="U76" s="87"/>
      <c r="V76" s="87"/>
      <c r="W76" s="87"/>
    </row>
    <row r="77" spans="1:23"/>
  </sheetData>
  <mergeCells count="20">
    <mergeCell ref="E63:K63"/>
    <mergeCell ref="L63:P63"/>
    <mergeCell ref="E15:P15"/>
    <mergeCell ref="E12:P12"/>
    <mergeCell ref="E13:P13"/>
    <mergeCell ref="E1:P1"/>
    <mergeCell ref="E33:P33"/>
    <mergeCell ref="E56:K56"/>
    <mergeCell ref="L56:P56"/>
    <mergeCell ref="E2:P2"/>
    <mergeCell ref="E3:P3"/>
    <mergeCell ref="E5:P5"/>
    <mergeCell ref="E6:P6"/>
    <mergeCell ref="E8:P8"/>
    <mergeCell ref="E19:P19"/>
    <mergeCell ref="E22:P22"/>
    <mergeCell ref="E27:P27"/>
    <mergeCell ref="E30:P30"/>
    <mergeCell ref="E10:P10"/>
    <mergeCell ref="E11:P11"/>
  </mergeCells>
  <pageMargins left="0.70866141732283472" right="0.33" top="0.35" bottom="0.3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0">
    <tabColor rgb="FF00B050"/>
  </sheetPr>
  <dimension ref="A1:W54"/>
  <sheetViews>
    <sheetView showGridLines="0" zoomScaleNormal="100" workbookViewId="0">
      <pane xSplit="23" ySplit="4" topLeftCell="X8" activePane="bottomRight" state="frozen"/>
      <selection pane="topRight" activeCell="X1" sqref="X1"/>
      <selection pane="bottomLeft" activeCell="A5" sqref="A5"/>
      <selection pane="bottomRight" activeCell="E13" sqref="E13:P13"/>
    </sheetView>
  </sheetViews>
  <sheetFormatPr defaultRowHeight="16.5" zeroHeight="1"/>
  <cols>
    <col min="1" max="4" width="8.88671875" style="29"/>
    <col min="5" max="5" width="3.44140625" style="29" customWidth="1"/>
    <col min="6" max="6" width="4.44140625" style="29" customWidth="1"/>
    <col min="7" max="7" width="5" style="29" bestFit="1" customWidth="1"/>
    <col min="8" max="8" width="4.6640625" style="29" customWidth="1"/>
    <col min="9" max="9" width="6" style="29" customWidth="1"/>
    <col min="10" max="10" width="8.77734375" style="29" customWidth="1"/>
    <col min="11" max="11" width="6.6640625" style="29" customWidth="1"/>
    <col min="12" max="12" width="8.44140625" style="29" customWidth="1"/>
    <col min="13" max="13" width="6.33203125" style="29" customWidth="1"/>
    <col min="14" max="14" width="9.88671875" style="29" customWidth="1"/>
    <col min="15" max="15" width="8.6640625" style="29" customWidth="1"/>
    <col min="16" max="16" width="4.77734375" style="29" customWidth="1"/>
    <col min="17" max="16384" width="8.88671875" style="29"/>
  </cols>
  <sheetData>
    <row r="1" spans="1:23" ht="20.25">
      <c r="A1" s="90" t="s">
        <v>5830</v>
      </c>
      <c r="B1" s="87"/>
      <c r="C1" s="87"/>
      <c r="D1" s="87"/>
      <c r="E1" s="1834" t="s">
        <v>313</v>
      </c>
      <c r="F1" s="1834"/>
      <c r="G1" s="1834"/>
      <c r="H1" s="1834"/>
      <c r="I1" s="1834"/>
      <c r="J1" s="1834"/>
      <c r="K1" s="1834"/>
      <c r="L1" s="1834"/>
      <c r="M1" s="1834"/>
      <c r="N1" s="1834"/>
      <c r="O1" s="1834"/>
      <c r="P1" s="1834"/>
      <c r="Q1" s="87"/>
      <c r="R1" s="87"/>
      <c r="S1" s="87"/>
      <c r="T1" s="87"/>
      <c r="U1" s="87"/>
      <c r="V1" s="87"/>
      <c r="W1" s="87"/>
    </row>
    <row r="2" spans="1:23">
      <c r="A2" s="87"/>
      <c r="B2" s="87"/>
      <c r="C2" s="87"/>
      <c r="D2" s="87"/>
      <c r="E2" s="1785" t="str">
        <f>Matbang!E2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Matbang!E3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9" customHeight="1">
      <c r="A4" s="87"/>
      <c r="B4" s="87"/>
      <c r="C4" s="87"/>
      <c r="D4" s="87"/>
      <c r="E4" s="87"/>
      <c r="F4" s="87"/>
      <c r="G4" s="87"/>
      <c r="H4" s="87"/>
      <c r="I4" s="87"/>
      <c r="J4" s="87"/>
      <c r="K4" s="87"/>
      <c r="L4" s="87"/>
      <c r="M4" s="87"/>
      <c r="N4" s="87"/>
      <c r="O4" s="87"/>
      <c r="P4" s="87"/>
      <c r="Q4" s="87"/>
      <c r="R4" s="87"/>
      <c r="S4" s="87"/>
      <c r="T4" s="87"/>
      <c r="U4" s="87"/>
      <c r="V4" s="87"/>
      <c r="W4" s="87"/>
    </row>
    <row r="5" spans="1:23">
      <c r="A5" s="87"/>
      <c r="B5" s="87"/>
      <c r="C5" s="87"/>
      <c r="D5" s="87"/>
      <c r="E5" s="1799" t="s">
        <v>158</v>
      </c>
      <c r="F5" s="1799"/>
      <c r="G5" s="1799"/>
      <c r="H5" s="1799"/>
      <c r="I5" s="1799"/>
      <c r="J5" s="1799"/>
      <c r="K5" s="1799"/>
      <c r="L5" s="1799"/>
      <c r="M5" s="1799"/>
      <c r="N5" s="1799"/>
      <c r="O5" s="1799"/>
      <c r="P5" s="1799"/>
      <c r="Q5" s="87"/>
      <c r="R5" s="87"/>
      <c r="S5" s="87"/>
      <c r="T5" s="87"/>
      <c r="U5" s="87"/>
      <c r="V5" s="87"/>
      <c r="W5" s="87"/>
    </row>
    <row r="6" spans="1:23">
      <c r="A6" s="87"/>
      <c r="B6" s="87"/>
      <c r="C6" s="87"/>
      <c r="D6" s="87"/>
      <c r="E6" s="1799" t="s">
        <v>161</v>
      </c>
      <c r="F6" s="1799"/>
      <c r="G6" s="1799"/>
      <c r="H6" s="1799"/>
      <c r="I6" s="1799"/>
      <c r="J6" s="1799"/>
      <c r="K6" s="1799"/>
      <c r="L6" s="1799"/>
      <c r="M6" s="1799"/>
      <c r="N6" s="1799"/>
      <c r="O6" s="1799"/>
      <c r="P6" s="1799"/>
      <c r="Q6" s="87"/>
      <c r="R6" s="87"/>
      <c r="S6" s="87"/>
      <c r="T6" s="87"/>
      <c r="U6" s="87"/>
      <c r="V6" s="87"/>
      <c r="W6" s="87"/>
    </row>
    <row r="7" spans="1:23">
      <c r="A7" s="87"/>
      <c r="B7" s="87"/>
      <c r="C7" s="87"/>
      <c r="D7" s="87"/>
      <c r="E7" s="331"/>
      <c r="F7" s="331"/>
      <c r="G7" s="331"/>
      <c r="H7" s="331"/>
      <c r="I7" s="331"/>
      <c r="J7" s="331"/>
      <c r="K7" s="331"/>
      <c r="L7" s="331"/>
      <c r="M7" s="331"/>
      <c r="N7" s="331"/>
      <c r="O7" s="331"/>
      <c r="P7" s="331"/>
      <c r="Q7" s="87"/>
      <c r="R7" s="87"/>
      <c r="S7" s="87"/>
      <c r="T7" s="87"/>
      <c r="U7" s="87"/>
      <c r="V7" s="87"/>
      <c r="W7" s="87"/>
    </row>
    <row r="8" spans="1:23" ht="48.75" customHeight="1">
      <c r="A8" s="87"/>
      <c r="B8" s="87"/>
      <c r="C8" s="87"/>
      <c r="D8" s="87"/>
      <c r="E8" s="1844" t="s">
        <v>241</v>
      </c>
      <c r="F8" s="1845"/>
      <c r="G8" s="1845"/>
      <c r="H8" s="1845"/>
      <c r="I8" s="1845"/>
      <c r="J8" s="1845"/>
      <c r="K8" s="1845"/>
      <c r="L8" s="1845"/>
      <c r="M8" s="1845"/>
      <c r="N8" s="1845"/>
      <c r="O8" s="1845"/>
      <c r="P8" s="1845"/>
      <c r="Q8" s="87"/>
      <c r="R8" s="87"/>
      <c r="S8" s="87"/>
      <c r="T8" s="87"/>
      <c r="U8" s="87"/>
      <c r="V8" s="87"/>
      <c r="W8" s="87"/>
    </row>
    <row r="9" spans="1:23">
      <c r="A9" s="87"/>
      <c r="B9" s="87"/>
      <c r="C9" s="87"/>
      <c r="D9" s="87"/>
      <c r="E9" s="331"/>
      <c r="F9" s="331"/>
      <c r="G9" s="331"/>
      <c r="H9" s="331"/>
      <c r="I9" s="331"/>
      <c r="J9" s="331"/>
      <c r="K9" s="331"/>
      <c r="L9" s="331"/>
      <c r="M9" s="331"/>
      <c r="N9" s="331"/>
      <c r="O9" s="331"/>
      <c r="P9" s="331"/>
      <c r="Q9" s="87"/>
      <c r="R9" s="87"/>
      <c r="S9" s="87"/>
      <c r="T9" s="87"/>
      <c r="U9" s="90"/>
      <c r="V9" s="87"/>
      <c r="W9" s="87"/>
    </row>
    <row r="10" spans="1:23" ht="36.6" customHeight="1">
      <c r="A10" s="87"/>
      <c r="B10" s="87"/>
      <c r="C10" s="87"/>
      <c r="D10" s="87"/>
      <c r="E10" s="1604" t="str">
        <f>Tieude1&amp;": "&amp;NDtieude1</f>
        <v>Công trình: Gia cố nâng cấp kênh Bà Xoài từ K0+300÷K0+600 - Hệ thống thủy lợi Nha Trinh, huyện Ninh Hải, tỉnh Ninh Thuận</v>
      </c>
      <c r="F10" s="1604"/>
      <c r="G10" s="1604"/>
      <c r="H10" s="1604"/>
      <c r="I10" s="1604"/>
      <c r="J10" s="1604"/>
      <c r="K10" s="1604"/>
      <c r="L10" s="1604"/>
      <c r="M10" s="1604"/>
      <c r="N10" s="1604"/>
      <c r="O10" s="1604"/>
      <c r="P10" s="1604"/>
      <c r="Q10" s="87"/>
      <c r="R10" s="87"/>
      <c r="S10" s="87"/>
      <c r="T10" s="87"/>
      <c r="U10" s="90">
        <f>ROW()</f>
        <v>10</v>
      </c>
      <c r="V10" s="87"/>
      <c r="W10" s="87"/>
    </row>
    <row r="11" spans="1:23" ht="20.100000000000001" customHeight="1">
      <c r="A11" s="87"/>
      <c r="B11" s="87"/>
      <c r="C11" s="87"/>
      <c r="D11" s="87"/>
      <c r="E11" s="1843" t="str">
        <f>Tieude2&amp;": "&amp;NDtieude2</f>
        <v xml:space="preserve">Gói thầu 05: </v>
      </c>
      <c r="F11" s="1843"/>
      <c r="G11" s="1843"/>
      <c r="H11" s="1843"/>
      <c r="I11" s="1843"/>
      <c r="J11" s="1843"/>
      <c r="K11" s="1843"/>
      <c r="L11" s="1843"/>
      <c r="M11" s="1843"/>
      <c r="N11" s="1843"/>
      <c r="O11" s="1843"/>
      <c r="P11" s="1843"/>
      <c r="Q11" s="87"/>
      <c r="R11" s="87"/>
      <c r="S11" s="87"/>
      <c r="T11" s="87"/>
      <c r="U11" s="90">
        <f>ROW()</f>
        <v>11</v>
      </c>
      <c r="V11" s="87"/>
      <c r="W11" s="87"/>
    </row>
    <row r="12" spans="1:23" ht="20.100000000000001" customHeight="1">
      <c r="A12" s="87"/>
      <c r="B12" s="87"/>
      <c r="C12" s="87"/>
      <c r="D12" s="87"/>
      <c r="E12" s="1843" t="str">
        <f>Tieude3&amp;": "&amp;NDtieude3</f>
        <v>Hạng mục: Kênh và Công trình trên kênh</v>
      </c>
      <c r="F12" s="1843"/>
      <c r="G12" s="1843"/>
      <c r="H12" s="1843"/>
      <c r="I12" s="1843"/>
      <c r="J12" s="1843"/>
      <c r="K12" s="1843"/>
      <c r="L12" s="1843"/>
      <c r="M12" s="1843"/>
      <c r="N12" s="1843"/>
      <c r="O12" s="1843"/>
      <c r="P12" s="1843"/>
      <c r="Q12" s="87"/>
      <c r="R12" s="87"/>
      <c r="S12" s="87"/>
      <c r="T12" s="87"/>
      <c r="U12" s="90">
        <f>ROW()</f>
        <v>12</v>
      </c>
      <c r="V12" s="87"/>
      <c r="W12" s="87"/>
    </row>
    <row r="13" spans="1:23" ht="20.100000000000001" customHeight="1">
      <c r="A13" s="87"/>
      <c r="B13" s="87"/>
      <c r="C13" s="87"/>
      <c r="D13" s="87"/>
      <c r="E13" s="1473" t="str">
        <f>"Địa điểm xây dựng : "&amp;DDXD</f>
        <v>Địa điểm xây dựng : Huyện Ninh Hải - Tỉnh Ninh Thuận</v>
      </c>
      <c r="F13" s="1473"/>
      <c r="G13" s="1473"/>
      <c r="H13" s="1473"/>
      <c r="I13" s="1473"/>
      <c r="J13" s="1473"/>
      <c r="K13" s="1473"/>
      <c r="L13" s="1473"/>
      <c r="M13" s="1473"/>
      <c r="N13" s="1473"/>
      <c r="O13" s="1473"/>
      <c r="P13" s="1473"/>
      <c r="Q13" s="87"/>
      <c r="R13" s="87"/>
      <c r="S13" s="87"/>
      <c r="T13" s="87"/>
      <c r="U13" s="90">
        <f>ROW()</f>
        <v>13</v>
      </c>
      <c r="V13" s="87"/>
      <c r="W13" s="87"/>
    </row>
    <row r="14" spans="1:23">
      <c r="A14" s="87"/>
      <c r="B14" s="87"/>
      <c r="C14" s="87"/>
      <c r="D14" s="87"/>
      <c r="E14" s="331"/>
      <c r="F14" s="331" t="s">
        <v>5285</v>
      </c>
      <c r="G14" s="331"/>
      <c r="H14" s="331"/>
      <c r="I14" s="331"/>
      <c r="J14" s="331"/>
      <c r="K14" s="331"/>
      <c r="L14" s="331"/>
      <c r="M14" s="331"/>
      <c r="N14" s="331"/>
      <c r="O14" s="331"/>
      <c r="P14" s="331"/>
      <c r="Q14" s="87"/>
      <c r="R14" s="87"/>
      <c r="S14" s="87"/>
      <c r="T14" s="87"/>
      <c r="U14" s="90"/>
      <c r="V14" s="87"/>
      <c r="W14" s="87"/>
    </row>
    <row r="15" spans="1:23" s="30" customFormat="1" ht="34.5" customHeight="1">
      <c r="A15" s="91"/>
      <c r="B15" s="91"/>
      <c r="C15" s="91"/>
      <c r="D15" s="91"/>
      <c r="E15" s="348" t="s">
        <v>168</v>
      </c>
      <c r="F15" s="1841" t="s">
        <v>242</v>
      </c>
      <c r="G15" s="1841"/>
      <c r="H15" s="1841"/>
      <c r="I15" s="1841" t="s">
        <v>243</v>
      </c>
      <c r="J15" s="1841"/>
      <c r="K15" s="1841"/>
      <c r="L15" s="1841" t="s">
        <v>244</v>
      </c>
      <c r="M15" s="1841"/>
      <c r="N15" s="348" t="s">
        <v>245</v>
      </c>
      <c r="O15" s="1841" t="s">
        <v>246</v>
      </c>
      <c r="P15" s="1841"/>
      <c r="Q15" s="91"/>
      <c r="R15" s="91"/>
      <c r="S15" s="91"/>
      <c r="T15" s="91"/>
      <c r="U15" s="1215"/>
      <c r="V15" s="91"/>
      <c r="W15" s="91"/>
    </row>
    <row r="16" spans="1:23">
      <c r="A16" s="87"/>
      <c r="B16" s="87"/>
      <c r="C16" s="87"/>
      <c r="D16" s="87"/>
      <c r="E16" s="349"/>
      <c r="F16" s="1842"/>
      <c r="G16" s="1842"/>
      <c r="H16" s="1842"/>
      <c r="I16" s="1842"/>
      <c r="J16" s="1842"/>
      <c r="K16" s="1842"/>
      <c r="L16" s="1842"/>
      <c r="M16" s="1842"/>
      <c r="N16" s="349"/>
      <c r="O16" s="1842"/>
      <c r="P16" s="1842"/>
      <c r="Q16" s="87"/>
      <c r="R16" s="87"/>
      <c r="S16" s="87"/>
      <c r="T16" s="87"/>
      <c r="U16" s="90"/>
      <c r="V16" s="87"/>
      <c r="W16" s="87"/>
    </row>
    <row r="17" spans="1:23">
      <c r="A17" s="87"/>
      <c r="B17" s="87"/>
      <c r="C17" s="87"/>
      <c r="D17" s="87"/>
      <c r="E17" s="350"/>
      <c r="F17" s="1839"/>
      <c r="G17" s="1839"/>
      <c r="H17" s="1839"/>
      <c r="I17" s="1839"/>
      <c r="J17" s="1839"/>
      <c r="K17" s="1839"/>
      <c r="L17" s="1839"/>
      <c r="M17" s="1839"/>
      <c r="N17" s="350"/>
      <c r="O17" s="1839"/>
      <c r="P17" s="1839"/>
      <c r="Q17" s="87"/>
      <c r="R17" s="87"/>
      <c r="S17" s="87"/>
      <c r="T17" s="87"/>
      <c r="U17" s="90"/>
      <c r="V17" s="87"/>
      <c r="W17" s="87"/>
    </row>
    <row r="18" spans="1:23">
      <c r="A18" s="87"/>
      <c r="B18" s="87"/>
      <c r="C18" s="87"/>
      <c r="D18" s="87"/>
      <c r="E18" s="350"/>
      <c r="F18" s="1839"/>
      <c r="G18" s="1839"/>
      <c r="H18" s="1839"/>
      <c r="I18" s="1839"/>
      <c r="J18" s="1839"/>
      <c r="K18" s="1839"/>
      <c r="L18" s="1839"/>
      <c r="M18" s="1839"/>
      <c r="N18" s="350"/>
      <c r="O18" s="1839"/>
      <c r="P18" s="1839"/>
      <c r="Q18" s="87"/>
      <c r="R18" s="87"/>
      <c r="S18" s="87"/>
      <c r="T18" s="87"/>
      <c r="U18" s="90"/>
      <c r="V18" s="87"/>
      <c r="W18" s="87"/>
    </row>
    <row r="19" spans="1:23">
      <c r="A19" s="87"/>
      <c r="B19" s="87"/>
      <c r="C19" s="87"/>
      <c r="D19" s="87"/>
      <c r="E19" s="350"/>
      <c r="F19" s="1839"/>
      <c r="G19" s="1839"/>
      <c r="H19" s="1839"/>
      <c r="I19" s="1839"/>
      <c r="J19" s="1839"/>
      <c r="K19" s="1839"/>
      <c r="L19" s="1839"/>
      <c r="M19" s="1839"/>
      <c r="N19" s="350"/>
      <c r="O19" s="1839"/>
      <c r="P19" s="1839"/>
      <c r="Q19" s="87"/>
      <c r="R19" s="87"/>
      <c r="S19" s="87"/>
      <c r="T19" s="87"/>
      <c r="U19" s="90"/>
      <c r="V19" s="87"/>
      <c r="W19" s="87"/>
    </row>
    <row r="20" spans="1:23">
      <c r="A20" s="87"/>
      <c r="B20" s="87"/>
      <c r="C20" s="87"/>
      <c r="D20" s="87"/>
      <c r="E20" s="350"/>
      <c r="F20" s="1839"/>
      <c r="G20" s="1839"/>
      <c r="H20" s="1839"/>
      <c r="I20" s="1839"/>
      <c r="J20" s="1839"/>
      <c r="K20" s="1839"/>
      <c r="L20" s="1839"/>
      <c r="M20" s="1839"/>
      <c r="N20" s="350"/>
      <c r="O20" s="1839"/>
      <c r="P20" s="1839"/>
      <c r="Q20" s="87"/>
      <c r="R20" s="87"/>
      <c r="S20" s="87"/>
      <c r="T20" s="87"/>
      <c r="U20" s="90"/>
      <c r="V20" s="87"/>
      <c r="W20" s="87"/>
    </row>
    <row r="21" spans="1:23">
      <c r="A21" s="87"/>
      <c r="B21" s="87"/>
      <c r="C21" s="87"/>
      <c r="D21" s="87"/>
      <c r="E21" s="350"/>
      <c r="F21" s="1839"/>
      <c r="G21" s="1839"/>
      <c r="H21" s="1839"/>
      <c r="I21" s="1839"/>
      <c r="J21" s="1839"/>
      <c r="K21" s="1839"/>
      <c r="L21" s="1839"/>
      <c r="M21" s="1839"/>
      <c r="N21" s="350"/>
      <c r="O21" s="1839"/>
      <c r="P21" s="1839"/>
      <c r="Q21" s="87"/>
      <c r="R21" s="87"/>
      <c r="S21" s="87"/>
      <c r="T21" s="87"/>
      <c r="U21" s="90"/>
      <c r="V21" s="87"/>
      <c r="W21" s="87"/>
    </row>
    <row r="22" spans="1:23">
      <c r="A22" s="87"/>
      <c r="B22" s="87"/>
      <c r="C22" s="87"/>
      <c r="D22" s="87"/>
      <c r="E22" s="350"/>
      <c r="F22" s="1839"/>
      <c r="G22" s="1839"/>
      <c r="H22" s="1839"/>
      <c r="I22" s="1839"/>
      <c r="J22" s="1839"/>
      <c r="K22" s="1839"/>
      <c r="L22" s="1839"/>
      <c r="M22" s="1839"/>
      <c r="N22" s="350"/>
      <c r="O22" s="1839"/>
      <c r="P22" s="1839"/>
      <c r="Q22" s="87"/>
      <c r="R22" s="87"/>
      <c r="S22" s="87"/>
      <c r="T22" s="87"/>
      <c r="U22" s="90"/>
      <c r="V22" s="87"/>
      <c r="W22" s="87"/>
    </row>
    <row r="23" spans="1:23">
      <c r="A23" s="87"/>
      <c r="B23" s="87"/>
      <c r="C23" s="87"/>
      <c r="D23" s="87"/>
      <c r="E23" s="350"/>
      <c r="F23" s="1839"/>
      <c r="G23" s="1839"/>
      <c r="H23" s="1839"/>
      <c r="I23" s="1839"/>
      <c r="J23" s="1839"/>
      <c r="K23" s="1839"/>
      <c r="L23" s="1839"/>
      <c r="M23" s="1839"/>
      <c r="N23" s="350"/>
      <c r="O23" s="1839"/>
      <c r="P23" s="1839"/>
      <c r="Q23" s="87"/>
      <c r="R23" s="87"/>
      <c r="S23" s="87"/>
      <c r="T23" s="87"/>
      <c r="U23" s="90"/>
      <c r="V23" s="87"/>
      <c r="W23" s="87"/>
    </row>
    <row r="24" spans="1:23">
      <c r="A24" s="87"/>
      <c r="B24" s="87"/>
      <c r="C24" s="87"/>
      <c r="D24" s="87"/>
      <c r="E24" s="350"/>
      <c r="F24" s="1839"/>
      <c r="G24" s="1839"/>
      <c r="H24" s="1839"/>
      <c r="I24" s="1839"/>
      <c r="J24" s="1839"/>
      <c r="K24" s="1839"/>
      <c r="L24" s="1839"/>
      <c r="M24" s="1839"/>
      <c r="N24" s="350"/>
      <c r="O24" s="1839"/>
      <c r="P24" s="1839"/>
      <c r="Q24" s="87"/>
      <c r="R24" s="87"/>
      <c r="S24" s="87"/>
      <c r="T24" s="87"/>
      <c r="U24" s="90"/>
      <c r="V24" s="87"/>
      <c r="W24" s="87"/>
    </row>
    <row r="25" spans="1:23">
      <c r="A25" s="87"/>
      <c r="B25" s="87"/>
      <c r="C25" s="87"/>
      <c r="D25" s="87"/>
      <c r="E25" s="351"/>
      <c r="F25" s="1840"/>
      <c r="G25" s="1840"/>
      <c r="H25" s="1840"/>
      <c r="I25" s="1840"/>
      <c r="J25" s="1840"/>
      <c r="K25" s="1840"/>
      <c r="L25" s="1840"/>
      <c r="M25" s="1840"/>
      <c r="N25" s="351"/>
      <c r="O25" s="1840"/>
      <c r="P25" s="1840"/>
      <c r="Q25" s="87"/>
      <c r="R25" s="87"/>
      <c r="S25" s="87"/>
      <c r="T25" s="87"/>
      <c r="U25" s="90"/>
      <c r="V25" s="87"/>
      <c r="W25" s="87"/>
    </row>
    <row r="26" spans="1:23" ht="36.6" customHeight="1">
      <c r="A26" s="87"/>
      <c r="B26" s="87"/>
      <c r="C26" s="87"/>
      <c r="D26" s="87"/>
      <c r="E26" s="1835" t="s">
        <v>247</v>
      </c>
      <c r="F26" s="1835"/>
      <c r="G26" s="1835"/>
      <c r="H26" s="1835"/>
      <c r="I26" s="1835"/>
      <c r="J26" s="1835"/>
      <c r="K26" s="1835"/>
      <c r="L26" s="1835"/>
      <c r="M26" s="1835"/>
      <c r="N26" s="1835"/>
      <c r="O26" s="1835"/>
      <c r="P26" s="1835"/>
      <c r="Q26" s="87"/>
      <c r="R26" s="87"/>
      <c r="S26" s="87"/>
      <c r="T26" s="87"/>
      <c r="U26" s="90">
        <f>ROW()</f>
        <v>26</v>
      </c>
      <c r="V26" s="87"/>
      <c r="W26" s="87"/>
    </row>
    <row r="27" spans="1:23" ht="36.6" customHeight="1">
      <c r="A27" s="87"/>
      <c r="B27" s="87"/>
      <c r="C27" s="87"/>
      <c r="D27" s="87"/>
      <c r="E27" s="1835" t="s">
        <v>5284</v>
      </c>
      <c r="F27" s="1835"/>
      <c r="G27" s="1835"/>
      <c r="H27" s="1835"/>
      <c r="I27" s="1835"/>
      <c r="J27" s="1835"/>
      <c r="K27" s="1835"/>
      <c r="L27" s="1835"/>
      <c r="M27" s="1835"/>
      <c r="N27" s="1835"/>
      <c r="O27" s="1835"/>
      <c r="P27" s="1835"/>
      <c r="Q27" s="87"/>
      <c r="R27" s="87"/>
      <c r="S27" s="87"/>
      <c r="T27" s="87"/>
      <c r="U27" s="90">
        <f>ROW()</f>
        <v>27</v>
      </c>
      <c r="V27" s="87"/>
      <c r="W27" s="87"/>
    </row>
    <row r="28" spans="1:23" ht="36.6" customHeight="1">
      <c r="A28" s="87"/>
      <c r="B28" s="87"/>
      <c r="C28" s="87"/>
      <c r="D28" s="87"/>
      <c r="E28" s="1835" t="str">
        <f>"4. Mẫu được lưu ở "&amp;DVTN&amp;" và bảo quản cẩn thận để đối chiếu khi cần thiết "</f>
        <v xml:space="preserve">4. Mẫu được lưu ở Phòng TNVL &amp; KĐCLCT Xây dựng LAS-XD 1931 thuộc Công ty TNHH Xây dựng Gia Lộc Khang và bảo quản cẩn thận để đối chiếu khi cần thiết </v>
      </c>
      <c r="F28" s="1835"/>
      <c r="G28" s="1835"/>
      <c r="H28" s="1835"/>
      <c r="I28" s="1835"/>
      <c r="J28" s="1835"/>
      <c r="K28" s="1835"/>
      <c r="L28" s="1835"/>
      <c r="M28" s="1835"/>
      <c r="N28" s="1835"/>
      <c r="O28" s="1835"/>
      <c r="P28" s="1835"/>
      <c r="Q28" s="87"/>
      <c r="R28" s="87"/>
      <c r="S28" s="87"/>
      <c r="T28" s="87"/>
      <c r="U28" s="90">
        <f>ROW()</f>
        <v>28</v>
      </c>
      <c r="V28" s="87"/>
      <c r="W28" s="87"/>
    </row>
    <row r="29" spans="1:23">
      <c r="A29" s="87"/>
      <c r="B29" s="87"/>
      <c r="C29" s="87"/>
      <c r="D29" s="87"/>
      <c r="E29" s="1836" t="s">
        <v>248</v>
      </c>
      <c r="F29" s="1836"/>
      <c r="G29" s="1836"/>
      <c r="H29" s="1836"/>
      <c r="I29" s="1836"/>
      <c r="J29" s="1836"/>
      <c r="K29" s="1836"/>
      <c r="L29" s="1836"/>
      <c r="M29" s="1836"/>
      <c r="N29" s="1836"/>
      <c r="O29" s="1836"/>
      <c r="P29" s="1836"/>
      <c r="Q29" s="87"/>
      <c r="R29" s="87"/>
      <c r="S29" s="87"/>
      <c r="T29" s="87"/>
      <c r="U29" s="87"/>
      <c r="V29" s="87"/>
      <c r="W29" s="87"/>
    </row>
    <row r="30" spans="1:23">
      <c r="A30" s="87"/>
      <c r="B30" s="87"/>
      <c r="C30" s="87"/>
      <c r="D30" s="87"/>
      <c r="E30" s="352"/>
      <c r="F30" s="352"/>
      <c r="G30" s="352"/>
      <c r="H30" s="352"/>
      <c r="I30" s="352"/>
      <c r="J30" s="352"/>
      <c r="K30" s="352"/>
      <c r="L30" s="352"/>
      <c r="M30" s="352"/>
      <c r="N30" s="352"/>
      <c r="O30" s="352"/>
      <c r="P30" s="352"/>
      <c r="Q30" s="87"/>
      <c r="R30" s="87"/>
      <c r="S30" s="87"/>
      <c r="T30" s="87"/>
      <c r="U30" s="87"/>
      <c r="V30" s="87"/>
      <c r="W30" s="87"/>
    </row>
    <row r="31" spans="1:23">
      <c r="A31" s="87"/>
      <c r="B31" s="87"/>
      <c r="C31" s="87"/>
      <c r="D31" s="87"/>
      <c r="E31" s="353"/>
      <c r="F31" s="353"/>
      <c r="G31" s="353"/>
      <c r="H31" s="353"/>
      <c r="I31" s="353"/>
      <c r="J31" s="353"/>
      <c r="K31" s="353"/>
      <c r="L31" s="353"/>
      <c r="M31" s="353"/>
      <c r="N31" s="353"/>
      <c r="O31" s="353"/>
      <c r="P31" s="353"/>
      <c r="Q31" s="87"/>
      <c r="R31" s="87"/>
      <c r="S31" s="87"/>
      <c r="T31" s="87"/>
      <c r="U31" s="87"/>
      <c r="V31" s="87"/>
      <c r="W31" s="87"/>
    </row>
    <row r="32" spans="1:23">
      <c r="A32" s="87"/>
      <c r="B32" s="87"/>
      <c r="C32" s="87"/>
      <c r="D32" s="87"/>
      <c r="E32" s="331"/>
      <c r="F32" s="144" t="s">
        <v>240</v>
      </c>
      <c r="G32" s="331"/>
      <c r="H32" s="331"/>
      <c r="I32" s="331"/>
      <c r="J32" s="331"/>
      <c r="K32" s="331"/>
      <c r="L32" s="331"/>
      <c r="M32" s="331"/>
      <c r="N32" s="331"/>
      <c r="O32" s="331"/>
      <c r="P32" s="331"/>
      <c r="Q32" s="87"/>
      <c r="R32" s="87"/>
      <c r="S32" s="87"/>
      <c r="T32" s="87"/>
      <c r="U32" s="87"/>
      <c r="V32" s="87"/>
      <c r="W32" s="87"/>
    </row>
    <row r="33" spans="1:23">
      <c r="A33" s="87"/>
      <c r="B33" s="87"/>
      <c r="C33" s="87"/>
      <c r="D33" s="87"/>
      <c r="E33" s="1837" t="s">
        <v>249</v>
      </c>
      <c r="F33" s="1837"/>
      <c r="G33" s="1837"/>
      <c r="H33" s="1837"/>
      <c r="I33" s="1837"/>
      <c r="J33" s="1837"/>
      <c r="K33" s="1837"/>
      <c r="L33" s="1837" t="s">
        <v>250</v>
      </c>
      <c r="M33" s="1837"/>
      <c r="N33" s="1837"/>
      <c r="O33" s="1837"/>
      <c r="P33" s="1837"/>
      <c r="Q33" s="87"/>
      <c r="R33" s="87"/>
      <c r="S33" s="87"/>
      <c r="T33" s="87"/>
      <c r="U33" s="87"/>
      <c r="V33" s="87"/>
      <c r="W33" s="87"/>
    </row>
    <row r="34" spans="1:23" ht="33.75" customHeight="1">
      <c r="A34" s="87"/>
      <c r="B34" s="87"/>
      <c r="C34" s="87"/>
      <c r="D34" s="87"/>
      <c r="E34" s="1828" t="str">
        <f>UPPER(CĐT)</f>
        <v>CÔNG TY TNHH MTV KHAI THÁC CÔNG TRÌNH THỦY LỢI NINH THUẬN</v>
      </c>
      <c r="F34" s="1828"/>
      <c r="G34" s="1828"/>
      <c r="H34" s="1828"/>
      <c r="I34" s="1828"/>
      <c r="J34" s="1828"/>
      <c r="K34" s="1828"/>
      <c r="L34" s="1828" t="str">
        <f>UPPER(DVGS)</f>
        <v>CÔNG TY TNHH TƯ VẤN ĐẦU TƯ XÂY DỰNG HUY ĐẠT</v>
      </c>
      <c r="M34" s="1828"/>
      <c r="N34" s="1828"/>
      <c r="O34" s="1828"/>
      <c r="P34" s="1828"/>
      <c r="Q34" s="87"/>
      <c r="R34" s="87"/>
      <c r="S34" s="87"/>
      <c r="T34" s="87"/>
      <c r="U34" s="87"/>
      <c r="V34" s="87"/>
      <c r="W34" s="87"/>
    </row>
    <row r="35" spans="1:23">
      <c r="A35" s="87"/>
      <c r="B35" s="87"/>
      <c r="C35" s="87"/>
      <c r="D35" s="87"/>
      <c r="E35" s="347"/>
      <c r="F35" s="347"/>
      <c r="G35" s="347"/>
      <c r="H35" s="347"/>
      <c r="I35" s="347"/>
      <c r="J35" s="347"/>
      <c r="K35" s="347"/>
      <c r="L35" s="347"/>
      <c r="M35" s="347"/>
      <c r="N35" s="347"/>
      <c r="O35" s="347"/>
      <c r="P35" s="347"/>
      <c r="Q35" s="87"/>
      <c r="R35" s="87"/>
      <c r="S35" s="87"/>
      <c r="T35" s="87"/>
      <c r="U35" s="87"/>
      <c r="V35" s="87"/>
      <c r="W35" s="87"/>
    </row>
    <row r="36" spans="1:23">
      <c r="A36" s="87"/>
      <c r="B36" s="87"/>
      <c r="C36" s="87"/>
      <c r="D36" s="87"/>
      <c r="E36" s="347"/>
      <c r="F36" s="347"/>
      <c r="G36" s="347"/>
      <c r="H36" s="347"/>
      <c r="I36" s="347"/>
      <c r="J36" s="347"/>
      <c r="K36" s="347"/>
      <c r="L36" s="347"/>
      <c r="M36" s="347"/>
      <c r="N36" s="347"/>
      <c r="O36" s="347"/>
      <c r="P36" s="347"/>
      <c r="Q36" s="87"/>
      <c r="R36" s="87"/>
      <c r="S36" s="87"/>
      <c r="T36" s="87"/>
      <c r="U36" s="87"/>
      <c r="V36" s="87"/>
      <c r="W36" s="87"/>
    </row>
    <row r="37" spans="1:23">
      <c r="A37" s="87"/>
      <c r="B37" s="87"/>
      <c r="C37" s="87"/>
      <c r="D37" s="87"/>
      <c r="E37" s="347"/>
      <c r="F37" s="347"/>
      <c r="G37" s="347"/>
      <c r="H37" s="347"/>
      <c r="I37" s="347"/>
      <c r="J37" s="347"/>
      <c r="K37" s="347"/>
      <c r="L37" s="347"/>
      <c r="M37" s="347"/>
      <c r="N37" s="347"/>
      <c r="O37" s="347"/>
      <c r="P37" s="347"/>
      <c r="Q37" s="87"/>
      <c r="R37" s="87"/>
      <c r="S37" s="87"/>
      <c r="T37" s="87"/>
      <c r="U37" s="87"/>
      <c r="V37" s="87"/>
      <c r="W37" s="87"/>
    </row>
    <row r="38" spans="1:23">
      <c r="A38" s="87"/>
      <c r="B38" s="87"/>
      <c r="C38" s="87"/>
      <c r="D38" s="87"/>
      <c r="E38" s="347"/>
      <c r="F38" s="347"/>
      <c r="G38" s="347"/>
      <c r="H38" s="347"/>
      <c r="I38" s="347"/>
      <c r="J38" s="347"/>
      <c r="K38" s="347"/>
      <c r="L38" s="347"/>
      <c r="M38" s="347"/>
      <c r="N38" s="347"/>
      <c r="O38" s="347"/>
      <c r="P38" s="347"/>
      <c r="Q38" s="87"/>
      <c r="R38" s="87"/>
      <c r="S38" s="87"/>
      <c r="T38" s="87"/>
      <c r="U38" s="87"/>
      <c r="V38" s="87"/>
      <c r="W38" s="87"/>
    </row>
    <row r="39" spans="1:23">
      <c r="A39" s="87"/>
      <c r="B39" s="87"/>
      <c r="C39" s="87"/>
      <c r="D39" s="87"/>
      <c r="E39" s="347"/>
      <c r="F39" s="347"/>
      <c r="G39" s="347"/>
      <c r="H39" s="347"/>
      <c r="I39" s="347"/>
      <c r="J39" s="347"/>
      <c r="K39" s="347"/>
      <c r="L39" s="347"/>
      <c r="M39" s="347"/>
      <c r="N39" s="347"/>
      <c r="O39" s="347"/>
      <c r="P39" s="347"/>
      <c r="Q39" s="87"/>
      <c r="R39" s="87"/>
      <c r="S39" s="87"/>
      <c r="T39" s="87"/>
      <c r="U39" s="87"/>
      <c r="V39" s="87"/>
      <c r="W39" s="87"/>
    </row>
    <row r="40" spans="1:23">
      <c r="A40" s="87"/>
      <c r="B40" s="87"/>
      <c r="C40" s="87"/>
      <c r="D40" s="87"/>
      <c r="E40" s="1838" t="s">
        <v>167</v>
      </c>
      <c r="F40" s="1838"/>
      <c r="G40" s="1838"/>
      <c r="H40" s="1838"/>
      <c r="I40" s="1838"/>
      <c r="J40" s="1838"/>
      <c r="K40" s="1838"/>
      <c r="L40" s="1838"/>
      <c r="M40" s="1838"/>
      <c r="N40" s="1838"/>
      <c r="O40" s="1838"/>
      <c r="P40" s="1838"/>
      <c r="Q40" s="87"/>
      <c r="R40" s="87"/>
      <c r="S40" s="87"/>
      <c r="T40" s="87"/>
      <c r="U40" s="87"/>
      <c r="V40" s="87"/>
      <c r="W40" s="87"/>
    </row>
    <row r="41" spans="1:23" ht="39" customHeight="1">
      <c r="A41" s="87"/>
      <c r="B41" s="87"/>
      <c r="C41" s="87"/>
      <c r="D41" s="87"/>
      <c r="E41" s="1828" t="str">
        <f>UPPER(DVTC)</f>
        <v>CÔNG TY TNHH XÂY DỰNG THỊNH DŨNG</v>
      </c>
      <c r="F41" s="1828"/>
      <c r="G41" s="1828"/>
      <c r="H41" s="1828"/>
      <c r="I41" s="1828"/>
      <c r="J41" s="1828"/>
      <c r="K41" s="1828"/>
      <c r="L41" s="1828"/>
      <c r="M41" s="1828"/>
      <c r="N41" s="1828"/>
      <c r="O41" s="1828"/>
      <c r="P41" s="1828"/>
      <c r="Q41" s="87"/>
      <c r="R41" s="87"/>
      <c r="S41" s="87"/>
      <c r="T41" s="87"/>
      <c r="U41" s="87"/>
      <c r="V41" s="87"/>
      <c r="W41" s="87"/>
    </row>
    <row r="42" spans="1:23">
      <c r="A42" s="87"/>
      <c r="B42" s="87"/>
      <c r="C42" s="87"/>
      <c r="D42" s="87"/>
      <c r="E42" s="331"/>
      <c r="F42" s="331"/>
      <c r="G42" s="331"/>
      <c r="H42" s="331"/>
      <c r="I42" s="331"/>
      <c r="J42" s="331"/>
      <c r="K42" s="331"/>
      <c r="L42" s="331"/>
      <c r="M42" s="331"/>
      <c r="N42" s="331"/>
      <c r="O42" s="331"/>
      <c r="P42" s="331"/>
      <c r="Q42" s="87"/>
      <c r="R42" s="87"/>
      <c r="S42" s="87"/>
      <c r="T42" s="87"/>
      <c r="U42" s="87"/>
      <c r="V42" s="87"/>
      <c r="W42" s="87"/>
    </row>
    <row r="43" spans="1:23">
      <c r="A43" s="87"/>
      <c r="B43" s="87"/>
      <c r="C43" s="87"/>
      <c r="D43" s="87"/>
      <c r="E43" s="331"/>
      <c r="F43" s="331"/>
      <c r="G43" s="331"/>
      <c r="H43" s="331"/>
      <c r="I43" s="331"/>
      <c r="J43" s="331"/>
      <c r="K43" s="331"/>
      <c r="L43" s="331"/>
      <c r="M43" s="331"/>
      <c r="N43" s="331"/>
      <c r="O43" s="331"/>
      <c r="P43" s="331"/>
      <c r="Q43" s="87"/>
      <c r="R43" s="87"/>
      <c r="S43" s="87"/>
      <c r="T43" s="87"/>
      <c r="U43" s="87"/>
      <c r="V43" s="87"/>
      <c r="W43" s="87"/>
    </row>
    <row r="44" spans="1:23">
      <c r="A44" s="87"/>
      <c r="B44" s="87"/>
      <c r="C44" s="87"/>
      <c r="D44" s="87"/>
      <c r="E44" s="331"/>
      <c r="F44" s="331"/>
      <c r="G44" s="331"/>
      <c r="H44" s="331"/>
      <c r="I44" s="331"/>
      <c r="J44" s="331"/>
      <c r="K44" s="331"/>
      <c r="L44" s="331"/>
      <c r="M44" s="331"/>
      <c r="N44" s="331"/>
      <c r="O44" s="331"/>
      <c r="P44" s="331"/>
      <c r="Q44" s="87"/>
      <c r="R44" s="87"/>
      <c r="S44" s="87"/>
      <c r="T44" s="87"/>
      <c r="U44" s="87"/>
      <c r="V44" s="87"/>
      <c r="W44" s="87"/>
    </row>
    <row r="45" spans="1:23">
      <c r="A45" s="87"/>
      <c r="B45" s="87"/>
      <c r="C45" s="87"/>
      <c r="D45" s="87"/>
      <c r="E45" s="331"/>
      <c r="F45" s="331"/>
      <c r="G45" s="331"/>
      <c r="H45" s="331"/>
      <c r="I45" s="331"/>
      <c r="J45" s="331"/>
      <c r="K45" s="331"/>
      <c r="L45" s="331"/>
      <c r="M45" s="331"/>
      <c r="N45" s="331"/>
      <c r="O45" s="331"/>
      <c r="P45" s="331"/>
      <c r="Q45" s="87"/>
      <c r="R45" s="87"/>
      <c r="S45" s="87"/>
      <c r="T45" s="87"/>
      <c r="U45" s="87"/>
      <c r="V45" s="87"/>
      <c r="W45" s="87"/>
    </row>
    <row r="46" spans="1:23">
      <c r="A46" s="87"/>
      <c r="B46" s="87"/>
      <c r="C46" s="87"/>
      <c r="D46" s="87"/>
      <c r="E46" s="87"/>
      <c r="F46" s="87"/>
      <c r="G46" s="87"/>
      <c r="H46" s="87"/>
      <c r="I46" s="87"/>
      <c r="J46" s="87"/>
      <c r="K46" s="87"/>
      <c r="L46" s="87"/>
      <c r="M46" s="87"/>
      <c r="N46" s="87"/>
      <c r="O46" s="87"/>
      <c r="P46" s="87"/>
      <c r="Q46" s="87"/>
      <c r="R46" s="87"/>
      <c r="S46" s="87"/>
      <c r="T46" s="87"/>
      <c r="U46" s="87"/>
      <c r="V46" s="87"/>
      <c r="W46" s="87"/>
    </row>
    <row r="47" spans="1:23">
      <c r="A47" s="87"/>
      <c r="B47" s="87"/>
      <c r="C47" s="87"/>
      <c r="D47" s="87"/>
      <c r="E47" s="87"/>
      <c r="F47" s="87"/>
      <c r="G47" s="87"/>
      <c r="H47" s="87"/>
      <c r="I47" s="87"/>
      <c r="J47" s="87"/>
      <c r="K47" s="87"/>
      <c r="L47" s="87"/>
      <c r="M47" s="87"/>
      <c r="N47" s="87"/>
      <c r="O47" s="87"/>
      <c r="P47" s="87"/>
      <c r="Q47" s="87"/>
      <c r="R47" s="87"/>
      <c r="S47" s="87"/>
      <c r="T47" s="87"/>
      <c r="U47" s="87"/>
      <c r="V47" s="87"/>
      <c r="W47" s="87"/>
    </row>
    <row r="48" spans="1:23">
      <c r="A48" s="87"/>
      <c r="B48" s="87"/>
      <c r="C48" s="87"/>
      <c r="D48" s="87"/>
      <c r="E48" s="87"/>
      <c r="F48" s="87"/>
      <c r="G48" s="87"/>
      <c r="H48" s="87"/>
      <c r="I48" s="87"/>
      <c r="J48" s="87"/>
      <c r="K48" s="87"/>
      <c r="L48" s="87"/>
      <c r="M48" s="87"/>
      <c r="N48" s="87"/>
      <c r="O48" s="87"/>
      <c r="P48" s="87"/>
      <c r="Q48" s="87"/>
      <c r="R48" s="87"/>
      <c r="S48" s="87"/>
      <c r="T48" s="87"/>
      <c r="U48" s="87"/>
      <c r="V48" s="87"/>
      <c r="W48" s="87"/>
    </row>
    <row r="49" spans="1:23">
      <c r="A49" s="87"/>
      <c r="B49" s="87"/>
      <c r="C49" s="87"/>
      <c r="D49" s="87"/>
      <c r="E49" s="87"/>
      <c r="F49" s="87"/>
      <c r="G49" s="87"/>
      <c r="H49" s="87"/>
      <c r="I49" s="87"/>
      <c r="J49" s="87"/>
      <c r="K49" s="87"/>
      <c r="L49" s="87"/>
      <c r="M49" s="87"/>
      <c r="N49" s="87"/>
      <c r="O49" s="87"/>
      <c r="P49" s="87"/>
      <c r="Q49" s="87"/>
      <c r="R49" s="87"/>
      <c r="S49" s="87"/>
      <c r="T49" s="87"/>
      <c r="U49" s="87"/>
      <c r="V49" s="87"/>
      <c r="W49" s="87"/>
    </row>
    <row r="50" spans="1:23">
      <c r="A50" s="87"/>
      <c r="B50" s="87"/>
      <c r="C50" s="87"/>
      <c r="D50" s="87"/>
      <c r="E50" s="87"/>
      <c r="F50" s="87"/>
      <c r="G50" s="87"/>
      <c r="H50" s="87"/>
      <c r="I50" s="87"/>
      <c r="J50" s="87"/>
      <c r="K50" s="87"/>
      <c r="L50" s="87"/>
      <c r="M50" s="87"/>
      <c r="N50" s="87"/>
      <c r="O50" s="87"/>
      <c r="P50" s="87"/>
      <c r="Q50" s="87"/>
      <c r="R50" s="87"/>
      <c r="S50" s="87"/>
      <c r="T50" s="87"/>
      <c r="U50" s="87"/>
      <c r="V50" s="87"/>
      <c r="W50" s="87"/>
    </row>
    <row r="51" spans="1:23">
      <c r="A51" s="87"/>
      <c r="B51" s="87"/>
      <c r="C51" s="87"/>
      <c r="D51" s="87"/>
      <c r="E51" s="87"/>
      <c r="F51" s="87"/>
      <c r="G51" s="87"/>
      <c r="H51" s="87"/>
      <c r="I51" s="87"/>
      <c r="J51" s="87"/>
      <c r="K51" s="87"/>
      <c r="L51" s="87"/>
      <c r="M51" s="87"/>
      <c r="N51" s="87"/>
      <c r="O51" s="87"/>
      <c r="P51" s="87"/>
      <c r="Q51" s="87"/>
      <c r="R51" s="87"/>
      <c r="S51" s="87"/>
      <c r="T51" s="87"/>
      <c r="U51" s="87"/>
      <c r="V51" s="87"/>
      <c r="W51" s="87"/>
    </row>
    <row r="52" spans="1:23">
      <c r="A52" s="87"/>
      <c r="B52" s="87"/>
      <c r="C52" s="87"/>
      <c r="D52" s="87"/>
      <c r="E52" s="87"/>
      <c r="F52" s="87"/>
      <c r="G52" s="87"/>
      <c r="H52" s="87"/>
      <c r="I52" s="87"/>
      <c r="J52" s="87"/>
      <c r="K52" s="87"/>
      <c r="L52" s="87"/>
      <c r="M52" s="87"/>
      <c r="N52" s="87"/>
      <c r="O52" s="87"/>
      <c r="P52" s="87"/>
      <c r="Q52" s="87"/>
      <c r="R52" s="87"/>
      <c r="S52" s="87"/>
      <c r="T52" s="87"/>
      <c r="U52" s="87"/>
      <c r="V52" s="87"/>
      <c r="W52" s="87"/>
    </row>
    <row r="53" spans="1:23">
      <c r="A53" s="87"/>
      <c r="B53" s="87"/>
      <c r="C53" s="87"/>
      <c r="D53" s="87"/>
      <c r="E53" s="87"/>
      <c r="F53" s="87"/>
      <c r="G53" s="87"/>
      <c r="H53" s="87"/>
      <c r="I53" s="87"/>
      <c r="J53" s="87"/>
      <c r="K53" s="87"/>
      <c r="L53" s="87"/>
      <c r="M53" s="87"/>
      <c r="N53" s="87"/>
      <c r="O53" s="87"/>
      <c r="P53" s="87"/>
      <c r="Q53" s="87"/>
      <c r="R53" s="87"/>
      <c r="S53" s="87"/>
      <c r="T53" s="87"/>
      <c r="U53" s="87"/>
      <c r="V53" s="87"/>
      <c r="W53" s="87"/>
    </row>
    <row r="54" spans="1:23">
      <c r="A54" s="87"/>
      <c r="B54" s="87"/>
      <c r="C54" s="87"/>
      <c r="D54" s="87"/>
      <c r="E54" s="87"/>
      <c r="F54" s="87"/>
      <c r="G54" s="87"/>
      <c r="H54" s="87"/>
      <c r="I54" s="87"/>
      <c r="J54" s="87"/>
      <c r="K54" s="87"/>
      <c r="L54" s="87"/>
      <c r="M54" s="87"/>
      <c r="N54" s="87"/>
      <c r="O54" s="87"/>
      <c r="P54" s="87"/>
      <c r="Q54" s="87"/>
      <c r="R54" s="87"/>
      <c r="S54" s="87"/>
      <c r="T54" s="87"/>
      <c r="U54" s="87"/>
      <c r="V54" s="87"/>
      <c r="W54" s="87"/>
    </row>
  </sheetData>
  <mergeCells count="64">
    <mergeCell ref="E10:P10"/>
    <mergeCell ref="E11:P11"/>
    <mergeCell ref="E12:P12"/>
    <mergeCell ref="E13:P13"/>
    <mergeCell ref="E2:P2"/>
    <mergeCell ref="E3:P3"/>
    <mergeCell ref="E5:P5"/>
    <mergeCell ref="E6:P6"/>
    <mergeCell ref="E8:P8"/>
    <mergeCell ref="E34:K34"/>
    <mergeCell ref="L34:P34"/>
    <mergeCell ref="F15:H15"/>
    <mergeCell ref="I15:K15"/>
    <mergeCell ref="L15:M15"/>
    <mergeCell ref="O15:P15"/>
    <mergeCell ref="F16:H16"/>
    <mergeCell ref="I16:K16"/>
    <mergeCell ref="L16:M16"/>
    <mergeCell ref="O16:P16"/>
    <mergeCell ref="F21:H21"/>
    <mergeCell ref="I21:K21"/>
    <mergeCell ref="L21:M21"/>
    <mergeCell ref="O21:P21"/>
    <mergeCell ref="F17:H17"/>
    <mergeCell ref="I17:K17"/>
    <mergeCell ref="L17:M17"/>
    <mergeCell ref="F22:H22"/>
    <mergeCell ref="I22:K22"/>
    <mergeCell ref="L22:M22"/>
    <mergeCell ref="O22:P22"/>
    <mergeCell ref="O17:P17"/>
    <mergeCell ref="F18:H18"/>
    <mergeCell ref="I18:K18"/>
    <mergeCell ref="L18:M18"/>
    <mergeCell ref="O18:P18"/>
    <mergeCell ref="F25:H25"/>
    <mergeCell ref="I25:K25"/>
    <mergeCell ref="L25:M25"/>
    <mergeCell ref="O25:P25"/>
    <mergeCell ref="O19:P19"/>
    <mergeCell ref="F23:H23"/>
    <mergeCell ref="I23:K23"/>
    <mergeCell ref="L23:M23"/>
    <mergeCell ref="O23:P23"/>
    <mergeCell ref="F24:H24"/>
    <mergeCell ref="I24:K24"/>
    <mergeCell ref="L24:M24"/>
    <mergeCell ref="O24:P24"/>
    <mergeCell ref="E1:P1"/>
    <mergeCell ref="E28:P28"/>
    <mergeCell ref="E29:P29"/>
    <mergeCell ref="E41:P41"/>
    <mergeCell ref="E33:K33"/>
    <mergeCell ref="L33:P33"/>
    <mergeCell ref="E40:P40"/>
    <mergeCell ref="E26:P26"/>
    <mergeCell ref="E27:P27"/>
    <mergeCell ref="F20:H20"/>
    <mergeCell ref="I20:K20"/>
    <mergeCell ref="L20:M20"/>
    <mergeCell ref="O20:P20"/>
    <mergeCell ref="F19:H19"/>
    <mergeCell ref="I19:K19"/>
    <mergeCell ref="L19:M19"/>
  </mergeCells>
  <pageMargins left="0.70866141732283472" right="0.33" top="0.35" bottom="0.3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4">
    <tabColor rgb="FF00B050"/>
  </sheetPr>
  <dimension ref="A1:W83"/>
  <sheetViews>
    <sheetView showGridLines="0" zoomScaleNormal="100" workbookViewId="0">
      <pane xSplit="23" ySplit="4" topLeftCell="X51" activePane="bottomRight" state="frozen"/>
      <selection pane="topRight" activeCell="X1" sqref="X1"/>
      <selection pane="bottomLeft" activeCell="A4" sqref="A4"/>
      <selection pane="bottomRight" activeCell="E13" sqref="E13:P13"/>
    </sheetView>
  </sheetViews>
  <sheetFormatPr defaultRowHeight="16.5"/>
  <cols>
    <col min="1" max="4" width="8.88671875" style="29"/>
    <col min="5" max="5" width="6.77734375" style="29" customWidth="1"/>
    <col min="6" max="6" width="4.88671875" style="29" customWidth="1"/>
    <col min="7" max="8" width="6.77734375" style="29" customWidth="1"/>
    <col min="9" max="9" width="5.21875" style="29" customWidth="1"/>
    <col min="10" max="10" width="5.109375" style="29" customWidth="1"/>
    <col min="11" max="11" width="6.109375" style="29" customWidth="1"/>
    <col min="12" max="16" width="6.77734375" style="29" customWidth="1"/>
    <col min="17" max="16384" width="8.88671875" style="29"/>
  </cols>
  <sheetData>
    <row r="1" spans="1:23" ht="27.75" customHeight="1">
      <c r="A1" s="90" t="s">
        <v>5831</v>
      </c>
      <c r="B1" s="87"/>
      <c r="C1" s="87"/>
      <c r="D1" s="87"/>
      <c r="E1" s="1846" t="s">
        <v>4479</v>
      </c>
      <c r="F1" s="1846"/>
      <c r="G1" s="1846"/>
      <c r="H1" s="1846"/>
      <c r="I1" s="1846"/>
      <c r="J1" s="1846"/>
      <c r="K1" s="1846"/>
      <c r="L1" s="1846"/>
      <c r="M1" s="1846"/>
      <c r="N1" s="1846"/>
      <c r="O1" s="1846"/>
      <c r="P1" s="1846"/>
      <c r="Q1" s="87"/>
      <c r="R1" s="87"/>
      <c r="S1" s="87"/>
      <c r="T1" s="87"/>
      <c r="U1" s="87"/>
      <c r="V1" s="87"/>
      <c r="W1" s="87"/>
    </row>
    <row r="2" spans="1:23">
      <c r="A2" s="87"/>
      <c r="B2" s="87"/>
      <c r="C2" s="87"/>
      <c r="D2" s="87"/>
      <c r="E2" s="1785" t="str">
        <f>PhieuCTVL!E2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PhieuCTVL!E3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6" customHeight="1">
      <c r="A4" s="87"/>
      <c r="B4" s="87"/>
      <c r="C4" s="87"/>
      <c r="D4" s="87"/>
      <c r="E4" s="87"/>
      <c r="F4" s="87"/>
      <c r="G4" s="87"/>
      <c r="H4" s="87"/>
      <c r="I4" s="87"/>
      <c r="J4" s="87"/>
      <c r="K4" s="87"/>
      <c r="L4" s="87"/>
      <c r="M4" s="87"/>
      <c r="N4" s="87"/>
      <c r="O4" s="87"/>
      <c r="P4" s="87"/>
      <c r="Q4" s="87"/>
      <c r="R4" s="87"/>
      <c r="S4" s="87"/>
      <c r="T4" s="87"/>
      <c r="U4" s="87"/>
      <c r="V4" s="87"/>
      <c r="W4" s="87"/>
    </row>
    <row r="5" spans="1:23">
      <c r="A5" s="87"/>
      <c r="B5" s="87"/>
      <c r="C5" s="87"/>
      <c r="D5" s="87"/>
      <c r="E5" s="1847" t="s">
        <v>158</v>
      </c>
      <c r="F5" s="1847"/>
      <c r="G5" s="1847"/>
      <c r="H5" s="1847"/>
      <c r="I5" s="1847"/>
      <c r="J5" s="1847"/>
      <c r="K5" s="1847"/>
      <c r="L5" s="1847"/>
      <c r="M5" s="1847"/>
      <c r="N5" s="1847"/>
      <c r="O5" s="1847"/>
      <c r="P5" s="1847"/>
      <c r="Q5" s="87"/>
      <c r="R5" s="87"/>
      <c r="S5" s="87"/>
      <c r="T5" s="87"/>
      <c r="U5" s="1262"/>
      <c r="V5" s="87"/>
      <c r="W5" s="87"/>
    </row>
    <row r="6" spans="1:23" ht="16.5" customHeight="1">
      <c r="A6" s="87"/>
      <c r="B6" s="87"/>
      <c r="C6" s="87"/>
      <c r="D6" s="87"/>
      <c r="E6" s="1847" t="s">
        <v>161</v>
      </c>
      <c r="F6" s="1847"/>
      <c r="G6" s="1847"/>
      <c r="H6" s="1847"/>
      <c r="I6" s="1847"/>
      <c r="J6" s="1847"/>
      <c r="K6" s="1847"/>
      <c r="L6" s="1847"/>
      <c r="M6" s="1847"/>
      <c r="N6" s="1847"/>
      <c r="O6" s="1847"/>
      <c r="P6" s="1847"/>
      <c r="Q6" s="87"/>
      <c r="R6" s="87"/>
      <c r="S6" s="87"/>
      <c r="T6" s="87"/>
      <c r="U6" s="1262"/>
      <c r="V6" s="87"/>
      <c r="W6" s="87"/>
    </row>
    <row r="7" spans="1:23">
      <c r="A7" s="87"/>
      <c r="B7" s="87"/>
      <c r="C7" s="87"/>
      <c r="D7" s="87"/>
      <c r="E7" s="1850" t="s">
        <v>4480</v>
      </c>
      <c r="F7" s="1851"/>
      <c r="G7" s="1851"/>
      <c r="H7" s="1851"/>
      <c r="I7" s="1851"/>
      <c r="J7" s="1851"/>
      <c r="K7" s="1851"/>
      <c r="L7" s="1851"/>
      <c r="M7" s="1851"/>
      <c r="N7" s="1851"/>
      <c r="O7" s="1851"/>
      <c r="P7" s="1851"/>
      <c r="Q7" s="87"/>
      <c r="R7" s="87"/>
      <c r="S7" s="87"/>
      <c r="T7" s="87"/>
      <c r="U7" s="1262"/>
      <c r="V7" s="87"/>
      <c r="W7" s="87"/>
    </row>
    <row r="8" spans="1:23" ht="18.75">
      <c r="A8" s="87"/>
      <c r="B8" s="87"/>
      <c r="C8" s="87"/>
      <c r="D8" s="87"/>
      <c r="E8" s="637"/>
      <c r="F8" s="1848" t="str">
        <f>Diadanh&amp;", ngày  "&amp;DAY(Nhattrinh!K8)&amp;" tháng  "&amp;MONTH(Nhattrinh!K8 )&amp;"  năm "&amp;YEAR(Nhattrinh!K8 )</f>
        <v>Ninh Hải, ngày  3 tháng  5  năm 2020</v>
      </c>
      <c r="G8" s="1848"/>
      <c r="H8" s="1848"/>
      <c r="I8" s="1848"/>
      <c r="J8" s="1848"/>
      <c r="K8" s="1848"/>
      <c r="L8" s="1848"/>
      <c r="M8" s="1848"/>
      <c r="N8" s="1848"/>
      <c r="O8" s="1848"/>
      <c r="P8" s="1848"/>
      <c r="Q8" s="87"/>
      <c r="R8" s="87"/>
      <c r="S8" s="87"/>
      <c r="T8" s="87"/>
      <c r="U8" s="1262"/>
      <c r="V8" s="87"/>
      <c r="W8" s="87"/>
    </row>
    <row r="9" spans="1:23">
      <c r="A9" s="87"/>
      <c r="B9" s="87"/>
      <c r="C9" s="87"/>
      <c r="D9" s="87"/>
      <c r="E9" s="817"/>
      <c r="F9"/>
      <c r="G9"/>
      <c r="H9"/>
      <c r="I9"/>
      <c r="J9"/>
      <c r="Q9" s="87"/>
      <c r="R9" s="87"/>
      <c r="S9" s="87"/>
      <c r="T9" s="87"/>
      <c r="U9" s="1262"/>
      <c r="V9" s="87"/>
      <c r="W9" s="87"/>
    </row>
    <row r="10" spans="1:23" ht="20.25">
      <c r="A10" s="87"/>
      <c r="B10" s="87"/>
      <c r="C10" s="87"/>
      <c r="D10" s="87"/>
      <c r="E10" s="1806" t="s">
        <v>263</v>
      </c>
      <c r="F10" s="1806"/>
      <c r="G10" s="1806"/>
      <c r="H10" s="1806"/>
      <c r="I10" s="1806"/>
      <c r="J10" s="1806"/>
      <c r="K10" s="1806"/>
      <c r="L10" s="1806"/>
      <c r="M10" s="1806"/>
      <c r="N10" s="1806"/>
      <c r="O10" s="1806"/>
      <c r="P10" s="1806"/>
      <c r="Q10" s="87"/>
      <c r="R10" s="87"/>
      <c r="S10" s="87"/>
      <c r="T10" s="87"/>
      <c r="U10" s="1262"/>
      <c r="V10" s="87"/>
      <c r="W10" s="87"/>
    </row>
    <row r="11" spans="1:23" ht="20.25">
      <c r="A11" s="87"/>
      <c r="B11" s="87"/>
      <c r="C11" s="87"/>
      <c r="D11" s="87"/>
      <c r="E11" s="1806" t="s">
        <v>4454</v>
      </c>
      <c r="F11" s="1806"/>
      <c r="G11" s="1806"/>
      <c r="H11" s="1806"/>
      <c r="I11" s="1806"/>
      <c r="J11" s="1806"/>
      <c r="K11" s="1806"/>
      <c r="L11" s="1806"/>
      <c r="M11" s="1806"/>
      <c r="N11" s="1806"/>
      <c r="O11" s="1806"/>
      <c r="P11" s="1806"/>
      <c r="Q11" s="87"/>
      <c r="R11" s="87"/>
      <c r="S11" s="87"/>
      <c r="T11" s="87"/>
      <c r="U11" s="1262"/>
      <c r="V11" s="87"/>
      <c r="W11" s="87"/>
    </row>
    <row r="12" spans="1:23">
      <c r="A12" s="87"/>
      <c r="B12" s="87"/>
      <c r="C12" s="87"/>
      <c r="D12" s="87"/>
      <c r="E12" s="818"/>
      <c r="F12"/>
      <c r="G12"/>
      <c r="H12"/>
      <c r="I12"/>
      <c r="J12"/>
      <c r="Q12" s="87"/>
      <c r="R12" s="87"/>
      <c r="S12" s="87"/>
      <c r="T12" s="87"/>
      <c r="U12" s="1262"/>
      <c r="V12" s="87"/>
      <c r="W12" s="87"/>
    </row>
    <row r="13" spans="1:23" ht="69.599999999999994" customHeight="1">
      <c r="A13" s="87"/>
      <c r="B13" s="87"/>
      <c r="C13" s="87"/>
      <c r="D13" s="87"/>
      <c r="E13" s="1849" t="str">
        <f>"     Thưc hiện Điểm c, Khoản 1, Điều 47 Nghị định số 37/2015/NĐ-CP ngày 22/4/2015 của Thủ tướng Chính phủ quy định chi tiết về hợp đồng xây dựng và hợp đồng thi công công trình: "&amp;NDtieude1</f>
        <v xml:space="preserve">     Thưc hiện Điểm c, Khoản 1, Điều 47 Nghị định số 37/2015/NĐ-CP ngày 22/4/2015 của Thủ tướng Chính phủ quy định chi tiết về hợp đồng xây dựng và hợp đồng thi công công trình: Gia cố nâng cấp kênh Bà Xoài từ K0+300÷K0+600 - Hệ thống thủy lợi Nha Trinh, huyện Ninh Hải, tỉnh Ninh Thuận</v>
      </c>
      <c r="F13" s="1849"/>
      <c r="G13" s="1849"/>
      <c r="H13" s="1849"/>
      <c r="I13" s="1849"/>
      <c r="J13" s="1849"/>
      <c r="K13" s="1849"/>
      <c r="L13" s="1849"/>
      <c r="M13" s="1849"/>
      <c r="N13" s="1849"/>
      <c r="O13" s="1849"/>
      <c r="P13" s="1849"/>
      <c r="Q13" s="87"/>
      <c r="R13" s="87"/>
      <c r="S13" s="87"/>
      <c r="T13" s="87"/>
      <c r="U13" s="1262">
        <f>ROW()</f>
        <v>13</v>
      </c>
      <c r="V13" s="87"/>
      <c r="W13" s="87"/>
    </row>
    <row r="14" spans="1:23" ht="69.599999999999994" customHeight="1">
      <c r="A14" s="87"/>
      <c r="B14" s="87"/>
      <c r="C14" s="87"/>
      <c r="D14" s="87"/>
      <c r="E14" s="1849" t="str">
        <f>"     Trên cơ sở, nghiên cứu hồ sơ năng lực của các đơn vị thí nghiệm và kiểm tra vật liệu xây dựng do các nhà thầu đề xuất, ý kiến của Tư vấn giám sát về việc chấp thuận đơn vị thí nghiệm cho các nhà thầu thi công xây dựng công trình:"&amp;NDtieude1</f>
        <v xml:space="preserve">     Trên cơ sở, nghiên cứu hồ sơ năng lực của các đơn vị thí nghiệm và kiểm tra vật liệu xây dựng do các nhà thầu đề xuất, ý kiến của Tư vấn giám sát về việc chấp thuận đơn vị thí nghiệm cho các nhà thầu thi công xây dựng công trình:Gia cố nâng cấp kênh Bà Xoài từ K0+300÷K0+600 - Hệ thống thủy lợi Nha Trinh, huyện Ninh Hải, tỉnh Ninh Thuận</v>
      </c>
      <c r="F14" s="1849"/>
      <c r="G14" s="1849"/>
      <c r="H14" s="1849"/>
      <c r="I14" s="1849"/>
      <c r="J14" s="1849"/>
      <c r="K14" s="1849"/>
      <c r="L14" s="1849"/>
      <c r="M14" s="1849"/>
      <c r="N14" s="1849"/>
      <c r="O14" s="1849"/>
      <c r="P14" s="1849"/>
      <c r="Q14" s="87"/>
      <c r="R14" s="87"/>
      <c r="S14" s="87"/>
      <c r="T14" s="87"/>
      <c r="U14" s="1262">
        <f>ROW()</f>
        <v>14</v>
      </c>
      <c r="V14" s="87"/>
      <c r="W14" s="87"/>
    </row>
    <row r="15" spans="1:23" ht="53.1" customHeight="1">
      <c r="A15" s="87"/>
      <c r="B15" s="87"/>
      <c r="C15" s="87"/>
      <c r="D15" s="87"/>
      <c r="E15" s="1849" t="str">
        <f>"     Hôm nay, ngày  "&amp;DAY(Nhattrinh!K8)&amp;" tháng  "&amp;MONTH(Nhattrinh!K8 )&amp;"  năm "&amp;YEAR(Nhattrinh!K8 )&amp;", "&amp;CĐT&amp;" đã cùng với các đơn vị liên quan đi kiểm tra thực tế các phòng thí nghiệm của các đơn vị, cụ thể như:"</f>
        <v xml:space="preserve">     Hôm nay, ngày  3 tháng  5  năm 2020, Công ty TNHH MTV khai thác công trình thủy lợi Ninh Thuận đã cùng với các đơn vị liên quan đi kiểm tra thực tế các phòng thí nghiệm của các đơn vị, cụ thể như:</v>
      </c>
      <c r="F15" s="1849"/>
      <c r="G15" s="1849"/>
      <c r="H15" s="1849"/>
      <c r="I15" s="1849"/>
      <c r="J15" s="1849"/>
      <c r="K15" s="1849"/>
      <c r="L15" s="1849"/>
      <c r="M15" s="1849"/>
      <c r="N15" s="1849"/>
      <c r="O15" s="1849"/>
      <c r="P15" s="1849"/>
      <c r="Q15" s="87"/>
      <c r="R15" s="87"/>
      <c r="S15" s="87"/>
      <c r="T15" s="87"/>
      <c r="U15" s="1262">
        <f>ROW()</f>
        <v>15</v>
      </c>
      <c r="V15" s="87"/>
      <c r="W15" s="87"/>
    </row>
    <row r="16" spans="1:23" ht="18.75">
      <c r="A16" s="87"/>
      <c r="B16" s="87"/>
      <c r="C16" s="87"/>
      <c r="D16" s="87"/>
      <c r="E16" s="1854" t="s">
        <v>4455</v>
      </c>
      <c r="F16" s="1854"/>
      <c r="G16" s="1854"/>
      <c r="H16" s="1854"/>
      <c r="I16" s="1854"/>
      <c r="J16" s="1854"/>
      <c r="K16" s="1854"/>
      <c r="L16" s="1854"/>
      <c r="M16" s="1854"/>
      <c r="N16" s="1854"/>
      <c r="O16" s="1854"/>
      <c r="P16" s="1854"/>
      <c r="Q16" s="87"/>
      <c r="R16" s="87"/>
      <c r="S16" s="87"/>
      <c r="T16" s="87"/>
      <c r="U16" s="1262"/>
      <c r="V16" s="87"/>
      <c r="W16" s="87"/>
    </row>
    <row r="17" spans="1:23" ht="9.75" customHeight="1">
      <c r="A17" s="87"/>
      <c r="B17" s="87"/>
      <c r="C17" s="87"/>
      <c r="D17" s="87"/>
      <c r="E17" s="825"/>
      <c r="F17" s="825"/>
      <c r="G17" s="825"/>
      <c r="H17" s="825"/>
      <c r="I17" s="825"/>
      <c r="J17" s="825"/>
      <c r="K17" s="825"/>
      <c r="L17" s="825"/>
      <c r="M17" s="825"/>
      <c r="N17" s="825"/>
      <c r="O17" s="825"/>
      <c r="P17" s="825"/>
      <c r="Q17" s="87"/>
      <c r="R17" s="87"/>
      <c r="S17" s="87"/>
      <c r="T17" s="87"/>
      <c r="U17" s="1262"/>
      <c r="V17" s="87"/>
      <c r="W17" s="87"/>
    </row>
    <row r="18" spans="1:23" ht="39" customHeight="1">
      <c r="A18" s="87"/>
      <c r="B18" s="87"/>
      <c r="C18" s="87"/>
      <c r="D18" s="87"/>
      <c r="E18" s="1855" t="str">
        <f>"1.1. Đại diện chủ đầu tư:  "&amp;CĐT</f>
        <v>1.1. Đại diện chủ đầu tư:  Công ty TNHH MTV khai thác công trình thủy lợi Ninh Thuận</v>
      </c>
      <c r="F18" s="1524"/>
      <c r="G18" s="1524"/>
      <c r="H18" s="1524"/>
      <c r="I18" s="1524"/>
      <c r="J18" s="1524"/>
      <c r="K18" s="1524"/>
      <c r="L18" s="1524"/>
      <c r="M18" s="1524"/>
      <c r="N18" s="1524"/>
      <c r="O18" s="1524"/>
      <c r="P18" s="1524"/>
      <c r="Q18" s="87"/>
      <c r="R18" s="87"/>
      <c r="S18" s="87"/>
      <c r="T18" s="87"/>
      <c r="U18" s="1262">
        <f>ROW()</f>
        <v>18</v>
      </c>
      <c r="V18" s="87"/>
      <c r="W18" s="87"/>
    </row>
    <row r="19" spans="1:23" ht="18.75" customHeight="1">
      <c r="A19" s="87"/>
      <c r="B19" s="87"/>
      <c r="C19" s="87"/>
      <c r="D19" s="87"/>
      <c r="E19" s="1856" t="s">
        <v>4456</v>
      </c>
      <c r="F19" s="1856"/>
      <c r="G19" s="1856"/>
      <c r="H19" s="1856"/>
      <c r="I19" s="1856"/>
      <c r="J19"/>
      <c r="K19" s="1853" t="s">
        <v>4457</v>
      </c>
      <c r="L19" s="1853"/>
      <c r="M19" s="1853"/>
      <c r="N19" s="1853"/>
      <c r="O19" s="1853"/>
      <c r="P19" s="1853"/>
      <c r="Q19" s="87"/>
      <c r="R19" s="87"/>
      <c r="S19" s="87"/>
      <c r="T19" s="87"/>
      <c r="U19" s="1262"/>
      <c r="V19" s="87"/>
      <c r="W19" s="87"/>
    </row>
    <row r="20" spans="1:23" ht="18.75" customHeight="1">
      <c r="A20" s="87"/>
      <c r="B20" s="87"/>
      <c r="C20" s="87"/>
      <c r="D20" s="87"/>
      <c r="E20" s="1856" t="s">
        <v>4456</v>
      </c>
      <c r="F20" s="1856"/>
      <c r="G20" s="1856"/>
      <c r="H20" s="1856"/>
      <c r="I20" s="1856"/>
      <c r="J20"/>
      <c r="K20" s="1853" t="s">
        <v>4457</v>
      </c>
      <c r="L20" s="1853"/>
      <c r="M20" s="1853"/>
      <c r="N20" s="1853"/>
      <c r="O20" s="1853"/>
      <c r="P20" s="1853"/>
      <c r="Q20" s="87"/>
      <c r="R20" s="87"/>
      <c r="S20" s="87"/>
      <c r="T20" s="87"/>
      <c r="U20" s="1262"/>
      <c r="V20" s="87"/>
      <c r="W20" s="87"/>
    </row>
    <row r="21" spans="1:23" ht="9.75" customHeight="1">
      <c r="A21" s="87"/>
      <c r="B21" s="87"/>
      <c r="C21" s="87"/>
      <c r="D21" s="87"/>
      <c r="E21" s="823"/>
      <c r="F21" s="823"/>
      <c r="G21" s="823"/>
      <c r="H21" s="823"/>
      <c r="I21" s="823"/>
      <c r="J21"/>
      <c r="K21" s="823"/>
      <c r="L21" s="823"/>
      <c r="M21" s="823"/>
      <c r="N21" s="823"/>
      <c r="O21" s="823"/>
      <c r="P21" s="823"/>
      <c r="Q21" s="87"/>
      <c r="R21" s="87"/>
      <c r="S21" s="87"/>
      <c r="T21" s="87"/>
      <c r="U21" s="1262"/>
      <c r="V21" s="87"/>
      <c r="W21" s="87"/>
    </row>
    <row r="22" spans="1:23" ht="39" customHeight="1">
      <c r="A22" s="87"/>
      <c r="B22" s="87"/>
      <c r="C22" s="87"/>
      <c r="D22" s="87"/>
      <c r="E22" s="1855" t="str">
        <f>"1.2. Đại diện đơn vị tư vấn giám sát: "&amp;DVGS</f>
        <v>1.2. Đại diện đơn vị tư vấn giám sát: Công ty TNHH Tư vấn Đầu tư Xây dựng Huy Đạt</v>
      </c>
      <c r="F22" s="1524"/>
      <c r="G22" s="1524"/>
      <c r="H22" s="1524"/>
      <c r="I22" s="1524"/>
      <c r="J22" s="1524"/>
      <c r="K22" s="1524"/>
      <c r="L22" s="1524"/>
      <c r="M22" s="1524"/>
      <c r="N22" s="1524"/>
      <c r="O22" s="1524"/>
      <c r="P22" s="1524"/>
      <c r="Q22" s="87"/>
      <c r="R22" s="87"/>
      <c r="S22" s="87"/>
      <c r="T22" s="87"/>
      <c r="U22" s="1262">
        <f>ROW()</f>
        <v>22</v>
      </c>
      <c r="V22" s="87"/>
      <c r="W22" s="87"/>
    </row>
    <row r="23" spans="1:23" ht="18.75" customHeight="1">
      <c r="A23" s="87"/>
      <c r="B23" s="87"/>
      <c r="C23" s="87"/>
      <c r="D23" s="87"/>
      <c r="E23" s="1856" t="str">
        <f>GT_GS1&amp;CBGS1</f>
        <v>Ông: Trần Trọng Liêm</v>
      </c>
      <c r="F23" s="1856"/>
      <c r="G23" s="1856"/>
      <c r="H23" s="1856"/>
      <c r="I23" s="1856"/>
      <c r="J23" s="800"/>
      <c r="K23" s="1853" t="str">
        <f>"Chức vụ: "&amp;CV_CBGS1</f>
        <v>Chức vụ: Giám sát trưởng</v>
      </c>
      <c r="L23" s="1853"/>
      <c r="M23" s="1853"/>
      <c r="N23" s="1853"/>
      <c r="O23" s="1853"/>
      <c r="P23" s="1853"/>
      <c r="Q23" s="87"/>
      <c r="R23" s="87"/>
      <c r="S23" s="87"/>
      <c r="T23" s="87"/>
      <c r="U23" s="1262"/>
      <c r="V23" s="87"/>
      <c r="W23" s="87"/>
    </row>
    <row r="24" spans="1:23" ht="18.75" customHeight="1">
      <c r="A24" s="87"/>
      <c r="B24" s="87"/>
      <c r="C24" s="87"/>
      <c r="D24" s="87"/>
      <c r="E24" s="1856" t="str">
        <f>GT_GS2&amp;CBGS2</f>
        <v>Bà  : Nguyễn Thị Minh</v>
      </c>
      <c r="F24" s="1856"/>
      <c r="G24" s="1856"/>
      <c r="H24" s="1856"/>
      <c r="I24" s="1856"/>
      <c r="J24" s="800"/>
      <c r="K24" s="1853" t="str">
        <f>"Chức vụ: "&amp;CV_CBGS1</f>
        <v>Chức vụ: Giám sát trưởng</v>
      </c>
      <c r="L24" s="1853"/>
      <c r="M24" s="1853"/>
      <c r="N24" s="1853"/>
      <c r="O24" s="1853"/>
      <c r="P24" s="1580"/>
      <c r="Q24" s="87"/>
      <c r="R24" s="87"/>
      <c r="S24" s="87"/>
      <c r="T24" s="87"/>
      <c r="U24" s="1262"/>
      <c r="V24" s="87"/>
      <c r="W24" s="87"/>
    </row>
    <row r="25" spans="1:23" ht="11.25" customHeight="1">
      <c r="A25" s="87"/>
      <c r="B25" s="87"/>
      <c r="C25" s="87"/>
      <c r="D25" s="87"/>
      <c r="E25" s="823"/>
      <c r="F25" s="823"/>
      <c r="G25" s="823"/>
      <c r="H25" s="823"/>
      <c r="I25" s="823"/>
      <c r="J25" s="800"/>
      <c r="K25" s="823"/>
      <c r="L25" s="823"/>
      <c r="M25" s="823"/>
      <c r="N25" s="823"/>
      <c r="O25" s="823"/>
      <c r="P25" s="823"/>
      <c r="Q25" s="87"/>
      <c r="R25" s="87"/>
      <c r="S25" s="87"/>
      <c r="T25" s="87"/>
      <c r="U25" s="1262"/>
      <c r="V25" s="87"/>
      <c r="W25" s="87"/>
    </row>
    <row r="26" spans="1:23" ht="18.75" customHeight="1">
      <c r="A26" s="87"/>
      <c r="B26" s="87"/>
      <c r="C26" s="87"/>
      <c r="D26" s="87"/>
      <c r="E26" s="1808" t="str">
        <f>"1.3. Đại diện đơn vị thi công: "&amp;DVTC</f>
        <v>1.3. Đại diện đơn vị thi công: Công ty TNHH Xây dựng Thịnh Dũng</v>
      </c>
      <c r="F26" s="1524"/>
      <c r="G26" s="1524"/>
      <c r="H26" s="1524"/>
      <c r="I26" s="1524"/>
      <c r="J26" s="1524"/>
      <c r="K26" s="1524"/>
      <c r="L26" s="1524"/>
      <c r="M26" s="1524"/>
      <c r="N26" s="1524"/>
      <c r="O26" s="1524"/>
      <c r="P26" s="1524"/>
      <c r="Q26" s="87"/>
      <c r="R26" s="87"/>
      <c r="S26" s="87"/>
      <c r="T26" s="87"/>
      <c r="U26" s="1262">
        <f>ROW()</f>
        <v>26</v>
      </c>
      <c r="V26" s="87"/>
      <c r="W26" s="87"/>
    </row>
    <row r="27" spans="1:23" ht="18.75" customHeight="1">
      <c r="A27" s="87"/>
      <c r="B27" s="87"/>
      <c r="C27" s="87"/>
      <c r="D27" s="87"/>
      <c r="E27" s="1856" t="str">
        <f>GT_CBKT1&amp;CBKT1</f>
        <v>Ông: Hoàng Đình Tảng</v>
      </c>
      <c r="F27" s="1856"/>
      <c r="G27" s="1856"/>
      <c r="H27" s="1856"/>
      <c r="I27" s="1856"/>
      <c r="J27" s="823"/>
      <c r="K27" s="1853" t="str">
        <f>"Chức vụ: "&amp;CV_CBKT1</f>
        <v>Chức vụ: Chỉ huy công trường</v>
      </c>
      <c r="L27" s="1853"/>
      <c r="M27" s="1853"/>
      <c r="N27" s="1853"/>
      <c r="O27" s="1853"/>
      <c r="P27" s="1580"/>
      <c r="Q27" s="87"/>
      <c r="R27" s="87"/>
      <c r="S27" s="87"/>
      <c r="T27" s="87"/>
      <c r="U27" s="1262"/>
      <c r="V27" s="87"/>
      <c r="W27" s="87"/>
    </row>
    <row r="28" spans="1:23" ht="18.75" customHeight="1">
      <c r="A28" s="87"/>
      <c r="B28" s="87"/>
      <c r="C28" s="87"/>
      <c r="D28" s="87"/>
      <c r="E28" s="1856" t="str">
        <f>GT_CBKT2&amp;CBKT2</f>
        <v>Ông: Lê Thiên Phương</v>
      </c>
      <c r="F28" s="1856"/>
      <c r="G28" s="1856"/>
      <c r="H28" s="1856"/>
      <c r="I28" s="1856"/>
      <c r="J28" s="823"/>
      <c r="K28" s="1853" t="str">
        <f>"Chức vụ: "&amp;CV_CBKT2</f>
        <v>Chức vụ: Kỹ thuật thi công</v>
      </c>
      <c r="L28" s="1853"/>
      <c r="M28" s="1853"/>
      <c r="N28" s="1853"/>
      <c r="O28" s="1853"/>
      <c r="P28" s="1580"/>
      <c r="Q28" s="87"/>
      <c r="R28" s="87"/>
      <c r="S28" s="87"/>
      <c r="T28" s="87"/>
      <c r="U28" s="1262"/>
      <c r="V28" s="87"/>
      <c r="W28" s="87"/>
    </row>
    <row r="29" spans="1:23" ht="9" customHeight="1">
      <c r="A29" s="87"/>
      <c r="B29" s="87"/>
      <c r="C29" s="87"/>
      <c r="D29" s="87"/>
      <c r="E29" s="823"/>
      <c r="F29" s="823"/>
      <c r="G29" s="823"/>
      <c r="H29" s="823"/>
      <c r="I29" s="823"/>
      <c r="J29" s="823"/>
      <c r="K29" s="823"/>
      <c r="L29" s="823"/>
      <c r="M29" s="823"/>
      <c r="N29" s="823"/>
      <c r="O29" s="823"/>
      <c r="P29" s="823"/>
      <c r="Q29" s="87"/>
      <c r="R29" s="87"/>
      <c r="S29" s="87"/>
      <c r="T29" s="87"/>
      <c r="U29" s="1262"/>
      <c r="V29" s="87"/>
      <c r="W29" s="87"/>
    </row>
    <row r="30" spans="1:23" ht="39" customHeight="1">
      <c r="A30" s="87"/>
      <c r="B30" s="87"/>
      <c r="C30" s="87"/>
      <c r="D30" s="87"/>
      <c r="E30" s="1855" t="str">
        <f>"1.4. Đại diện đơn vị thí nghiệm: "&amp;DVTN</f>
        <v>1.4. Đại diện đơn vị thí nghiệm: Phòng TNVL &amp; KĐCLCT Xây dựng LAS-XD 1931 thuộc Công ty TNHH Xây dựng Gia Lộc Khang</v>
      </c>
      <c r="F30" s="1524"/>
      <c r="G30" s="1524"/>
      <c r="H30" s="1524"/>
      <c r="I30" s="1524"/>
      <c r="J30" s="1524"/>
      <c r="K30" s="1524"/>
      <c r="L30" s="1524"/>
      <c r="M30" s="1524"/>
      <c r="N30" s="1524"/>
      <c r="O30" s="1524"/>
      <c r="P30" s="1524"/>
      <c r="Q30" s="87"/>
      <c r="R30" s="87"/>
      <c r="S30" s="87"/>
      <c r="T30" s="87"/>
      <c r="U30" s="1262">
        <f>ROW()</f>
        <v>30</v>
      </c>
      <c r="V30" s="87"/>
      <c r="W30" s="87"/>
    </row>
    <row r="31" spans="1:23" ht="18.75" customHeight="1">
      <c r="A31" s="87"/>
      <c r="B31" s="87"/>
      <c r="C31" s="87"/>
      <c r="D31" s="87"/>
      <c r="E31" s="1856" t="str">
        <f>GT_TN1&amp;" "&amp;Nguoi_TN1</f>
        <v>Ông:  Phạm Xuân Hùng</v>
      </c>
      <c r="F31" s="1856"/>
      <c r="G31" s="1856"/>
      <c r="H31" s="1856"/>
      <c r="I31" s="1856"/>
      <c r="J31" s="823"/>
      <c r="K31" s="1853" t="str">
        <f>"Chức vụ: "&amp;CV_NT1</f>
        <v>Chức vụ: Trưởng phòng thí nghiệm</v>
      </c>
      <c r="L31" s="1853"/>
      <c r="M31" s="1853"/>
      <c r="N31" s="1853"/>
      <c r="O31" s="1853"/>
      <c r="P31" s="1580"/>
      <c r="Q31" s="87"/>
      <c r="R31" s="87"/>
      <c r="S31" s="87"/>
      <c r="T31" s="87"/>
      <c r="U31" s="1262"/>
      <c r="V31" s="87"/>
      <c r="W31" s="87"/>
    </row>
    <row r="32" spans="1:23" ht="18.75" customHeight="1">
      <c r="A32" s="87"/>
      <c r="B32" s="87"/>
      <c r="C32" s="87"/>
      <c r="D32" s="87"/>
      <c r="E32" s="1856" t="str">
        <f>GT_TN2&amp;" "&amp;Nguoi_TN2</f>
        <v>Ông:  Đoàn Hữu Quy</v>
      </c>
      <c r="F32" s="1856"/>
      <c r="G32" s="1856"/>
      <c r="H32" s="1856"/>
      <c r="I32" s="1856"/>
      <c r="J32" s="823"/>
      <c r="K32" s="1853" t="str">
        <f>"Chức vụ: "&amp;CV_TN2</f>
        <v>Chức vụ: Cán bộ thí nghiệm</v>
      </c>
      <c r="L32" s="1853"/>
      <c r="M32" s="1853"/>
      <c r="N32" s="1853"/>
      <c r="O32" s="1853"/>
      <c r="P32" s="1580"/>
      <c r="Q32" s="87"/>
      <c r="R32" s="87"/>
      <c r="S32" s="87"/>
      <c r="T32" s="87"/>
      <c r="U32" s="1262"/>
      <c r="V32" s="87"/>
      <c r="W32" s="87"/>
    </row>
    <row r="33" spans="1:23" ht="9" customHeight="1">
      <c r="A33" s="87"/>
      <c r="B33" s="87"/>
      <c r="C33" s="87"/>
      <c r="D33" s="87"/>
      <c r="E33" s="823"/>
      <c r="F33" s="823"/>
      <c r="G33" s="823"/>
      <c r="H33" s="823"/>
      <c r="I33" s="823"/>
      <c r="J33" s="823"/>
      <c r="K33" s="823"/>
      <c r="L33" s="823"/>
      <c r="M33" s="823"/>
      <c r="N33" s="823"/>
      <c r="O33" s="823"/>
      <c r="P33" s="823"/>
      <c r="Q33" s="87"/>
      <c r="R33" s="87"/>
      <c r="S33" s="87"/>
      <c r="T33" s="87"/>
      <c r="U33" s="1262"/>
      <c r="V33" s="87"/>
      <c r="W33" s="87"/>
    </row>
    <row r="34" spans="1:23" ht="18.75">
      <c r="A34" s="87"/>
      <c r="B34" s="87"/>
      <c r="C34" s="87"/>
      <c r="D34" s="87"/>
      <c r="E34" s="1852" t="s">
        <v>4458</v>
      </c>
      <c r="F34" s="1852"/>
      <c r="G34" s="1852"/>
      <c r="H34" s="1852"/>
      <c r="I34" s="1852"/>
      <c r="J34" s="1852"/>
      <c r="K34" s="1852"/>
      <c r="L34" s="1852"/>
      <c r="M34" s="1852"/>
      <c r="N34" s="1852"/>
      <c r="O34" s="1852"/>
      <c r="P34" s="1852"/>
      <c r="Q34" s="87"/>
      <c r="R34" s="87"/>
      <c r="S34" s="87"/>
      <c r="T34" s="87"/>
      <c r="U34" s="1262"/>
      <c r="V34" s="87"/>
      <c r="W34" s="87"/>
    </row>
    <row r="35" spans="1:23" ht="26.25" customHeight="1">
      <c r="A35" s="87"/>
      <c r="B35" s="87"/>
      <c r="C35" s="87"/>
      <c r="D35" s="87"/>
      <c r="E35" s="1857" t="str">
        <f>"     - Bắt đầu: 8 giờ 00 phút, ngày "&amp;DAY(Nhattrinh!K8)&amp;" tháng  "&amp;MONTH(Nhattrinh!K8 )&amp;"  năm "&amp;YEAR(Nhattrinh!K8 )</f>
        <v xml:space="preserve">     - Bắt đầu: 8 giờ 00 phút, ngày 3 tháng  5  năm 2020</v>
      </c>
      <c r="F35" s="1857"/>
      <c r="G35" s="1857"/>
      <c r="H35" s="1857"/>
      <c r="I35" s="1857"/>
      <c r="J35" s="1857"/>
      <c r="K35" s="1857"/>
      <c r="L35" s="1857"/>
      <c r="M35" s="1857"/>
      <c r="N35" s="1857"/>
      <c r="O35" s="1857"/>
      <c r="P35" s="1857"/>
      <c r="Q35" s="87"/>
      <c r="R35" s="87"/>
      <c r="S35" s="87"/>
      <c r="T35" s="87"/>
      <c r="U35" s="1262"/>
      <c r="V35" s="87"/>
      <c r="W35" s="87"/>
    </row>
    <row r="36" spans="1:23" ht="26.25" customHeight="1">
      <c r="A36" s="87"/>
      <c r="B36" s="87"/>
      <c r="C36" s="87"/>
      <c r="D36" s="87"/>
      <c r="E36" s="1857" t="str">
        <f>"     - Kết thúc: 09 giờ 30 phút, ngày "&amp;DAY(Nhattrinh!K8)&amp;" tháng  "&amp;MONTH(Nhattrinh!K8 )&amp;"  năm "&amp;YEAR(Nhattrinh!K8 )</f>
        <v xml:space="preserve">     - Kết thúc: 09 giờ 30 phút, ngày 3 tháng  5  năm 2020</v>
      </c>
      <c r="F36" s="1857"/>
      <c r="G36" s="1857"/>
      <c r="H36" s="1857"/>
      <c r="I36" s="1857"/>
      <c r="J36" s="1857"/>
      <c r="K36" s="1857"/>
      <c r="L36" s="1857"/>
      <c r="M36" s="1857"/>
      <c r="N36" s="1857"/>
      <c r="O36" s="1857"/>
      <c r="P36" s="1857"/>
      <c r="Q36" s="87"/>
      <c r="R36" s="87"/>
      <c r="S36" s="87"/>
      <c r="T36" s="87"/>
      <c r="U36" s="1262"/>
      <c r="V36" s="87"/>
      <c r="W36" s="87"/>
    </row>
    <row r="37" spans="1:23" ht="53.1" customHeight="1">
      <c r="A37" s="87"/>
      <c r="B37" s="87"/>
      <c r="C37" s="87"/>
      <c r="D37" s="87"/>
      <c r="E37" s="1858" t="str">
        <f>"     - Địa điểm: "&amp;DVTN&amp;". Địa chỉ: "&amp;Diachi_PTN</f>
        <v xml:space="preserve">     - Địa điểm: Phòng TNVL &amp; KĐCLCT Xây dựng LAS-XD 1931 thuộc Công ty TNHH Xây dựng Gia Lộc Khang. Địa chỉ: Kênh Chà là, khu phố 2, phường Đài Sơn, Tp. Phan Rang – Tháp Chàm, tỉnh Ninh Thuận</v>
      </c>
      <c r="F37" s="1858"/>
      <c r="G37" s="1858"/>
      <c r="H37" s="1858"/>
      <c r="I37" s="1858"/>
      <c r="J37" s="1858"/>
      <c r="K37" s="1858"/>
      <c r="L37" s="1858"/>
      <c r="M37" s="1858"/>
      <c r="N37" s="1858"/>
      <c r="O37" s="1858"/>
      <c r="P37" s="1858"/>
      <c r="Q37" s="87"/>
      <c r="R37" s="87"/>
      <c r="S37" s="87"/>
      <c r="T37" s="87"/>
      <c r="U37" s="1262">
        <f>ROW()</f>
        <v>37</v>
      </c>
      <c r="V37" s="87"/>
      <c r="W37" s="87"/>
    </row>
    <row r="38" spans="1:23" ht="10.5" customHeight="1">
      <c r="A38" s="87"/>
      <c r="B38" s="87"/>
      <c r="C38" s="87"/>
      <c r="D38" s="87"/>
      <c r="E38" s="807"/>
      <c r="F38" s="807"/>
      <c r="G38" s="807"/>
      <c r="H38" s="807"/>
      <c r="I38" s="807"/>
      <c r="J38" s="807"/>
      <c r="K38" s="807"/>
      <c r="L38" s="807"/>
      <c r="M38" s="807"/>
      <c r="N38" s="807"/>
      <c r="O38" s="807"/>
      <c r="P38" s="807"/>
      <c r="Q38" s="87"/>
      <c r="R38" s="87"/>
      <c r="S38" s="87"/>
      <c r="T38" s="87"/>
      <c r="U38" s="1262"/>
      <c r="V38" s="87"/>
      <c r="W38" s="87"/>
    </row>
    <row r="39" spans="1:23">
      <c r="A39" s="87"/>
      <c r="B39" s="87"/>
      <c r="C39" s="87"/>
      <c r="D39" s="87"/>
      <c r="E39" s="1852" t="s">
        <v>4459</v>
      </c>
      <c r="F39" s="1580"/>
      <c r="G39" s="1580"/>
      <c r="H39" s="1580"/>
      <c r="I39" s="1580"/>
      <c r="J39" s="1580"/>
      <c r="K39" s="1580"/>
      <c r="L39" s="1580"/>
      <c r="M39" s="1580"/>
      <c r="N39" s="1580"/>
      <c r="O39" s="1580"/>
      <c r="P39" s="1580"/>
      <c r="Q39" s="87"/>
      <c r="R39" s="87"/>
      <c r="S39" s="87"/>
      <c r="T39" s="87"/>
      <c r="U39" s="1262"/>
      <c r="V39" s="87"/>
      <c r="W39" s="87"/>
    </row>
    <row r="40" spans="1:23" ht="9" customHeight="1">
      <c r="A40" s="87"/>
      <c r="B40" s="87"/>
      <c r="C40" s="87"/>
      <c r="D40" s="87"/>
      <c r="E40" s="822"/>
      <c r="F40" s="798"/>
      <c r="G40" s="798"/>
      <c r="H40" s="798"/>
      <c r="I40" s="798"/>
      <c r="J40" s="798"/>
      <c r="K40" s="798"/>
      <c r="L40" s="798"/>
      <c r="M40" s="798"/>
      <c r="N40" s="798"/>
      <c r="O40" s="798"/>
      <c r="P40" s="798"/>
      <c r="Q40" s="87"/>
      <c r="R40" s="87"/>
      <c r="S40" s="87"/>
      <c r="T40" s="87"/>
      <c r="U40" s="1262"/>
      <c r="V40" s="87"/>
      <c r="W40" s="87"/>
    </row>
    <row r="41" spans="1:23">
      <c r="A41" s="87"/>
      <c r="B41" s="87"/>
      <c r="C41" s="87"/>
      <c r="D41" s="87"/>
      <c r="E41" s="1852" t="s">
        <v>4460</v>
      </c>
      <c r="F41" s="1580"/>
      <c r="G41" s="1580"/>
      <c r="H41" s="1580"/>
      <c r="I41" s="1580"/>
      <c r="J41" s="1580"/>
      <c r="K41" s="1580"/>
      <c r="L41" s="1580"/>
      <c r="M41" s="1580"/>
      <c r="N41" s="1580"/>
      <c r="O41" s="1580"/>
      <c r="P41" s="1580"/>
      <c r="Q41" s="87"/>
      <c r="R41" s="87"/>
      <c r="S41" s="87"/>
      <c r="T41" s="87"/>
      <c r="U41" s="1262"/>
      <c r="V41" s="87"/>
      <c r="W41" s="87"/>
    </row>
    <row r="42" spans="1:23" ht="39.75" customHeight="1">
      <c r="A42" s="87"/>
      <c r="B42" s="87"/>
      <c r="C42" s="87"/>
      <c r="D42" s="87"/>
      <c r="E42" s="1859" t="s">
        <v>4481</v>
      </c>
      <c r="F42" s="1524"/>
      <c r="G42" s="1524"/>
      <c r="H42" s="1524"/>
      <c r="I42" s="1524"/>
      <c r="J42" s="1524"/>
      <c r="K42" s="1524"/>
      <c r="L42" s="1524"/>
      <c r="M42" s="1524"/>
      <c r="N42" s="1524"/>
      <c r="O42" s="1524"/>
      <c r="P42" s="1524"/>
      <c r="Q42" s="87"/>
      <c r="R42" s="87"/>
      <c r="S42" s="87"/>
      <c r="T42" s="87"/>
      <c r="U42" s="1262"/>
      <c r="V42" s="87"/>
      <c r="W42" s="87"/>
    </row>
    <row r="43" spans="1:23" ht="53.1" customHeight="1">
      <c r="A43" s="87"/>
      <c r="B43" s="87"/>
      <c r="C43" s="87"/>
      <c r="D43" s="87"/>
      <c r="E43" s="1849" t="str">
        <f>"     - Hợp đồng xây dựng và hợp đồng thi công trình "&amp;NDtieude1&amp;" quy định chấp thuận nhà thầu phụ."</f>
        <v xml:space="preserve">     - Hợp đồng xây dựng và hợp đồng thi công trình Gia cố nâng cấp kênh Bà Xoài từ K0+300÷K0+600 - Hệ thống thủy lợi Nha Trinh, huyện Ninh Hải, tỉnh Ninh Thuận quy định chấp thuận nhà thầu phụ.</v>
      </c>
      <c r="F43" s="1524"/>
      <c r="G43" s="1524"/>
      <c r="H43" s="1524"/>
      <c r="I43" s="1524"/>
      <c r="J43" s="1524"/>
      <c r="K43" s="1524"/>
      <c r="L43" s="1524"/>
      <c r="M43" s="1524"/>
      <c r="N43" s="1524"/>
      <c r="O43" s="1524"/>
      <c r="P43" s="1524"/>
      <c r="Q43" s="87"/>
      <c r="R43" s="87"/>
      <c r="S43" s="87"/>
      <c r="T43" s="87"/>
      <c r="U43" s="1262">
        <f>ROW()</f>
        <v>43</v>
      </c>
      <c r="V43" s="87"/>
      <c r="W43" s="87"/>
    </row>
    <row r="44" spans="1:23">
      <c r="A44" s="87"/>
      <c r="B44" s="87"/>
      <c r="C44" s="87"/>
      <c r="D44" s="87"/>
      <c r="E44" s="1849" t="s">
        <v>4482</v>
      </c>
      <c r="F44" s="1524"/>
      <c r="G44" s="1524"/>
      <c r="H44" s="1524"/>
      <c r="I44" s="1524"/>
      <c r="J44" s="1524"/>
      <c r="K44" s="1524"/>
      <c r="L44" s="1524"/>
      <c r="M44" s="1524"/>
      <c r="N44" s="1524"/>
      <c r="O44" s="1524"/>
      <c r="P44" s="1524"/>
      <c r="Q44" s="87"/>
      <c r="R44" s="87"/>
      <c r="S44" s="87"/>
      <c r="T44" s="87"/>
      <c r="U44" s="1262"/>
      <c r="V44" s="87"/>
      <c r="W44" s="87"/>
    </row>
    <row r="45" spans="1:23" ht="36.6" customHeight="1">
      <c r="A45" s="87"/>
      <c r="B45" s="87"/>
      <c r="C45" s="87"/>
      <c r="D45" s="87"/>
      <c r="E45" s="1849" t="str">
        <f>"     - Hợp đồng số giữa đơn vị thí nghiệm và nhà thầu thi công xây dựng số : "&amp;HD_Thinghiem</f>
        <v xml:space="preserve">     - Hợp đồng số giữa đơn vị thí nghiệm và nhà thầu thi công xây dựng số : 04/2019/HĐTN.TD ngày 28 tháng 04 năm 2020</v>
      </c>
      <c r="F45" s="1524"/>
      <c r="G45" s="1524"/>
      <c r="H45" s="1524"/>
      <c r="I45" s="1524"/>
      <c r="J45" s="1524"/>
      <c r="K45" s="1524"/>
      <c r="L45" s="1524"/>
      <c r="M45" s="1524"/>
      <c r="N45" s="1524"/>
      <c r="O45" s="1524"/>
      <c r="P45" s="1524"/>
      <c r="Q45" s="87"/>
      <c r="R45" s="87"/>
      <c r="S45" s="87"/>
      <c r="T45" s="87"/>
      <c r="U45" s="1262">
        <f>ROW()</f>
        <v>45</v>
      </c>
      <c r="V45" s="87"/>
      <c r="W45" s="87"/>
    </row>
    <row r="46" spans="1:23" ht="38.25" customHeight="1">
      <c r="A46" s="87"/>
      <c r="B46" s="87"/>
      <c r="C46" s="87"/>
      <c r="D46" s="87"/>
      <c r="E46" s="1849" t="s">
        <v>4483</v>
      </c>
      <c r="F46" s="1524"/>
      <c r="G46" s="1524"/>
      <c r="H46" s="1524"/>
      <c r="I46" s="1524"/>
      <c r="J46" s="1524"/>
      <c r="K46" s="1524"/>
      <c r="L46" s="1524"/>
      <c r="M46" s="1524"/>
      <c r="N46" s="1524"/>
      <c r="O46" s="1524"/>
      <c r="P46" s="1524"/>
      <c r="Q46" s="87"/>
      <c r="R46" s="87"/>
      <c r="S46" s="87"/>
      <c r="T46" s="87"/>
      <c r="U46" s="1262"/>
      <c r="V46" s="87"/>
      <c r="W46" s="87"/>
    </row>
    <row r="47" spans="1:23" ht="53.1" customHeight="1">
      <c r="A47" s="87"/>
      <c r="B47" s="87"/>
      <c r="C47" s="87"/>
      <c r="D47" s="87"/>
      <c r="E47" s="1849" t="str">
        <f>"     - Văn bản ý kiến của đơn vị tư vấn giám sát về việc chấp thuận đơn vị nghiệm cho dự án xây dựng công trình công trình: "&amp;NDtieude1</f>
        <v xml:space="preserve">     - Văn bản ý kiến của đơn vị tư vấn giám sát về việc chấp thuận đơn vị nghiệm cho dự án xây dựng công trình công trình: Gia cố nâng cấp kênh Bà Xoài từ K0+300÷K0+600 - Hệ thống thủy lợi Nha Trinh, huyện Ninh Hải, tỉnh Ninh Thuận</v>
      </c>
      <c r="F47" s="1524"/>
      <c r="G47" s="1524"/>
      <c r="H47" s="1524"/>
      <c r="I47" s="1524"/>
      <c r="J47" s="1524"/>
      <c r="K47" s="1524"/>
      <c r="L47" s="1524"/>
      <c r="M47" s="1524"/>
      <c r="N47" s="1524"/>
      <c r="O47" s="1524"/>
      <c r="P47" s="1524"/>
      <c r="Q47" s="87"/>
      <c r="R47" s="87"/>
      <c r="S47" s="87"/>
      <c r="T47" s="87"/>
      <c r="U47" s="1262">
        <f>ROW()</f>
        <v>47</v>
      </c>
      <c r="V47" s="87"/>
      <c r="W47" s="87"/>
    </row>
    <row r="48" spans="1:23" ht="26.25" customHeight="1">
      <c r="A48" s="87"/>
      <c r="B48" s="87"/>
      <c r="C48" s="87"/>
      <c r="D48" s="87"/>
      <c r="E48" s="1849" t="s">
        <v>4484</v>
      </c>
      <c r="F48" s="1524"/>
      <c r="G48" s="1524"/>
      <c r="H48" s="1524"/>
      <c r="I48" s="1524"/>
      <c r="J48" s="1524"/>
      <c r="K48" s="1524"/>
      <c r="L48" s="1524"/>
      <c r="M48" s="1524"/>
      <c r="N48" s="1524"/>
      <c r="O48" s="1524"/>
      <c r="P48" s="1524"/>
      <c r="Q48" s="87"/>
      <c r="R48" s="87"/>
      <c r="S48" s="87"/>
      <c r="T48" s="87"/>
      <c r="U48" s="1262"/>
      <c r="V48" s="87"/>
      <c r="W48" s="87"/>
    </row>
    <row r="49" spans="1:23" ht="9.75" customHeight="1">
      <c r="A49" s="87"/>
      <c r="B49" s="87"/>
      <c r="C49" s="87"/>
      <c r="D49" s="87"/>
      <c r="E49" s="820"/>
      <c r="F49" s="799"/>
      <c r="G49" s="799"/>
      <c r="H49" s="799"/>
      <c r="I49" s="799"/>
      <c r="J49" s="799"/>
      <c r="K49" s="799"/>
      <c r="L49" s="799"/>
      <c r="M49" s="799"/>
      <c r="N49" s="799"/>
      <c r="O49" s="799"/>
      <c r="P49" s="799"/>
      <c r="Q49" s="87"/>
      <c r="R49" s="87"/>
      <c r="S49" s="87"/>
      <c r="T49" s="87"/>
      <c r="U49" s="1262"/>
      <c r="V49" s="87"/>
      <c r="W49" s="87"/>
    </row>
    <row r="50" spans="1:23">
      <c r="A50" s="87"/>
      <c r="B50" s="87"/>
      <c r="C50" s="87"/>
      <c r="D50" s="87"/>
      <c r="E50" s="1852" t="s">
        <v>4461</v>
      </c>
      <c r="F50" s="1580"/>
      <c r="G50" s="1580"/>
      <c r="H50" s="1580"/>
      <c r="I50" s="1580"/>
      <c r="J50" s="1580"/>
      <c r="K50" s="1580"/>
      <c r="L50" s="1580"/>
      <c r="M50" s="1580"/>
      <c r="N50" s="1580"/>
      <c r="O50" s="1580"/>
      <c r="P50" s="1580"/>
      <c r="Q50" s="87"/>
      <c r="R50" s="87"/>
      <c r="S50" s="87"/>
      <c r="T50" s="87"/>
      <c r="U50" s="1262"/>
      <c r="V50" s="87"/>
      <c r="W50" s="87"/>
    </row>
    <row r="51" spans="1:23" ht="44.25" customHeight="1">
      <c r="A51" s="87"/>
      <c r="B51" s="87"/>
      <c r="C51" s="87"/>
      <c r="D51" s="87"/>
      <c r="E51" s="1853" t="s">
        <v>4485</v>
      </c>
      <c r="F51" s="1580"/>
      <c r="G51" s="1580"/>
      <c r="H51" s="1580"/>
      <c r="I51" s="1580"/>
      <c r="J51" s="1580"/>
      <c r="K51" s="1580"/>
      <c r="L51" s="1580"/>
      <c r="M51" s="1580"/>
      <c r="N51" s="1580"/>
      <c r="O51" s="1580"/>
      <c r="P51" s="1580"/>
      <c r="Q51" s="87"/>
      <c r="R51" s="87"/>
      <c r="S51" s="87"/>
      <c r="T51" s="87"/>
      <c r="U51" s="1262"/>
      <c r="V51" s="87"/>
      <c r="W51" s="87"/>
    </row>
    <row r="52" spans="1:23" ht="46.5" customHeight="1">
      <c r="A52" s="87"/>
      <c r="B52" s="87"/>
      <c r="C52" s="87"/>
      <c r="D52" s="87"/>
      <c r="E52" s="1863" t="s">
        <v>4462</v>
      </c>
      <c r="F52" s="1863"/>
      <c r="G52" s="1863"/>
      <c r="H52" s="1863"/>
      <c r="I52" s="1863" t="str">
        <f>DVTN</f>
        <v>Phòng TNVL &amp; KĐCLCT Xây dựng LAS-XD 1931 thuộc Công ty TNHH Xây dựng Gia Lộc Khang</v>
      </c>
      <c r="J52" s="1863"/>
      <c r="K52" s="1863"/>
      <c r="L52" s="1863"/>
      <c r="M52" s="1863"/>
      <c r="N52" s="1863"/>
      <c r="O52" s="1863"/>
      <c r="P52" s="1863"/>
      <c r="Q52" s="87"/>
      <c r="R52" s="87"/>
      <c r="S52" s="87"/>
      <c r="T52" s="87"/>
      <c r="U52" s="1262"/>
      <c r="V52" s="87"/>
      <c r="W52" s="87"/>
    </row>
    <row r="53" spans="1:23" ht="58.5" customHeight="1">
      <c r="A53" s="87"/>
      <c r="B53" s="87"/>
      <c r="C53" s="87"/>
      <c r="D53" s="87"/>
      <c r="E53" s="1864" t="s">
        <v>4463</v>
      </c>
      <c r="F53" s="1865"/>
      <c r="G53" s="1865"/>
      <c r="H53" s="1866"/>
      <c r="I53" s="1863" t="str">
        <f>GiayphepkinhdoanhPTN</f>
        <v>Số: 4500575187, do Sở kế hoạch và Đầu tư Ninh Thuận cấp ngày 06/3/2014. Đăng ký thay đổi lần 2, ngày 09/9/2019</v>
      </c>
      <c r="J53" s="1863"/>
      <c r="K53" s="1863"/>
      <c r="L53" s="1863"/>
      <c r="M53" s="1863"/>
      <c r="N53" s="1863"/>
      <c r="O53" s="1863"/>
      <c r="P53" s="1863"/>
      <c r="Q53" s="87"/>
      <c r="R53" s="87"/>
      <c r="S53" s="87"/>
      <c r="T53" s="87"/>
      <c r="U53" s="1262"/>
      <c r="V53" s="87"/>
      <c r="W53" s="87"/>
    </row>
    <row r="54" spans="1:23" ht="46.5" customHeight="1">
      <c r="A54" s="87"/>
      <c r="B54" s="87"/>
      <c r="C54" s="87"/>
      <c r="D54" s="87"/>
      <c r="E54" s="1863" t="s">
        <v>4465</v>
      </c>
      <c r="F54" s="1863"/>
      <c r="G54" s="1863"/>
      <c r="H54" s="1863"/>
      <c r="I54" s="1863" t="str">
        <f>Diachi_PTN</f>
        <v>Kênh Chà là, khu phố 2, phường Đài Sơn, Tp. Phan Rang – Tháp Chàm, tỉnh Ninh Thuận</v>
      </c>
      <c r="J54" s="1863"/>
      <c r="K54" s="1863"/>
      <c r="L54" s="1863"/>
      <c r="M54" s="1863"/>
      <c r="N54" s="1863"/>
      <c r="O54" s="1863"/>
      <c r="P54" s="1863"/>
      <c r="Q54" s="87"/>
      <c r="R54" s="87"/>
      <c r="S54" s="87"/>
      <c r="T54" s="87"/>
      <c r="U54" s="1262"/>
      <c r="V54" s="87"/>
      <c r="W54" s="87"/>
    </row>
    <row r="55" spans="1:23">
      <c r="A55" s="87"/>
      <c r="B55" s="87"/>
      <c r="C55" s="87"/>
      <c r="D55" s="87"/>
      <c r="E55" s="821"/>
      <c r="F55"/>
      <c r="G55"/>
      <c r="H55"/>
      <c r="I55"/>
      <c r="J55"/>
      <c r="Q55" s="87"/>
      <c r="R55" s="87"/>
      <c r="S55" s="87"/>
      <c r="T55" s="87"/>
      <c r="U55" s="1262"/>
      <c r="V55" s="87"/>
      <c r="W55" s="87"/>
    </row>
    <row r="56" spans="1:23" ht="18.75">
      <c r="A56" s="87"/>
      <c r="B56" s="87"/>
      <c r="C56" s="87"/>
      <c r="D56" s="87"/>
      <c r="E56" s="1861" t="s">
        <v>4486</v>
      </c>
      <c r="F56" s="1861"/>
      <c r="G56" s="1861"/>
      <c r="H56" s="1861"/>
      <c r="I56" s="1861"/>
      <c r="J56" s="1861"/>
      <c r="K56" s="1861"/>
      <c r="L56" s="1861"/>
      <c r="M56" s="1861"/>
      <c r="N56" s="1861"/>
      <c r="O56" s="1861"/>
      <c r="P56" s="1861"/>
      <c r="Q56" s="87"/>
      <c r="R56" s="87"/>
      <c r="S56" s="87"/>
      <c r="T56" s="87"/>
      <c r="U56" s="1262"/>
      <c r="V56" s="87"/>
      <c r="W56" s="87"/>
    </row>
    <row r="57" spans="1:23" ht="18.75">
      <c r="A57" s="87"/>
      <c r="B57" s="87"/>
      <c r="C57" s="87"/>
      <c r="D57" s="87"/>
      <c r="E57" s="1862" t="s">
        <v>4478</v>
      </c>
      <c r="F57" s="1862"/>
      <c r="G57" s="1862"/>
      <c r="H57" s="1862"/>
      <c r="I57" s="1862"/>
      <c r="J57" s="1862"/>
      <c r="K57" s="1862"/>
      <c r="L57" s="1862"/>
      <c r="M57" s="1862"/>
      <c r="N57" s="1862"/>
      <c r="O57" s="1862"/>
      <c r="P57" s="1862"/>
      <c r="Q57" s="87"/>
      <c r="R57" s="87"/>
      <c r="S57" s="87"/>
      <c r="T57" s="87"/>
      <c r="U57" s="1262"/>
      <c r="V57" s="87"/>
      <c r="W57" s="87"/>
    </row>
    <row r="58" spans="1:23" ht="18.75">
      <c r="A58" s="87"/>
      <c r="B58" s="87"/>
      <c r="C58" s="87"/>
      <c r="D58" s="87"/>
      <c r="E58" s="1861" t="s">
        <v>4467</v>
      </c>
      <c r="F58" s="1861"/>
      <c r="G58" s="1861"/>
      <c r="H58" s="1861"/>
      <c r="I58" s="1861"/>
      <c r="J58" s="1861"/>
      <c r="K58" s="1861"/>
      <c r="L58" s="1861"/>
      <c r="M58" s="1861"/>
      <c r="N58" s="1861"/>
      <c r="O58" s="1861"/>
      <c r="P58" s="1861"/>
      <c r="Q58" s="87"/>
      <c r="R58" s="87"/>
      <c r="S58" s="87"/>
      <c r="T58" s="87"/>
      <c r="U58" s="1262"/>
      <c r="V58" s="87"/>
      <c r="W58" s="87"/>
    </row>
    <row r="59" spans="1:23" ht="18.75">
      <c r="A59" s="87"/>
      <c r="B59" s="87"/>
      <c r="C59" s="87"/>
      <c r="D59" s="87"/>
      <c r="E59" s="1861" t="s">
        <v>4487</v>
      </c>
      <c r="F59" s="1861"/>
      <c r="G59" s="1861"/>
      <c r="H59" s="1861"/>
      <c r="I59" s="1861"/>
      <c r="J59" s="1861"/>
      <c r="K59" s="1861"/>
      <c r="L59" s="1861"/>
      <c r="M59" s="1861"/>
      <c r="N59" s="1861"/>
      <c r="O59" s="1861"/>
      <c r="P59" s="1861"/>
      <c r="Q59" s="87"/>
      <c r="R59" s="87"/>
      <c r="S59" s="87"/>
      <c r="T59" s="87"/>
      <c r="U59" s="1262"/>
      <c r="V59" s="87"/>
      <c r="W59" s="87"/>
    </row>
    <row r="60" spans="1:23" ht="18.75">
      <c r="A60" s="87"/>
      <c r="B60" s="87"/>
      <c r="C60" s="87"/>
      <c r="D60" s="87"/>
      <c r="E60" s="1862" t="s">
        <v>4477</v>
      </c>
      <c r="F60" s="1862"/>
      <c r="G60" s="1862"/>
      <c r="H60" s="1862"/>
      <c r="I60" s="1862"/>
      <c r="J60" s="1862"/>
      <c r="K60" s="1862"/>
      <c r="L60" s="1862"/>
      <c r="M60" s="1862"/>
      <c r="N60" s="1862"/>
      <c r="O60" s="1862"/>
      <c r="P60" s="1862"/>
      <c r="Q60" s="87"/>
      <c r="R60" s="87"/>
      <c r="S60" s="87"/>
      <c r="T60" s="87"/>
      <c r="U60" s="1262"/>
      <c r="V60" s="87"/>
      <c r="W60" s="87"/>
    </row>
    <row r="61" spans="1:23" ht="18.75">
      <c r="A61" s="87"/>
      <c r="B61" s="87"/>
      <c r="C61" s="87"/>
      <c r="D61" s="87"/>
      <c r="E61" s="1861" t="s">
        <v>4467</v>
      </c>
      <c r="F61" s="1861"/>
      <c r="G61" s="1861"/>
      <c r="H61" s="1861"/>
      <c r="I61" s="1861"/>
      <c r="J61" s="1861"/>
      <c r="K61" s="1861"/>
      <c r="L61" s="1861"/>
      <c r="M61" s="1861"/>
      <c r="N61" s="1861"/>
      <c r="O61" s="1861"/>
      <c r="P61" s="1861"/>
      <c r="Q61" s="87"/>
      <c r="R61" s="87"/>
      <c r="S61" s="87"/>
      <c r="T61" s="87"/>
      <c r="U61" s="1262"/>
      <c r="V61" s="87"/>
      <c r="W61" s="87"/>
    </row>
    <row r="62" spans="1:23" ht="9.75" customHeight="1">
      <c r="A62" s="87"/>
      <c r="B62" s="87"/>
      <c r="C62" s="87"/>
      <c r="D62" s="87"/>
      <c r="E62" s="824"/>
      <c r="F62" s="824"/>
      <c r="G62" s="824"/>
      <c r="H62" s="824"/>
      <c r="I62" s="824"/>
      <c r="J62" s="824"/>
      <c r="K62" s="824"/>
      <c r="L62" s="824"/>
      <c r="M62" s="824"/>
      <c r="N62" s="824"/>
      <c r="O62" s="824"/>
      <c r="P62" s="824"/>
      <c r="Q62" s="87"/>
      <c r="R62" s="87"/>
      <c r="S62" s="87"/>
      <c r="T62" s="87"/>
      <c r="U62" s="1262"/>
      <c r="V62" s="87"/>
      <c r="W62" s="87"/>
    </row>
    <row r="63" spans="1:23" ht="18.75">
      <c r="A63" s="87"/>
      <c r="B63" s="87"/>
      <c r="C63" s="87"/>
      <c r="D63" s="87"/>
      <c r="E63" s="1854" t="s">
        <v>4469</v>
      </c>
      <c r="F63" s="1854"/>
      <c r="G63" s="1854"/>
      <c r="H63" s="1854"/>
      <c r="I63" s="1854"/>
      <c r="J63" s="1854"/>
      <c r="K63" s="1854"/>
      <c r="L63" s="1854"/>
      <c r="M63" s="1854"/>
      <c r="N63" s="1854"/>
      <c r="O63" s="1854"/>
      <c r="P63" s="1854"/>
      <c r="Q63" s="87"/>
      <c r="R63" s="87"/>
      <c r="S63" s="87"/>
      <c r="T63" s="87"/>
      <c r="U63" s="1262"/>
      <c r="V63" s="87"/>
      <c r="W63" s="87"/>
    </row>
    <row r="64" spans="1:23" ht="9" customHeight="1">
      <c r="A64" s="87"/>
      <c r="B64" s="87"/>
      <c r="C64" s="87"/>
      <c r="D64" s="87"/>
      <c r="E64" s="825"/>
      <c r="F64" s="825"/>
      <c r="G64" s="825"/>
      <c r="H64" s="825"/>
      <c r="I64" s="825"/>
      <c r="J64" s="825"/>
      <c r="K64" s="825"/>
      <c r="L64" s="825"/>
      <c r="M64" s="825"/>
      <c r="N64" s="825"/>
      <c r="O64" s="825"/>
      <c r="P64" s="825"/>
      <c r="Q64" s="87"/>
      <c r="R64" s="87"/>
      <c r="S64" s="87"/>
      <c r="T64" s="87"/>
      <c r="U64" s="1262"/>
      <c r="V64" s="87"/>
      <c r="W64" s="87"/>
    </row>
    <row r="65" spans="1:23" ht="18.75">
      <c r="A65" s="87"/>
      <c r="B65" s="87"/>
      <c r="C65" s="87"/>
      <c r="D65" s="87"/>
      <c r="E65" s="1854" t="s">
        <v>4470</v>
      </c>
      <c r="F65" s="1854"/>
      <c r="G65" s="1854"/>
      <c r="H65" s="1854"/>
      <c r="I65" s="1854"/>
      <c r="J65" s="1854"/>
      <c r="K65" s="1854"/>
      <c r="L65" s="1854"/>
      <c r="M65" s="1854"/>
      <c r="N65" s="1854"/>
      <c r="O65" s="1854"/>
      <c r="P65" s="1854"/>
      <c r="Q65" s="87"/>
      <c r="R65" s="87"/>
      <c r="S65" s="87"/>
      <c r="T65" s="87"/>
      <c r="U65" s="1262"/>
      <c r="V65" s="87"/>
      <c r="W65" s="87"/>
    </row>
    <row r="66" spans="1:23" ht="53.1" customHeight="1">
      <c r="A66" s="87"/>
      <c r="B66" s="87"/>
      <c r="C66" s="87"/>
      <c r="D66" s="87"/>
      <c r="E66" s="1849" t="str">
        <f>"     - Chấp thuận "&amp;DVTN&amp;" thực hiện kiểm định chất lượng vật liệu công trình: "&amp;NDtieude1</f>
        <v xml:space="preserve">     - Chấp thuận Phòng TNVL &amp; KĐCLCT Xây dựng LAS-XD 1931 thuộc Công ty TNHH Xây dựng Gia Lộc Khang thực hiện kiểm định chất lượng vật liệu công trình: Gia cố nâng cấp kênh Bà Xoài từ K0+300÷K0+600 - Hệ thống thủy lợi Nha Trinh, huyện Ninh Hải, tỉnh Ninh Thuận</v>
      </c>
      <c r="F66" s="1849"/>
      <c r="G66" s="1849"/>
      <c r="H66" s="1849"/>
      <c r="I66" s="1849"/>
      <c r="J66" s="1849"/>
      <c r="K66" s="1849"/>
      <c r="L66" s="1849"/>
      <c r="M66" s="1849"/>
      <c r="N66" s="1849"/>
      <c r="O66" s="1849"/>
      <c r="P66" s="1849"/>
      <c r="Q66" s="87"/>
      <c r="R66" s="87"/>
      <c r="S66" s="87"/>
      <c r="T66" s="87"/>
      <c r="U66" s="1262">
        <f>ROW()</f>
        <v>66</v>
      </c>
      <c r="V66" s="87"/>
      <c r="W66" s="87"/>
    </row>
    <row r="67" spans="1:23" ht="40.5" customHeight="1">
      <c r="A67" s="87"/>
      <c r="B67" s="87"/>
      <c r="C67" s="87"/>
      <c r="D67" s="87"/>
      <c r="E67" s="1849" t="str">
        <f>"     Biên bản kết thúc vào lúc 09 giờ 30 phút, ngày "&amp;DAY(Nhattrinh!K8)&amp;" tháng  "&amp;MONTH(Nhattrinh!K8 )&amp;"  năm "&amp;YEAR(Nhattrinh!K8 )&amp;", đại diện các bên tham gia cùng ký tên thống nhất."</f>
        <v xml:space="preserve">     Biên bản kết thúc vào lúc 09 giờ 30 phút, ngày 3 tháng  5  năm 2020, đại diện các bên tham gia cùng ký tên thống nhất.</v>
      </c>
      <c r="F67" s="1849"/>
      <c r="G67" s="1849"/>
      <c r="H67" s="1849"/>
      <c r="I67" s="1849"/>
      <c r="J67" s="1849"/>
      <c r="K67" s="1849"/>
      <c r="L67" s="1849"/>
      <c r="M67" s="1849"/>
      <c r="N67" s="1849"/>
      <c r="O67" s="1849"/>
      <c r="P67" s="1849"/>
      <c r="Q67" s="87"/>
      <c r="R67" s="87"/>
      <c r="S67" s="87"/>
      <c r="T67" s="87"/>
      <c r="U67" s="1262"/>
      <c r="V67" s="87"/>
      <c r="W67" s="87"/>
    </row>
    <row r="68" spans="1:23" ht="18.75">
      <c r="A68" s="87"/>
      <c r="B68" s="87"/>
      <c r="C68" s="87"/>
      <c r="D68" s="87"/>
      <c r="E68" s="824"/>
      <c r="F68" s="824"/>
      <c r="G68" s="824"/>
      <c r="H68" s="824"/>
      <c r="I68" s="824"/>
      <c r="J68" s="824"/>
      <c r="K68" s="824"/>
      <c r="L68" s="824"/>
      <c r="M68" s="824"/>
      <c r="N68" s="824"/>
      <c r="O68" s="824"/>
      <c r="P68" s="824"/>
      <c r="Q68" s="87"/>
      <c r="R68" s="87"/>
      <c r="S68" s="87"/>
      <c r="T68" s="87"/>
      <c r="U68" s="1262"/>
      <c r="V68" s="87"/>
      <c r="W68" s="87"/>
    </row>
    <row r="69" spans="1:23" ht="18.75">
      <c r="A69" s="87"/>
      <c r="B69" s="87"/>
      <c r="C69" s="87"/>
      <c r="D69" s="87"/>
      <c r="E69" s="1860" t="s">
        <v>4471</v>
      </c>
      <c r="F69" s="1860"/>
      <c r="G69" s="1860"/>
      <c r="H69" s="1860"/>
      <c r="I69" s="1860"/>
      <c r="J69" s="1860"/>
      <c r="K69" s="1860" t="s">
        <v>166</v>
      </c>
      <c r="L69" s="1860"/>
      <c r="M69" s="1860"/>
      <c r="N69" s="1860"/>
      <c r="O69" s="1860"/>
      <c r="P69" s="1860"/>
      <c r="Q69" s="87"/>
      <c r="R69" s="87"/>
      <c r="S69" s="87"/>
      <c r="T69" s="87"/>
      <c r="U69" s="1262"/>
      <c r="V69" s="87"/>
      <c r="W69" s="87"/>
    </row>
    <row r="70" spans="1:23" ht="16.5" customHeight="1">
      <c r="A70" s="87"/>
      <c r="B70" s="87"/>
      <c r="C70" s="87"/>
      <c r="D70" s="87"/>
      <c r="E70" s="803"/>
      <c r="F70" s="803"/>
      <c r="G70" s="803"/>
      <c r="H70" s="803"/>
      <c r="I70" s="803"/>
      <c r="J70" s="803"/>
      <c r="K70" s="803"/>
      <c r="L70" s="803"/>
      <c r="M70" s="803"/>
      <c r="N70" s="803"/>
      <c r="O70" s="803"/>
      <c r="P70" s="803"/>
      <c r="Q70" s="87"/>
      <c r="R70" s="87"/>
      <c r="S70" s="87"/>
      <c r="T70" s="87"/>
      <c r="U70" s="1262"/>
      <c r="V70" s="87"/>
      <c r="W70" s="87"/>
    </row>
    <row r="71" spans="1:23" ht="16.5" customHeight="1">
      <c r="A71" s="87"/>
      <c r="B71" s="87"/>
      <c r="C71" s="87"/>
      <c r="D71" s="87"/>
      <c r="E71" s="803"/>
      <c r="F71" s="803"/>
      <c r="G71" s="803"/>
      <c r="H71" s="803"/>
      <c r="I71" s="803"/>
      <c r="J71" s="803"/>
      <c r="K71" s="803"/>
      <c r="L71" s="803"/>
      <c r="M71" s="803"/>
      <c r="N71" s="803"/>
      <c r="O71" s="803"/>
      <c r="P71" s="803"/>
      <c r="Q71" s="87"/>
      <c r="R71" s="87"/>
      <c r="S71" s="87"/>
      <c r="T71" s="87"/>
      <c r="U71" s="1262"/>
      <c r="V71" s="87"/>
      <c r="W71" s="87"/>
    </row>
    <row r="72" spans="1:23" ht="16.5" customHeight="1">
      <c r="A72" s="87"/>
      <c r="B72" s="87"/>
      <c r="C72" s="87"/>
      <c r="D72" s="87"/>
      <c r="E72" s="803"/>
      <c r="F72" s="803"/>
      <c r="G72" s="803"/>
      <c r="H72" s="803"/>
      <c r="I72" s="803"/>
      <c r="J72" s="803"/>
      <c r="K72" s="803"/>
      <c r="L72" s="803"/>
      <c r="M72" s="803"/>
      <c r="N72" s="803"/>
      <c r="O72" s="803"/>
      <c r="P72" s="803"/>
      <c r="Q72" s="87"/>
      <c r="R72" s="87"/>
      <c r="S72" s="87"/>
      <c r="T72" s="87"/>
      <c r="U72" s="1262"/>
      <c r="V72" s="87"/>
      <c r="W72" s="87"/>
    </row>
    <row r="73" spans="1:23" ht="16.5" customHeight="1">
      <c r="A73" s="87"/>
      <c r="B73" s="87"/>
      <c r="C73" s="87"/>
      <c r="D73" s="87"/>
      <c r="E73" s="803"/>
      <c r="F73" s="803"/>
      <c r="G73" s="803"/>
      <c r="H73" s="803"/>
      <c r="I73" s="803"/>
      <c r="J73" s="803"/>
      <c r="K73" s="803"/>
      <c r="L73" s="803"/>
      <c r="M73" s="803"/>
      <c r="N73" s="803"/>
      <c r="O73" s="803"/>
      <c r="P73" s="803"/>
      <c r="Q73" s="87"/>
      <c r="R73" s="87"/>
      <c r="S73" s="87"/>
      <c r="T73" s="87"/>
      <c r="U73" s="1262"/>
      <c r="V73" s="87"/>
      <c r="W73" s="87"/>
    </row>
    <row r="74" spans="1:23" ht="16.5" customHeight="1">
      <c r="A74" s="87"/>
      <c r="B74" s="87"/>
      <c r="C74" s="87"/>
      <c r="D74" s="87"/>
      <c r="E74" s="803"/>
      <c r="F74" s="803"/>
      <c r="G74" s="803"/>
      <c r="H74" s="803"/>
      <c r="I74" s="803"/>
      <c r="J74" s="803"/>
      <c r="K74" s="803"/>
      <c r="L74" s="803"/>
      <c r="M74" s="803"/>
      <c r="N74" s="803"/>
      <c r="O74" s="803"/>
      <c r="P74" s="803"/>
      <c r="Q74" s="87"/>
      <c r="R74" s="87"/>
      <c r="S74" s="87"/>
      <c r="T74" s="87"/>
      <c r="U74" s="1262"/>
      <c r="V74" s="87"/>
      <c r="W74" s="87"/>
    </row>
    <row r="75" spans="1:23">
      <c r="A75" s="87"/>
      <c r="B75" s="87"/>
      <c r="C75" s="87"/>
      <c r="D75" s="87"/>
      <c r="E75" s="1860"/>
      <c r="F75" s="1860"/>
      <c r="G75"/>
      <c r="H75"/>
      <c r="I75"/>
      <c r="J75"/>
      <c r="Q75" s="87"/>
      <c r="R75" s="87"/>
      <c r="S75" s="87"/>
      <c r="T75" s="87"/>
      <c r="U75" s="1262"/>
      <c r="V75" s="87"/>
      <c r="W75" s="87"/>
    </row>
    <row r="76" spans="1:23">
      <c r="A76" s="87"/>
      <c r="B76" s="87"/>
      <c r="C76" s="87"/>
      <c r="D76" s="87"/>
      <c r="E76" s="1860"/>
      <c r="F76" s="1860"/>
      <c r="G76"/>
      <c r="H76"/>
      <c r="I76"/>
      <c r="J76"/>
      <c r="Q76" s="87"/>
      <c r="R76" s="87"/>
      <c r="S76" s="87"/>
      <c r="T76" s="87"/>
      <c r="U76" s="1262"/>
      <c r="V76" s="87"/>
      <c r="W76" s="87"/>
    </row>
    <row r="77" spans="1:23" ht="18.75">
      <c r="A77" s="87"/>
      <c r="B77" s="87"/>
      <c r="C77" s="87"/>
      <c r="D77" s="87"/>
      <c r="E77" s="1860" t="s">
        <v>4472</v>
      </c>
      <c r="F77" s="1860"/>
      <c r="G77" s="1860"/>
      <c r="H77" s="1860"/>
      <c r="I77" s="1860"/>
      <c r="J77" s="1860"/>
      <c r="K77" s="1860" t="s">
        <v>167</v>
      </c>
      <c r="L77" s="1860"/>
      <c r="M77" s="1860"/>
      <c r="N77" s="1860"/>
      <c r="O77" s="1860"/>
      <c r="P77" s="1860"/>
      <c r="Q77" s="87"/>
      <c r="R77" s="87"/>
      <c r="S77" s="87"/>
      <c r="T77" s="87"/>
      <c r="U77" s="1262"/>
      <c r="V77" s="87"/>
      <c r="W77" s="87"/>
    </row>
    <row r="78" spans="1:23" ht="18.75">
      <c r="A78" s="87"/>
      <c r="B78" s="87"/>
      <c r="C78" s="87"/>
      <c r="D78" s="87"/>
      <c r="E78" s="804"/>
      <c r="F78" s="804"/>
      <c r="G78"/>
      <c r="H78"/>
      <c r="I78"/>
      <c r="J78"/>
      <c r="Q78" s="87"/>
      <c r="R78" s="87"/>
      <c r="S78" s="87"/>
      <c r="T78" s="87"/>
      <c r="U78" s="1262"/>
      <c r="V78" s="87"/>
      <c r="W78" s="87"/>
    </row>
    <row r="79" spans="1:23" ht="18.75">
      <c r="A79" s="87"/>
      <c r="B79" s="87"/>
      <c r="C79" s="87"/>
      <c r="D79" s="87"/>
      <c r="E79" s="804"/>
      <c r="F79" s="804"/>
      <c r="G79"/>
      <c r="H79"/>
      <c r="I79"/>
      <c r="J79"/>
      <c r="Q79" s="87"/>
      <c r="R79" s="87"/>
      <c r="S79" s="87"/>
      <c r="T79" s="87"/>
      <c r="U79" s="1262"/>
      <c r="V79" s="87"/>
      <c r="W79" s="87"/>
    </row>
    <row r="80" spans="1:23" ht="18.75">
      <c r="A80" s="87"/>
      <c r="B80" s="87"/>
      <c r="C80" s="87"/>
      <c r="D80" s="87"/>
      <c r="E80" s="804"/>
      <c r="F80" s="804"/>
      <c r="G80"/>
      <c r="H80"/>
      <c r="I80"/>
      <c r="J80"/>
      <c r="Q80" s="87"/>
      <c r="R80" s="87"/>
      <c r="S80" s="87"/>
      <c r="T80" s="87"/>
      <c r="U80" s="1262"/>
      <c r="V80" s="87"/>
      <c r="W80" s="87"/>
    </row>
    <row r="81" spans="1:23" ht="18.75">
      <c r="A81" s="87"/>
      <c r="B81" s="87"/>
      <c r="C81" s="87"/>
      <c r="D81" s="87"/>
      <c r="E81" s="804"/>
      <c r="F81" s="804"/>
      <c r="G81"/>
      <c r="H81"/>
      <c r="I81"/>
      <c r="J81"/>
      <c r="Q81" s="87"/>
      <c r="R81" s="87"/>
      <c r="S81" s="87"/>
      <c r="T81" s="87"/>
      <c r="U81" s="1262"/>
      <c r="V81" s="87"/>
      <c r="W81" s="87"/>
    </row>
    <row r="82" spans="1:23" ht="18.75">
      <c r="A82" s="87"/>
      <c r="B82" s="87"/>
      <c r="C82" s="87"/>
      <c r="D82" s="87"/>
      <c r="E82" s="819"/>
      <c r="F82"/>
      <c r="G82"/>
      <c r="H82"/>
      <c r="I82"/>
      <c r="J82"/>
      <c r="Q82" s="87"/>
      <c r="R82" s="87"/>
      <c r="S82" s="87"/>
      <c r="T82" s="87"/>
      <c r="U82" s="1262"/>
      <c r="V82" s="87"/>
      <c r="W82" s="87"/>
    </row>
    <row r="83" spans="1:23">
      <c r="A83" s="87"/>
      <c r="B83" s="87"/>
      <c r="C83" s="87"/>
      <c r="D83" s="87"/>
      <c r="E83" s="87"/>
      <c r="F83" s="87"/>
      <c r="G83" s="87"/>
      <c r="H83" s="87"/>
      <c r="I83" s="87"/>
      <c r="J83" s="87"/>
      <c r="K83" s="87"/>
      <c r="L83" s="87"/>
      <c r="M83" s="87"/>
      <c r="N83" s="87"/>
      <c r="O83" s="87"/>
      <c r="P83" s="87"/>
      <c r="Q83" s="87"/>
      <c r="R83" s="87"/>
      <c r="S83" s="87"/>
      <c r="T83" s="87"/>
      <c r="U83" s="1262"/>
      <c r="V83" s="87"/>
      <c r="W83" s="87"/>
    </row>
  </sheetData>
  <mergeCells count="69">
    <mergeCell ref="E57:P57"/>
    <mergeCell ref="E60:P60"/>
    <mergeCell ref="K31:P31"/>
    <mergeCell ref="K32:P32"/>
    <mergeCell ref="E56:P56"/>
    <mergeCell ref="E58:P58"/>
    <mergeCell ref="E59:P59"/>
    <mergeCell ref="I53:P53"/>
    <mergeCell ref="E54:H54"/>
    <mergeCell ref="I54:P54"/>
    <mergeCell ref="E53:H53"/>
    <mergeCell ref="E51:P51"/>
    <mergeCell ref="E52:H52"/>
    <mergeCell ref="I52:P52"/>
    <mergeCell ref="E45:P45"/>
    <mergeCell ref="E46:P46"/>
    <mergeCell ref="E77:J77"/>
    <mergeCell ref="K77:P77"/>
    <mergeCell ref="E69:J69"/>
    <mergeCell ref="K69:P69"/>
    <mergeCell ref="E61:P61"/>
    <mergeCell ref="E63:P63"/>
    <mergeCell ref="E65:P65"/>
    <mergeCell ref="E66:P66"/>
    <mergeCell ref="E67:P67"/>
    <mergeCell ref="E75:F76"/>
    <mergeCell ref="E47:P47"/>
    <mergeCell ref="E48:P48"/>
    <mergeCell ref="E50:P50"/>
    <mergeCell ref="E39:P39"/>
    <mergeCell ref="E41:P41"/>
    <mergeCell ref="E42:P42"/>
    <mergeCell ref="E43:P43"/>
    <mergeCell ref="E44:P44"/>
    <mergeCell ref="E35:P35"/>
    <mergeCell ref="E36:P36"/>
    <mergeCell ref="E37:P37"/>
    <mergeCell ref="E24:I24"/>
    <mergeCell ref="E26:P26"/>
    <mergeCell ref="E27:I27"/>
    <mergeCell ref="E28:I28"/>
    <mergeCell ref="K27:P27"/>
    <mergeCell ref="K28:P28"/>
    <mergeCell ref="E32:I32"/>
    <mergeCell ref="E30:P30"/>
    <mergeCell ref="K24:P24"/>
    <mergeCell ref="E31:I31"/>
    <mergeCell ref="E10:P10"/>
    <mergeCell ref="E11:P11"/>
    <mergeCell ref="E13:P13"/>
    <mergeCell ref="E7:P7"/>
    <mergeCell ref="E34:P34"/>
    <mergeCell ref="K19:P19"/>
    <mergeCell ref="K20:P20"/>
    <mergeCell ref="K23:P23"/>
    <mergeCell ref="E14:P14"/>
    <mergeCell ref="E15:P15"/>
    <mergeCell ref="E16:P16"/>
    <mergeCell ref="E18:P18"/>
    <mergeCell ref="E19:I19"/>
    <mergeCell ref="E20:I20"/>
    <mergeCell ref="E22:P22"/>
    <mergeCell ref="E23:I23"/>
    <mergeCell ref="E2:P2"/>
    <mergeCell ref="E3:P3"/>
    <mergeCell ref="E1:P1"/>
    <mergeCell ref="E5:P5"/>
    <mergeCell ref="F8:P8"/>
    <mergeCell ref="E6:P6"/>
  </mergeCells>
  <pageMargins left="0.91" right="0.5" top="0.42" bottom="0.49"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sheetPr>
  <dimension ref="A1:E459"/>
  <sheetViews>
    <sheetView workbookViewId="0">
      <selection activeCell="E459" sqref="E459"/>
    </sheetView>
  </sheetViews>
  <sheetFormatPr defaultRowHeight="16.5"/>
  <cols>
    <col min="1" max="1" width="13.33203125" customWidth="1"/>
    <col min="2" max="2" width="10" customWidth="1"/>
  </cols>
  <sheetData>
    <row r="1" spans="1:5">
      <c r="A1" s="827" t="s">
        <v>1102</v>
      </c>
      <c r="B1" s="827" t="s">
        <v>1103</v>
      </c>
      <c r="C1" s="827" t="s">
        <v>1104</v>
      </c>
      <c r="D1" s="827" t="s">
        <v>1105</v>
      </c>
      <c r="E1" s="827" t="s">
        <v>1106</v>
      </c>
    </row>
    <row r="2" spans="1:5">
      <c r="A2" s="121" t="s">
        <v>1111</v>
      </c>
      <c r="B2" s="121" t="s">
        <v>1108</v>
      </c>
      <c r="C2" s="121" t="s">
        <v>1112</v>
      </c>
      <c r="D2" s="121"/>
      <c r="E2" s="123" t="s">
        <v>1110</v>
      </c>
    </row>
    <row r="3" spans="1:5">
      <c r="A3" s="121" t="s">
        <v>1117</v>
      </c>
      <c r="B3" s="121" t="s">
        <v>1108</v>
      </c>
      <c r="C3" s="121" t="s">
        <v>1118</v>
      </c>
      <c r="D3" s="121"/>
      <c r="E3" s="123" t="s">
        <v>1110</v>
      </c>
    </row>
    <row r="4" spans="1:5">
      <c r="A4" s="121" t="s">
        <v>1123</v>
      </c>
      <c r="B4" s="121" t="s">
        <v>1108</v>
      </c>
      <c r="C4" s="121" t="s">
        <v>1124</v>
      </c>
      <c r="D4" s="121"/>
      <c r="E4" s="123" t="s">
        <v>1110</v>
      </c>
    </row>
    <row r="5" spans="1:5">
      <c r="A5" s="121" t="s">
        <v>1130</v>
      </c>
      <c r="B5" s="121" t="s">
        <v>1131</v>
      </c>
      <c r="C5" s="121" t="s">
        <v>1127</v>
      </c>
      <c r="D5" s="121"/>
      <c r="E5" s="123" t="s">
        <v>1132</v>
      </c>
    </row>
    <row r="6" spans="1:5">
      <c r="A6" s="121" t="s">
        <v>1140</v>
      </c>
      <c r="B6" s="121" t="s">
        <v>1141</v>
      </c>
      <c r="C6" s="121" t="s">
        <v>1142</v>
      </c>
      <c r="D6" s="121"/>
      <c r="E6" s="123"/>
    </row>
    <row r="7" spans="1:5">
      <c r="A7" s="121" t="s">
        <v>1167</v>
      </c>
      <c r="B7" s="121" t="s">
        <v>1164</v>
      </c>
      <c r="C7" s="121" t="s">
        <v>1168</v>
      </c>
      <c r="D7" s="121"/>
      <c r="E7" s="123"/>
    </row>
    <row r="8" spans="1:5">
      <c r="A8" s="121" t="s">
        <v>1170</v>
      </c>
      <c r="B8" s="121" t="s">
        <v>1131</v>
      </c>
      <c r="C8" s="121" t="s">
        <v>1171</v>
      </c>
      <c r="D8" s="121"/>
      <c r="E8" s="123" t="s">
        <v>1132</v>
      </c>
    </row>
    <row r="9" spans="1:5">
      <c r="A9" s="121" t="s">
        <v>1175</v>
      </c>
      <c r="B9" s="121" t="s">
        <v>1141</v>
      </c>
      <c r="C9" s="121" t="s">
        <v>1153</v>
      </c>
      <c r="D9" s="121"/>
      <c r="E9" s="123"/>
    </row>
    <row r="10" spans="1:5">
      <c r="A10" s="121" t="s">
        <v>1187</v>
      </c>
      <c r="B10" s="121" t="s">
        <v>1108</v>
      </c>
      <c r="C10" s="121" t="s">
        <v>1188</v>
      </c>
      <c r="D10" s="121"/>
      <c r="E10" s="123"/>
    </row>
    <row r="11" spans="1:5">
      <c r="A11" s="121" t="s">
        <v>1205</v>
      </c>
      <c r="B11" s="121" t="s">
        <v>1131</v>
      </c>
      <c r="C11" s="121" t="s">
        <v>1206</v>
      </c>
      <c r="D11" s="121"/>
      <c r="E11" s="123"/>
    </row>
    <row r="12" spans="1:5">
      <c r="A12" s="121" t="s">
        <v>82</v>
      </c>
      <c r="B12" s="121" t="s">
        <v>1108</v>
      </c>
      <c r="C12" s="121" t="s">
        <v>1190</v>
      </c>
      <c r="D12" s="121"/>
      <c r="E12" s="123"/>
    </row>
    <row r="13" spans="1:5">
      <c r="A13" s="121" t="s">
        <v>1209</v>
      </c>
      <c r="B13" s="121" t="s">
        <v>1108</v>
      </c>
      <c r="C13" s="121" t="s">
        <v>1148</v>
      </c>
      <c r="D13" s="121"/>
      <c r="E13" s="123"/>
    </row>
    <row r="14" spans="1:5">
      <c r="A14" s="121" t="s">
        <v>1218</v>
      </c>
      <c r="B14" s="121" t="s">
        <v>1219</v>
      </c>
      <c r="C14" s="121" t="s">
        <v>1220</v>
      </c>
      <c r="D14" s="121"/>
      <c r="E14" s="123"/>
    </row>
    <row r="15" spans="1:5">
      <c r="A15" s="121" t="s">
        <v>1226</v>
      </c>
      <c r="B15" s="121" t="s">
        <v>1227</v>
      </c>
      <c r="C15" s="121" t="s">
        <v>1228</v>
      </c>
      <c r="D15" s="121"/>
      <c r="E15" s="123"/>
    </row>
    <row r="16" spans="1:5">
      <c r="A16" s="121" t="s">
        <v>1231</v>
      </c>
      <c r="B16" s="121" t="s">
        <v>1108</v>
      </c>
      <c r="C16" s="121" t="s">
        <v>1148</v>
      </c>
      <c r="D16" s="121"/>
      <c r="E16" s="123"/>
    </row>
    <row r="17" spans="1:5">
      <c r="A17" s="121" t="s">
        <v>1233</v>
      </c>
      <c r="B17" s="121" t="s">
        <v>1108</v>
      </c>
      <c r="C17" s="121" t="s">
        <v>1234</v>
      </c>
      <c r="D17" s="121"/>
      <c r="E17" s="123"/>
    </row>
    <row r="18" spans="1:5">
      <c r="A18" s="121" t="s">
        <v>1238</v>
      </c>
      <c r="B18" s="121" t="s">
        <v>1108</v>
      </c>
      <c r="C18" s="121" t="s">
        <v>1239</v>
      </c>
      <c r="D18" s="121"/>
      <c r="E18" s="123"/>
    </row>
    <row r="19" spans="1:5">
      <c r="A19" s="121" t="s">
        <v>1240</v>
      </c>
      <c r="B19" s="121" t="s">
        <v>1108</v>
      </c>
      <c r="C19" s="121" t="s">
        <v>1241</v>
      </c>
      <c r="D19" s="121"/>
      <c r="E19" s="123"/>
    </row>
    <row r="20" spans="1:5">
      <c r="A20" s="121" t="s">
        <v>1246</v>
      </c>
      <c r="B20" s="121" t="s">
        <v>1108</v>
      </c>
      <c r="C20" s="121" t="s">
        <v>1247</v>
      </c>
      <c r="D20" s="121"/>
      <c r="E20" s="123"/>
    </row>
    <row r="21" spans="1:5">
      <c r="A21" s="121" t="s">
        <v>1249</v>
      </c>
      <c r="B21" s="121" t="s">
        <v>1108</v>
      </c>
      <c r="C21" s="121" t="s">
        <v>1250</v>
      </c>
      <c r="D21" s="121"/>
      <c r="E21" s="123"/>
    </row>
    <row r="22" spans="1:5">
      <c r="A22" s="121" t="s">
        <v>1252</v>
      </c>
      <c r="B22" s="121" t="s">
        <v>1108</v>
      </c>
      <c r="C22" s="121" t="s">
        <v>1253</v>
      </c>
      <c r="D22" s="121"/>
      <c r="E22" s="123"/>
    </row>
    <row r="23" spans="1:5">
      <c r="A23" s="121" t="s">
        <v>1255</v>
      </c>
      <c r="B23" s="121" t="s">
        <v>1108</v>
      </c>
      <c r="C23" s="121" t="s">
        <v>1256</v>
      </c>
      <c r="D23" s="121"/>
      <c r="E23" s="123"/>
    </row>
    <row r="24" spans="1:5">
      <c r="A24" s="121" t="s">
        <v>1258</v>
      </c>
      <c r="B24" s="121" t="s">
        <v>1114</v>
      </c>
      <c r="C24" s="121" t="s">
        <v>1217</v>
      </c>
      <c r="D24" s="121"/>
      <c r="E24" s="123"/>
    </row>
    <row r="25" spans="1:5">
      <c r="A25" s="121" t="s">
        <v>1259</v>
      </c>
      <c r="B25" s="121" t="s">
        <v>1131</v>
      </c>
      <c r="C25" s="121">
        <v>51</v>
      </c>
      <c r="D25" s="121"/>
      <c r="E25" s="123"/>
    </row>
    <row r="26" spans="1:5">
      <c r="A26" s="121" t="s">
        <v>1261</v>
      </c>
      <c r="B26" s="121" t="s">
        <v>1262</v>
      </c>
      <c r="C26" s="121" t="s">
        <v>1263</v>
      </c>
      <c r="D26" s="121"/>
      <c r="E26" s="123"/>
    </row>
    <row r="27" spans="1:5">
      <c r="A27" s="121" t="s">
        <v>1271</v>
      </c>
      <c r="B27" s="121" t="s">
        <v>1272</v>
      </c>
      <c r="C27" s="121" t="s">
        <v>1225</v>
      </c>
      <c r="D27" s="121"/>
      <c r="E27" s="123"/>
    </row>
    <row r="28" spans="1:5">
      <c r="A28" s="121" t="s">
        <v>1284</v>
      </c>
      <c r="B28" s="121" t="s">
        <v>1272</v>
      </c>
      <c r="C28" s="121" t="s">
        <v>1276</v>
      </c>
      <c r="D28" s="121"/>
      <c r="E28" s="123"/>
    </row>
    <row r="29" spans="1:5">
      <c r="A29" s="121" t="s">
        <v>1286</v>
      </c>
      <c r="B29" s="121" t="s">
        <v>1287</v>
      </c>
      <c r="C29" s="121" t="s">
        <v>1288</v>
      </c>
      <c r="D29" s="121"/>
      <c r="E29" s="123"/>
    </row>
    <row r="30" spans="1:5">
      <c r="A30" s="121" t="s">
        <v>1302</v>
      </c>
      <c r="B30" s="121" t="s">
        <v>1131</v>
      </c>
      <c r="C30" s="121" t="s">
        <v>1303</v>
      </c>
      <c r="D30" s="121"/>
      <c r="E30" s="123"/>
    </row>
    <row r="31" spans="1:5">
      <c r="A31" s="121" t="s">
        <v>1304</v>
      </c>
      <c r="B31" s="121" t="s">
        <v>1272</v>
      </c>
      <c r="C31" s="828">
        <v>1561</v>
      </c>
      <c r="D31" s="121"/>
      <c r="E31" s="123"/>
    </row>
    <row r="32" spans="1:5">
      <c r="A32" s="121" t="s">
        <v>1305</v>
      </c>
      <c r="B32" s="121" t="s">
        <v>1272</v>
      </c>
      <c r="C32" s="121" t="s">
        <v>1306</v>
      </c>
      <c r="D32" s="121"/>
      <c r="E32" s="123"/>
    </row>
    <row r="33" spans="1:5">
      <c r="A33" s="121" t="s">
        <v>1307</v>
      </c>
      <c r="B33" s="121" t="s">
        <v>1113</v>
      </c>
      <c r="C33" s="121" t="s">
        <v>1199</v>
      </c>
      <c r="D33" s="121"/>
      <c r="E33" s="123"/>
    </row>
    <row r="34" spans="1:5">
      <c r="A34" s="121" t="s">
        <v>1309</v>
      </c>
      <c r="B34" s="121" t="s">
        <v>1277</v>
      </c>
      <c r="C34" s="121" t="s">
        <v>1310</v>
      </c>
      <c r="D34" s="121"/>
      <c r="E34" s="123"/>
    </row>
    <row r="35" spans="1:5">
      <c r="A35" s="121" t="s">
        <v>1311</v>
      </c>
      <c r="B35" s="121" t="s">
        <v>1277</v>
      </c>
      <c r="C35" s="121" t="s">
        <v>1312</v>
      </c>
      <c r="D35" s="121"/>
      <c r="E35" s="123"/>
    </row>
    <row r="36" spans="1:5">
      <c r="A36" s="121" t="s">
        <v>1313</v>
      </c>
      <c r="B36" s="121" t="s">
        <v>1314</v>
      </c>
      <c r="C36" s="121" t="s">
        <v>1315</v>
      </c>
      <c r="D36" s="121"/>
      <c r="E36" s="123"/>
    </row>
    <row r="37" spans="1:5">
      <c r="A37" s="121" t="s">
        <v>1322</v>
      </c>
      <c r="B37" s="121" t="s">
        <v>1323</v>
      </c>
      <c r="C37" s="121" t="s">
        <v>1324</v>
      </c>
      <c r="D37" s="121"/>
      <c r="E37" s="123"/>
    </row>
    <row r="38" spans="1:5">
      <c r="A38" s="121" t="s">
        <v>1331</v>
      </c>
      <c r="B38" s="121" t="s">
        <v>1154</v>
      </c>
      <c r="C38" s="121" t="s">
        <v>1142</v>
      </c>
      <c r="D38" s="121"/>
      <c r="E38" s="123"/>
    </row>
    <row r="39" spans="1:5">
      <c r="A39" s="121" t="s">
        <v>1333</v>
      </c>
      <c r="B39" s="121" t="s">
        <v>1108</v>
      </c>
      <c r="C39" s="121" t="s">
        <v>1203</v>
      </c>
      <c r="D39" s="121"/>
      <c r="E39" s="123"/>
    </row>
    <row r="40" spans="1:5">
      <c r="A40" s="121" t="s">
        <v>1337</v>
      </c>
      <c r="B40" s="121" t="s">
        <v>1108</v>
      </c>
      <c r="C40" s="121" t="s">
        <v>1178</v>
      </c>
      <c r="D40" s="121"/>
      <c r="E40" s="123"/>
    </row>
    <row r="41" spans="1:5">
      <c r="A41" s="121" t="s">
        <v>1338</v>
      </c>
      <c r="B41" s="121" t="s">
        <v>1339</v>
      </c>
      <c r="C41" s="121" t="s">
        <v>1340</v>
      </c>
      <c r="D41" s="121"/>
      <c r="E41" s="123"/>
    </row>
    <row r="42" spans="1:5">
      <c r="A42" s="121" t="s">
        <v>1341</v>
      </c>
      <c r="B42" s="121" t="s">
        <v>1208</v>
      </c>
      <c r="C42" s="121">
        <v>122</v>
      </c>
      <c r="D42" s="121"/>
      <c r="E42" s="123"/>
    </row>
    <row r="43" spans="1:5">
      <c r="A43" s="121" t="s">
        <v>1342</v>
      </c>
      <c r="B43" s="121" t="s">
        <v>1180</v>
      </c>
      <c r="C43" s="121" t="s">
        <v>1142</v>
      </c>
      <c r="D43" s="121"/>
      <c r="E43" s="123"/>
    </row>
    <row r="44" spans="1:5">
      <c r="A44" s="121" t="s">
        <v>1359</v>
      </c>
      <c r="B44" s="121" t="s">
        <v>1108</v>
      </c>
      <c r="C44" s="121" t="s">
        <v>1360</v>
      </c>
      <c r="D44" s="121"/>
      <c r="E44" s="123"/>
    </row>
    <row r="45" spans="1:5">
      <c r="A45" s="121" t="s">
        <v>1361</v>
      </c>
      <c r="B45" s="121" t="s">
        <v>1131</v>
      </c>
      <c r="C45" s="121">
        <v>5</v>
      </c>
      <c r="D45" s="121"/>
      <c r="E45" s="123"/>
    </row>
    <row r="46" spans="1:5">
      <c r="A46" s="121" t="s">
        <v>1362</v>
      </c>
      <c r="B46" s="121" t="s">
        <v>1108</v>
      </c>
      <c r="C46" s="121" t="s">
        <v>1363</v>
      </c>
      <c r="D46" s="121"/>
      <c r="E46" s="123"/>
    </row>
    <row r="47" spans="1:5">
      <c r="A47" s="121" t="s">
        <v>1371</v>
      </c>
      <c r="B47" s="121" t="s">
        <v>1372</v>
      </c>
      <c r="C47" s="121" t="s">
        <v>1373</v>
      </c>
      <c r="D47" s="121"/>
      <c r="E47" s="123"/>
    </row>
    <row r="48" spans="1:5">
      <c r="A48" s="121" t="s">
        <v>1379</v>
      </c>
      <c r="B48" s="121" t="s">
        <v>1343</v>
      </c>
      <c r="C48" s="121" t="s">
        <v>1171</v>
      </c>
      <c r="D48" s="121"/>
      <c r="E48" s="123"/>
    </row>
    <row r="49" spans="1:5">
      <c r="A49" s="121" t="s">
        <v>1384</v>
      </c>
      <c r="B49" s="121" t="s">
        <v>1154</v>
      </c>
      <c r="C49" s="121" t="s">
        <v>1142</v>
      </c>
      <c r="D49" s="121"/>
      <c r="E49" s="123"/>
    </row>
    <row r="50" spans="1:5">
      <c r="A50" s="121" t="s">
        <v>1393</v>
      </c>
      <c r="B50" s="121" t="s">
        <v>1264</v>
      </c>
      <c r="C50" s="121" t="s">
        <v>1242</v>
      </c>
      <c r="D50" s="121"/>
      <c r="E50" s="123"/>
    </row>
    <row r="51" spans="1:5">
      <c r="A51" s="121" t="s">
        <v>1394</v>
      </c>
      <c r="B51" s="121" t="s">
        <v>1395</v>
      </c>
      <c r="C51" s="121" t="s">
        <v>1321</v>
      </c>
      <c r="D51" s="121"/>
      <c r="E51" s="123"/>
    </row>
    <row r="52" spans="1:5">
      <c r="A52" s="121" t="s">
        <v>1397</v>
      </c>
      <c r="B52" s="121" t="s">
        <v>1398</v>
      </c>
      <c r="C52" s="121" t="s">
        <v>1399</v>
      </c>
      <c r="D52" s="121"/>
      <c r="E52" s="123"/>
    </row>
    <row r="53" spans="1:5">
      <c r="A53" s="121" t="s">
        <v>1403</v>
      </c>
      <c r="B53" s="121" t="s">
        <v>1404</v>
      </c>
      <c r="C53" s="121">
        <v>101</v>
      </c>
      <c r="D53" s="121"/>
      <c r="E53" s="123"/>
    </row>
    <row r="54" spans="1:5">
      <c r="A54" s="121" t="s">
        <v>1405</v>
      </c>
      <c r="B54" s="121" t="s">
        <v>1161</v>
      </c>
      <c r="C54" s="121" t="s">
        <v>1142</v>
      </c>
      <c r="D54" s="121"/>
      <c r="E54" s="123"/>
    </row>
    <row r="55" spans="1:5">
      <c r="A55" s="121" t="s">
        <v>1410</v>
      </c>
      <c r="B55" s="121" t="s">
        <v>1408</v>
      </c>
      <c r="C55" s="121">
        <v>101</v>
      </c>
      <c r="D55" s="121"/>
      <c r="E55" s="123"/>
    </row>
    <row r="56" spans="1:5">
      <c r="A56" s="121" t="s">
        <v>1412</v>
      </c>
      <c r="B56" s="121" t="s">
        <v>1161</v>
      </c>
      <c r="C56" s="121" t="s">
        <v>1142</v>
      </c>
      <c r="D56" s="121"/>
      <c r="E56" s="123"/>
    </row>
    <row r="57" spans="1:5">
      <c r="A57" s="121" t="s">
        <v>1414</v>
      </c>
      <c r="B57" s="121" t="s">
        <v>1409</v>
      </c>
      <c r="C57" s="121">
        <v>101</v>
      </c>
      <c r="D57" s="121"/>
      <c r="E57" s="123"/>
    </row>
    <row r="58" spans="1:5">
      <c r="A58" s="121" t="s">
        <v>1417</v>
      </c>
      <c r="B58" s="121" t="s">
        <v>1161</v>
      </c>
      <c r="C58" s="121">
        <v>2</v>
      </c>
      <c r="D58" s="121"/>
      <c r="E58" s="123"/>
    </row>
    <row r="59" spans="1:5">
      <c r="A59" s="121" t="s">
        <v>1419</v>
      </c>
      <c r="B59" s="121" t="s">
        <v>1420</v>
      </c>
      <c r="C59" s="121">
        <v>101</v>
      </c>
      <c r="D59" s="121"/>
      <c r="E59" s="123"/>
    </row>
    <row r="60" spans="1:5">
      <c r="A60" s="121" t="s">
        <v>1424</v>
      </c>
      <c r="B60" s="121" t="s">
        <v>1372</v>
      </c>
      <c r="C60" s="121" t="s">
        <v>1202</v>
      </c>
      <c r="D60" s="121"/>
      <c r="E60" s="123"/>
    </row>
    <row r="61" spans="1:5">
      <c r="A61" s="121" t="s">
        <v>1425</v>
      </c>
      <c r="B61" s="121" t="s">
        <v>1426</v>
      </c>
      <c r="C61" s="121" t="s">
        <v>1135</v>
      </c>
      <c r="D61" s="121"/>
      <c r="E61" s="123"/>
    </row>
    <row r="62" spans="1:5">
      <c r="A62" s="121" t="s">
        <v>1428</v>
      </c>
      <c r="B62" s="121" t="s">
        <v>1185</v>
      </c>
      <c r="C62" s="121" t="s">
        <v>1230</v>
      </c>
      <c r="D62" s="121"/>
      <c r="E62" s="123"/>
    </row>
    <row r="63" spans="1:5">
      <c r="A63" s="121" t="s">
        <v>1429</v>
      </c>
      <c r="B63" s="121" t="s">
        <v>1380</v>
      </c>
      <c r="C63" s="121" t="s">
        <v>1370</v>
      </c>
      <c r="D63" s="121"/>
      <c r="E63" s="123"/>
    </row>
    <row r="64" spans="1:5">
      <c r="A64" s="121" t="s">
        <v>1437</v>
      </c>
      <c r="B64" s="121" t="s">
        <v>1409</v>
      </c>
      <c r="C64" s="121">
        <v>101</v>
      </c>
      <c r="D64" s="121"/>
      <c r="E64" s="123"/>
    </row>
    <row r="65" spans="1:5">
      <c r="A65" s="121" t="s">
        <v>1440</v>
      </c>
      <c r="B65" s="121" t="s">
        <v>1441</v>
      </c>
      <c r="C65" s="121">
        <v>100</v>
      </c>
      <c r="D65" s="121"/>
      <c r="E65" s="123"/>
    </row>
    <row r="66" spans="1:5">
      <c r="A66" s="121" t="s">
        <v>1442</v>
      </c>
      <c r="B66" s="121" t="s">
        <v>1154</v>
      </c>
      <c r="C66" s="121" t="s">
        <v>1443</v>
      </c>
      <c r="D66" s="121"/>
      <c r="E66" s="123" t="s">
        <v>1155</v>
      </c>
    </row>
    <row r="67" spans="1:5">
      <c r="A67" s="121" t="s">
        <v>1445</v>
      </c>
      <c r="B67" s="121" t="s">
        <v>1446</v>
      </c>
      <c r="C67" s="121" t="s">
        <v>1447</v>
      </c>
      <c r="D67" s="121"/>
      <c r="E67" s="123"/>
    </row>
    <row r="68" spans="1:5">
      <c r="A68" s="121" t="s">
        <v>1451</v>
      </c>
      <c r="B68" s="121" t="s">
        <v>1452</v>
      </c>
      <c r="C68" s="121">
        <v>101</v>
      </c>
      <c r="D68" s="121"/>
      <c r="E68" s="123"/>
    </row>
    <row r="69" spans="1:5">
      <c r="A69" s="121" t="s">
        <v>1455</v>
      </c>
      <c r="B69" s="121" t="s">
        <v>1456</v>
      </c>
      <c r="C69" s="121">
        <v>101</v>
      </c>
      <c r="D69" s="121"/>
      <c r="E69" s="123"/>
    </row>
    <row r="70" spans="1:5">
      <c r="A70" s="121" t="s">
        <v>1458</v>
      </c>
      <c r="B70" s="121" t="s">
        <v>1459</v>
      </c>
      <c r="C70" s="121" t="s">
        <v>1378</v>
      </c>
      <c r="D70" s="121"/>
      <c r="E70" s="123"/>
    </row>
    <row r="71" spans="1:5">
      <c r="A71" s="121" t="s">
        <v>1462</v>
      </c>
      <c r="B71" s="121" t="s">
        <v>1463</v>
      </c>
      <c r="C71" s="121" t="s">
        <v>1464</v>
      </c>
      <c r="D71" s="121"/>
      <c r="E71" s="123"/>
    </row>
    <row r="72" spans="1:5">
      <c r="A72" s="121" t="s">
        <v>1471</v>
      </c>
      <c r="B72" s="121" t="s">
        <v>1154</v>
      </c>
      <c r="C72" s="121" t="s">
        <v>1444</v>
      </c>
      <c r="D72" s="121"/>
      <c r="E72" s="123" t="s">
        <v>1155</v>
      </c>
    </row>
    <row r="73" spans="1:5">
      <c r="A73" s="121" t="s">
        <v>1474</v>
      </c>
      <c r="B73" s="121" t="s">
        <v>1475</v>
      </c>
      <c r="C73" s="121">
        <v>101</v>
      </c>
      <c r="D73" s="121"/>
      <c r="E73" s="123"/>
    </row>
    <row r="74" spans="1:5">
      <c r="A74" s="121" t="s">
        <v>1479</v>
      </c>
      <c r="B74" s="121" t="s">
        <v>1480</v>
      </c>
      <c r="C74" s="121" t="s">
        <v>1481</v>
      </c>
      <c r="D74" s="121"/>
      <c r="E74" s="123"/>
    </row>
    <row r="75" spans="1:5">
      <c r="A75" s="121" t="s">
        <v>1493</v>
      </c>
      <c r="B75" s="121" t="s">
        <v>1484</v>
      </c>
      <c r="C75" s="121" t="s">
        <v>1486</v>
      </c>
      <c r="D75" s="121"/>
      <c r="E75" s="123"/>
    </row>
    <row r="76" spans="1:5">
      <c r="A76" s="121" t="s">
        <v>1497</v>
      </c>
      <c r="B76" s="121" t="s">
        <v>1498</v>
      </c>
      <c r="C76" s="121" t="s">
        <v>1139</v>
      </c>
      <c r="D76" s="121"/>
      <c r="E76" s="123"/>
    </row>
    <row r="77" spans="1:5">
      <c r="A77" s="121" t="s">
        <v>133</v>
      </c>
      <c r="B77" s="121" t="s">
        <v>1499</v>
      </c>
      <c r="C77" s="121" t="s">
        <v>1197</v>
      </c>
      <c r="D77" s="121"/>
      <c r="E77" s="123"/>
    </row>
    <row r="78" spans="1:5">
      <c r="A78" s="121" t="s">
        <v>1502</v>
      </c>
      <c r="B78" s="121" t="s">
        <v>1503</v>
      </c>
      <c r="C78" s="121" t="s">
        <v>1431</v>
      </c>
      <c r="D78" s="121"/>
      <c r="E78" s="123"/>
    </row>
    <row r="79" spans="1:5">
      <c r="A79" s="121" t="s">
        <v>1505</v>
      </c>
      <c r="B79" s="121" t="s">
        <v>1506</v>
      </c>
      <c r="C79" s="121" t="s">
        <v>1153</v>
      </c>
      <c r="D79" s="121"/>
      <c r="E79" s="123"/>
    </row>
    <row r="80" spans="1:5">
      <c r="A80" s="121" t="s">
        <v>1509</v>
      </c>
      <c r="B80" s="121" t="s">
        <v>1114</v>
      </c>
      <c r="C80" s="121" t="s">
        <v>1109</v>
      </c>
      <c r="D80" s="121"/>
      <c r="E80" s="123"/>
    </row>
    <row r="81" spans="1:5">
      <c r="A81" s="121" t="s">
        <v>1514</v>
      </c>
      <c r="B81" s="121" t="s">
        <v>1515</v>
      </c>
      <c r="C81" s="121" t="s">
        <v>1516</v>
      </c>
      <c r="D81" s="121"/>
      <c r="E81" s="123"/>
    </row>
    <row r="82" spans="1:5">
      <c r="A82" s="121" t="s">
        <v>1521</v>
      </c>
      <c r="B82" s="121" t="s">
        <v>1522</v>
      </c>
      <c r="C82" s="121" t="s">
        <v>1280</v>
      </c>
      <c r="D82" s="121"/>
      <c r="E82" s="123"/>
    </row>
    <row r="83" spans="1:5">
      <c r="A83" s="121" t="s">
        <v>1523</v>
      </c>
      <c r="B83" s="121" t="s">
        <v>1524</v>
      </c>
      <c r="C83" s="121" t="s">
        <v>1525</v>
      </c>
      <c r="D83" s="121"/>
      <c r="E83" s="123"/>
    </row>
    <row r="84" spans="1:5">
      <c r="A84" s="121" t="s">
        <v>1527</v>
      </c>
      <c r="B84" s="121" t="s">
        <v>1528</v>
      </c>
      <c r="C84" s="121">
        <v>193</v>
      </c>
      <c r="D84" s="121"/>
      <c r="E84" s="123"/>
    </row>
    <row r="85" spans="1:5">
      <c r="A85" s="121" t="s">
        <v>1532</v>
      </c>
      <c r="B85" s="121" t="s">
        <v>1154</v>
      </c>
      <c r="C85" s="121" t="s">
        <v>1283</v>
      </c>
      <c r="D85" s="121"/>
      <c r="E85" s="123" t="s">
        <v>1155</v>
      </c>
    </row>
    <row r="86" spans="1:5">
      <c r="A86" s="121" t="s">
        <v>1539</v>
      </c>
      <c r="B86" s="121" t="s">
        <v>1131</v>
      </c>
      <c r="C86" s="121" t="s">
        <v>1146</v>
      </c>
      <c r="D86" s="121"/>
      <c r="E86" s="123" t="s">
        <v>1132</v>
      </c>
    </row>
    <row r="87" spans="1:5">
      <c r="A87" s="121" t="s">
        <v>1540</v>
      </c>
      <c r="B87" s="121" t="s">
        <v>1520</v>
      </c>
      <c r="C87" s="121" t="s">
        <v>1541</v>
      </c>
      <c r="D87" s="121"/>
      <c r="E87" s="123"/>
    </row>
    <row r="88" spans="1:5">
      <c r="A88" s="121" t="s">
        <v>1545</v>
      </c>
      <c r="B88" s="121" t="s">
        <v>1277</v>
      </c>
      <c r="C88" s="121" t="s">
        <v>1191</v>
      </c>
      <c r="D88" s="121"/>
      <c r="E88" s="123"/>
    </row>
    <row r="89" spans="1:5">
      <c r="A89" s="121" t="s">
        <v>1546</v>
      </c>
      <c r="B89" s="121" t="s">
        <v>1510</v>
      </c>
      <c r="C89" s="121" t="s">
        <v>1547</v>
      </c>
      <c r="D89" s="121"/>
      <c r="E89" s="123"/>
    </row>
    <row r="90" spans="1:5">
      <c r="A90" s="121" t="s">
        <v>1548</v>
      </c>
      <c r="B90" s="121" t="s">
        <v>1549</v>
      </c>
      <c r="C90" s="828">
        <v>1312</v>
      </c>
      <c r="D90" s="121"/>
      <c r="E90" s="123"/>
    </row>
    <row r="91" spans="1:5">
      <c r="A91" s="121" t="s">
        <v>1552</v>
      </c>
      <c r="B91" s="121" t="s">
        <v>1553</v>
      </c>
      <c r="C91" s="121">
        <v>9135</v>
      </c>
      <c r="D91" s="121"/>
      <c r="E91" s="123"/>
    </row>
    <row r="92" spans="1:5">
      <c r="A92" s="121" t="s">
        <v>1555</v>
      </c>
      <c r="B92" s="121" t="s">
        <v>1553</v>
      </c>
      <c r="C92" s="121">
        <v>9744</v>
      </c>
      <c r="D92" s="121"/>
      <c r="E92" s="123"/>
    </row>
    <row r="93" spans="1:5">
      <c r="A93" s="121" t="s">
        <v>1556</v>
      </c>
      <c r="B93" s="121" t="s">
        <v>1557</v>
      </c>
      <c r="C93" s="121">
        <v>160</v>
      </c>
      <c r="D93" s="121"/>
      <c r="E93" s="123"/>
    </row>
    <row r="94" spans="1:5">
      <c r="A94" s="121" t="s">
        <v>1558</v>
      </c>
      <c r="B94" s="121" t="s">
        <v>1554</v>
      </c>
      <c r="C94" s="121">
        <v>974</v>
      </c>
      <c r="D94" s="121"/>
      <c r="E94" s="123"/>
    </row>
    <row r="95" spans="1:5">
      <c r="A95" s="121" t="s">
        <v>1559</v>
      </c>
      <c r="B95" s="121" t="s">
        <v>1161</v>
      </c>
      <c r="C95" s="121" t="s">
        <v>1148</v>
      </c>
      <c r="D95" s="121"/>
      <c r="E95" s="123"/>
    </row>
    <row r="96" spans="1:5">
      <c r="A96" s="121" t="s">
        <v>1561</v>
      </c>
      <c r="B96" s="121" t="s">
        <v>1560</v>
      </c>
      <c r="C96" s="121">
        <v>240</v>
      </c>
      <c r="D96" s="121"/>
      <c r="E96" s="123"/>
    </row>
    <row r="97" spans="1:5">
      <c r="A97" s="121" t="s">
        <v>1562</v>
      </c>
      <c r="B97" s="121" t="s">
        <v>1141</v>
      </c>
      <c r="C97" s="121" t="s">
        <v>1563</v>
      </c>
      <c r="D97" s="121"/>
      <c r="E97" s="123"/>
    </row>
    <row r="98" spans="1:5">
      <c r="A98" s="121" t="s">
        <v>1566</v>
      </c>
      <c r="B98" s="121" t="s">
        <v>1567</v>
      </c>
      <c r="C98" s="121" t="s">
        <v>1568</v>
      </c>
      <c r="D98" s="121"/>
      <c r="E98" s="123"/>
    </row>
    <row r="99" spans="1:5">
      <c r="A99" s="121" t="s">
        <v>1569</v>
      </c>
      <c r="B99" s="121" t="s">
        <v>1570</v>
      </c>
      <c r="C99" s="121" t="s">
        <v>1122</v>
      </c>
      <c r="D99" s="121"/>
      <c r="E99" s="123"/>
    </row>
    <row r="100" spans="1:5">
      <c r="A100" s="121" t="s">
        <v>1579</v>
      </c>
      <c r="B100" s="121" t="s">
        <v>1580</v>
      </c>
      <c r="C100" s="121">
        <v>1</v>
      </c>
      <c r="D100" s="121"/>
      <c r="E100" s="123"/>
    </row>
    <row r="101" spans="1:5">
      <c r="A101" s="121" t="s">
        <v>134</v>
      </c>
      <c r="B101" s="121" t="s">
        <v>1581</v>
      </c>
      <c r="C101" s="121">
        <v>1</v>
      </c>
      <c r="D101" s="121"/>
      <c r="E101" s="123"/>
    </row>
    <row r="102" spans="1:5">
      <c r="A102" s="121" t="s">
        <v>1582</v>
      </c>
      <c r="B102" s="121" t="s">
        <v>1583</v>
      </c>
      <c r="C102" s="121">
        <v>400</v>
      </c>
      <c r="D102" s="121"/>
      <c r="E102" s="123"/>
    </row>
    <row r="103" spans="1:5">
      <c r="A103" s="121" t="s">
        <v>1584</v>
      </c>
      <c r="B103" s="121" t="s">
        <v>1585</v>
      </c>
      <c r="C103" s="121">
        <v>1</v>
      </c>
      <c r="D103" s="121"/>
      <c r="E103" s="123"/>
    </row>
    <row r="104" spans="1:5">
      <c r="A104" s="121" t="s">
        <v>1587</v>
      </c>
      <c r="B104" s="121" t="s">
        <v>1588</v>
      </c>
      <c r="C104" s="121" t="s">
        <v>1212</v>
      </c>
      <c r="D104" s="121"/>
      <c r="E104" s="123"/>
    </row>
    <row r="105" spans="1:5">
      <c r="A105" s="121" t="s">
        <v>1589</v>
      </c>
      <c r="B105" s="121" t="s">
        <v>1590</v>
      </c>
      <c r="C105" s="121">
        <v>2</v>
      </c>
      <c r="D105" s="121"/>
      <c r="E105" s="123"/>
    </row>
    <row r="106" spans="1:5">
      <c r="A106" s="121" t="s">
        <v>1591</v>
      </c>
      <c r="B106" s="121" t="s">
        <v>1592</v>
      </c>
      <c r="C106" s="121">
        <v>1</v>
      </c>
      <c r="D106" s="121"/>
      <c r="E106" s="123"/>
    </row>
    <row r="107" spans="1:5">
      <c r="A107" s="121" t="s">
        <v>1593</v>
      </c>
      <c r="B107" s="121" t="s">
        <v>1594</v>
      </c>
      <c r="C107" s="121">
        <v>56</v>
      </c>
      <c r="D107" s="121"/>
      <c r="E107" s="123"/>
    </row>
    <row r="108" spans="1:5">
      <c r="A108" s="121" t="s">
        <v>1595</v>
      </c>
      <c r="B108" s="121" t="s">
        <v>1550</v>
      </c>
      <c r="C108" s="121" t="s">
        <v>1198</v>
      </c>
      <c r="D108" s="121"/>
      <c r="E108" s="123"/>
    </row>
    <row r="109" spans="1:5">
      <c r="A109" s="121" t="s">
        <v>1598</v>
      </c>
      <c r="B109" s="121" t="s">
        <v>1131</v>
      </c>
      <c r="C109" s="121" t="s">
        <v>1200</v>
      </c>
      <c r="D109" s="121"/>
      <c r="E109" s="123"/>
    </row>
    <row r="110" spans="1:5">
      <c r="A110" s="121" t="s">
        <v>1599</v>
      </c>
      <c r="B110" s="121" t="s">
        <v>1161</v>
      </c>
      <c r="C110" s="121" t="s">
        <v>1289</v>
      </c>
      <c r="D110" s="121"/>
      <c r="E110" s="123"/>
    </row>
    <row r="111" spans="1:5">
      <c r="A111" s="121" t="s">
        <v>1600</v>
      </c>
      <c r="B111" s="121" t="s">
        <v>1601</v>
      </c>
      <c r="C111" s="121" t="s">
        <v>1402</v>
      </c>
      <c r="D111" s="121"/>
      <c r="E111" s="123"/>
    </row>
    <row r="112" spans="1:5">
      <c r="A112" s="121" t="s">
        <v>1603</v>
      </c>
      <c r="B112" s="121" t="s">
        <v>1604</v>
      </c>
      <c r="C112" s="121">
        <v>430</v>
      </c>
      <c r="D112" s="121"/>
      <c r="E112" s="123"/>
    </row>
    <row r="113" spans="1:5">
      <c r="A113" s="121" t="s">
        <v>1605</v>
      </c>
      <c r="B113" s="121" t="s">
        <v>1606</v>
      </c>
      <c r="C113" s="121">
        <v>539</v>
      </c>
      <c r="D113" s="121"/>
      <c r="E113" s="123"/>
    </row>
    <row r="114" spans="1:5">
      <c r="A114" s="121" t="s">
        <v>1607</v>
      </c>
      <c r="B114" s="121" t="s">
        <v>1606</v>
      </c>
      <c r="C114" s="121">
        <v>643</v>
      </c>
      <c r="D114" s="121"/>
      <c r="E114" s="123"/>
    </row>
    <row r="115" spans="1:5">
      <c r="A115" s="121" t="s">
        <v>1612</v>
      </c>
      <c r="B115" s="121" t="s">
        <v>1608</v>
      </c>
      <c r="C115" s="121" t="s">
        <v>1172</v>
      </c>
      <c r="D115" s="121"/>
      <c r="E115" s="123"/>
    </row>
    <row r="116" spans="1:5">
      <c r="A116" s="121" t="s">
        <v>1613</v>
      </c>
      <c r="B116" s="121" t="s">
        <v>1606</v>
      </c>
      <c r="C116" s="121">
        <v>550</v>
      </c>
      <c r="D116" s="121"/>
      <c r="E116" s="123"/>
    </row>
    <row r="117" spans="1:5">
      <c r="A117" s="121" t="s">
        <v>1614</v>
      </c>
      <c r="B117" s="121" t="s">
        <v>1606</v>
      </c>
      <c r="C117" s="121">
        <v>550</v>
      </c>
      <c r="D117" s="121"/>
      <c r="E117" s="123"/>
    </row>
    <row r="118" spans="1:5">
      <c r="A118" s="121" t="s">
        <v>1615</v>
      </c>
      <c r="B118" s="121" t="s">
        <v>1606</v>
      </c>
      <c r="C118" s="121">
        <v>550</v>
      </c>
      <c r="D118" s="121"/>
      <c r="E118" s="123"/>
    </row>
    <row r="119" spans="1:5">
      <c r="A119" s="121" t="s">
        <v>1616</v>
      </c>
      <c r="B119" s="121" t="s">
        <v>1606</v>
      </c>
      <c r="C119" s="121">
        <v>573</v>
      </c>
      <c r="D119" s="121"/>
      <c r="E119" s="123"/>
    </row>
    <row r="120" spans="1:5">
      <c r="A120" s="121" t="s">
        <v>1618</v>
      </c>
      <c r="B120" s="121" t="s">
        <v>1617</v>
      </c>
      <c r="C120" s="121">
        <v>539</v>
      </c>
      <c r="D120" s="121"/>
      <c r="E120" s="123"/>
    </row>
    <row r="121" spans="1:5">
      <c r="A121" s="121" t="s">
        <v>1620</v>
      </c>
      <c r="B121" s="121" t="s">
        <v>1621</v>
      </c>
      <c r="C121" s="121">
        <v>1</v>
      </c>
      <c r="D121" s="121"/>
      <c r="E121" s="123"/>
    </row>
    <row r="122" spans="1:5">
      <c r="A122" s="121" t="s">
        <v>1624</v>
      </c>
      <c r="B122" s="121" t="s">
        <v>1625</v>
      </c>
      <c r="C122" s="121">
        <v>72</v>
      </c>
      <c r="D122" s="121"/>
      <c r="E122" s="123"/>
    </row>
    <row r="123" spans="1:5">
      <c r="A123" s="121" t="s">
        <v>1626</v>
      </c>
      <c r="B123" s="121" t="s">
        <v>1627</v>
      </c>
      <c r="C123" s="121">
        <v>108</v>
      </c>
      <c r="D123" s="121"/>
      <c r="E123" s="123"/>
    </row>
    <row r="124" spans="1:5">
      <c r="A124" s="121" t="s">
        <v>1632</v>
      </c>
      <c r="B124" s="121" t="s">
        <v>1633</v>
      </c>
      <c r="C124" s="121">
        <v>810</v>
      </c>
      <c r="D124" s="121"/>
      <c r="E124" s="123"/>
    </row>
    <row r="125" spans="1:5">
      <c r="A125" s="121" t="s">
        <v>1634</v>
      </c>
      <c r="B125" s="121" t="s">
        <v>1633</v>
      </c>
      <c r="C125" s="121">
        <v>830</v>
      </c>
      <c r="D125" s="121"/>
      <c r="E125" s="123"/>
    </row>
    <row r="126" spans="1:5">
      <c r="A126" s="121" t="s">
        <v>1635</v>
      </c>
      <c r="B126" s="121" t="s">
        <v>1633</v>
      </c>
      <c r="C126" s="121">
        <v>782</v>
      </c>
      <c r="D126" s="121"/>
      <c r="E126" s="123"/>
    </row>
    <row r="127" spans="1:5">
      <c r="A127" s="121" t="s">
        <v>1636</v>
      </c>
      <c r="B127" s="121" t="s">
        <v>1161</v>
      </c>
      <c r="C127" s="121" t="s">
        <v>1133</v>
      </c>
      <c r="D127" s="121"/>
      <c r="E127" s="123"/>
    </row>
    <row r="128" spans="1:5">
      <c r="A128" s="121" t="s">
        <v>1638</v>
      </c>
      <c r="B128" s="121" t="s">
        <v>1637</v>
      </c>
      <c r="C128" s="121">
        <v>921</v>
      </c>
      <c r="D128" s="121"/>
      <c r="E128" s="123"/>
    </row>
    <row r="129" spans="1:5">
      <c r="A129" s="121" t="s">
        <v>1639</v>
      </c>
      <c r="B129" s="121" t="s">
        <v>1640</v>
      </c>
      <c r="C129" s="121">
        <v>1315</v>
      </c>
      <c r="D129" s="121"/>
      <c r="E129" s="123"/>
    </row>
    <row r="130" spans="1:5">
      <c r="A130" s="121" t="s">
        <v>1641</v>
      </c>
      <c r="B130" s="121" t="s">
        <v>1640</v>
      </c>
      <c r="C130" s="121">
        <v>1048</v>
      </c>
      <c r="D130" s="121"/>
      <c r="E130" s="123"/>
    </row>
    <row r="131" spans="1:5">
      <c r="A131" s="121" t="s">
        <v>1642</v>
      </c>
      <c r="B131" s="121" t="s">
        <v>1608</v>
      </c>
      <c r="C131" s="121" t="s">
        <v>1172</v>
      </c>
      <c r="D131" s="121"/>
      <c r="E131" s="123"/>
    </row>
    <row r="132" spans="1:5">
      <c r="A132" s="121" t="s">
        <v>1644</v>
      </c>
      <c r="B132" s="121" t="s">
        <v>1643</v>
      </c>
      <c r="C132" s="121">
        <v>350</v>
      </c>
      <c r="D132" s="121"/>
      <c r="E132" s="123"/>
    </row>
    <row r="133" spans="1:5">
      <c r="A133" s="121" t="s">
        <v>1645</v>
      </c>
      <c r="B133" s="121" t="s">
        <v>1180</v>
      </c>
      <c r="C133" s="121" t="s">
        <v>1148</v>
      </c>
      <c r="D133" s="121"/>
      <c r="E133" s="123"/>
    </row>
    <row r="134" spans="1:5">
      <c r="A134" s="121" t="s">
        <v>1647</v>
      </c>
      <c r="B134" s="121" t="s">
        <v>1571</v>
      </c>
      <c r="C134" s="121" t="s">
        <v>1184</v>
      </c>
      <c r="D134" s="121"/>
      <c r="E134" s="123"/>
    </row>
    <row r="135" spans="1:5">
      <c r="A135" s="121" t="s">
        <v>1648</v>
      </c>
      <c r="B135" s="121" t="s">
        <v>1649</v>
      </c>
      <c r="C135" s="121">
        <v>275</v>
      </c>
      <c r="D135" s="121"/>
      <c r="E135" s="123"/>
    </row>
    <row r="136" spans="1:5">
      <c r="A136" s="121" t="s">
        <v>1650</v>
      </c>
      <c r="B136" s="121" t="s">
        <v>1571</v>
      </c>
      <c r="C136" s="121" t="s">
        <v>1166</v>
      </c>
      <c r="D136" s="121"/>
      <c r="E136" s="123"/>
    </row>
    <row r="137" spans="1:5">
      <c r="A137" s="121" t="s">
        <v>1651</v>
      </c>
      <c r="B137" s="121" t="s">
        <v>1652</v>
      </c>
      <c r="C137" s="121">
        <v>394</v>
      </c>
      <c r="D137" s="121"/>
      <c r="E137" s="123"/>
    </row>
    <row r="138" spans="1:5">
      <c r="A138" s="121" t="s">
        <v>1653</v>
      </c>
      <c r="B138" s="121" t="s">
        <v>1654</v>
      </c>
      <c r="C138" s="121">
        <v>60</v>
      </c>
      <c r="D138" s="121"/>
      <c r="E138" s="123"/>
    </row>
    <row r="139" spans="1:5">
      <c r="A139" s="121" t="s">
        <v>1655</v>
      </c>
      <c r="B139" s="121" t="s">
        <v>1633</v>
      </c>
      <c r="C139" s="121">
        <v>810</v>
      </c>
      <c r="D139" s="121"/>
      <c r="E139" s="123"/>
    </row>
    <row r="140" spans="1:5">
      <c r="A140" s="121" t="s">
        <v>1656</v>
      </c>
      <c r="B140" s="121" t="s">
        <v>1633</v>
      </c>
      <c r="C140" s="121">
        <v>820</v>
      </c>
      <c r="D140" s="121"/>
      <c r="E140" s="123"/>
    </row>
    <row r="141" spans="1:5">
      <c r="A141" s="121" t="s">
        <v>1657</v>
      </c>
      <c r="B141" s="121" t="s">
        <v>1637</v>
      </c>
      <c r="C141" s="121">
        <v>937</v>
      </c>
      <c r="D141" s="121"/>
      <c r="E141" s="123"/>
    </row>
    <row r="142" spans="1:5">
      <c r="A142" s="121" t="s">
        <v>1658</v>
      </c>
      <c r="B142" s="121" t="s">
        <v>1637</v>
      </c>
      <c r="C142" s="121">
        <v>937</v>
      </c>
      <c r="D142" s="121"/>
      <c r="E142" s="123"/>
    </row>
    <row r="143" spans="1:5">
      <c r="A143" s="121" t="s">
        <v>1659</v>
      </c>
      <c r="B143" s="121" t="s">
        <v>1640</v>
      </c>
      <c r="C143" s="121">
        <v>1164</v>
      </c>
      <c r="D143" s="121"/>
      <c r="E143" s="123"/>
    </row>
    <row r="144" spans="1:5">
      <c r="A144" s="121" t="s">
        <v>1660</v>
      </c>
      <c r="B144" s="121" t="s">
        <v>1640</v>
      </c>
      <c r="C144" s="121">
        <v>1087</v>
      </c>
      <c r="D144" s="121"/>
      <c r="E144" s="123"/>
    </row>
    <row r="145" spans="1:5">
      <c r="A145" s="121" t="s">
        <v>1661</v>
      </c>
      <c r="B145" s="121" t="s">
        <v>1646</v>
      </c>
      <c r="C145" s="121">
        <v>542</v>
      </c>
      <c r="D145" s="121"/>
      <c r="E145" s="123"/>
    </row>
    <row r="146" spans="1:5">
      <c r="A146" s="121" t="s">
        <v>1662</v>
      </c>
      <c r="B146" s="121" t="s">
        <v>1663</v>
      </c>
      <c r="C146" s="121">
        <v>424</v>
      </c>
      <c r="D146" s="121"/>
      <c r="E146" s="123"/>
    </row>
    <row r="147" spans="1:5">
      <c r="A147" s="121" t="s">
        <v>1664</v>
      </c>
      <c r="B147" s="121" t="s">
        <v>1665</v>
      </c>
      <c r="C147" s="121" t="s">
        <v>1296</v>
      </c>
      <c r="D147" s="121"/>
      <c r="E147" s="123"/>
    </row>
    <row r="148" spans="1:5">
      <c r="A148" s="121" t="s">
        <v>1666</v>
      </c>
      <c r="B148" s="121" t="s">
        <v>1667</v>
      </c>
      <c r="C148" s="121">
        <v>1020</v>
      </c>
      <c r="D148" s="121"/>
      <c r="E148" s="123"/>
    </row>
    <row r="149" spans="1:5">
      <c r="A149" s="121" t="s">
        <v>1670</v>
      </c>
      <c r="B149" s="121" t="s">
        <v>1667</v>
      </c>
      <c r="C149" s="121">
        <v>1050</v>
      </c>
      <c r="D149" s="121"/>
      <c r="E149" s="123"/>
    </row>
    <row r="150" spans="1:5">
      <c r="A150" s="121" t="s">
        <v>1671</v>
      </c>
      <c r="B150" s="121" t="s">
        <v>1667</v>
      </c>
      <c r="C150" s="121">
        <v>1050</v>
      </c>
      <c r="D150" s="121"/>
      <c r="E150" s="123"/>
    </row>
    <row r="151" spans="1:5">
      <c r="A151" s="121" t="s">
        <v>1672</v>
      </c>
      <c r="B151" s="121" t="s">
        <v>1571</v>
      </c>
      <c r="C151" s="121" t="s">
        <v>1358</v>
      </c>
      <c r="D151" s="121"/>
      <c r="E151" s="123"/>
    </row>
    <row r="152" spans="1:5">
      <c r="A152" s="121" t="s">
        <v>1677</v>
      </c>
      <c r="B152" s="121" t="s">
        <v>1675</v>
      </c>
      <c r="C152" s="121" t="s">
        <v>1156</v>
      </c>
      <c r="D152" s="121"/>
      <c r="E152" s="123"/>
    </row>
    <row r="153" spans="1:5">
      <c r="A153" s="121" t="s">
        <v>1678</v>
      </c>
      <c r="B153" s="121" t="s">
        <v>1571</v>
      </c>
      <c r="C153" s="828">
        <v>1025</v>
      </c>
      <c r="D153" s="121"/>
      <c r="E153" s="123"/>
    </row>
    <row r="154" spans="1:5">
      <c r="A154" s="121" t="s">
        <v>1680</v>
      </c>
      <c r="B154" s="121" t="s">
        <v>1571</v>
      </c>
      <c r="C154" s="828">
        <v>1025</v>
      </c>
      <c r="D154" s="121"/>
      <c r="E154" s="123"/>
    </row>
    <row r="155" spans="1:5">
      <c r="A155" s="121" t="s">
        <v>1682</v>
      </c>
      <c r="B155" s="121" t="s">
        <v>1161</v>
      </c>
      <c r="C155" s="121">
        <v>1</v>
      </c>
      <c r="D155" s="121"/>
      <c r="E155" s="123"/>
    </row>
    <row r="156" spans="1:5">
      <c r="A156" s="121" t="s">
        <v>1684</v>
      </c>
      <c r="B156" s="121" t="s">
        <v>1571</v>
      </c>
      <c r="C156" s="828">
        <v>1025</v>
      </c>
      <c r="D156" s="121"/>
      <c r="E156" s="123"/>
    </row>
    <row r="157" spans="1:5">
      <c r="A157" s="121" t="s">
        <v>1685</v>
      </c>
      <c r="B157" s="121" t="s">
        <v>1571</v>
      </c>
      <c r="C157" s="828">
        <v>1025</v>
      </c>
      <c r="D157" s="121"/>
      <c r="E157" s="123"/>
    </row>
    <row r="158" spans="1:5">
      <c r="A158" s="121" t="s">
        <v>1686</v>
      </c>
      <c r="B158" s="121" t="s">
        <v>1571</v>
      </c>
      <c r="C158" s="121" t="s">
        <v>1282</v>
      </c>
      <c r="D158" s="121"/>
      <c r="E158" s="123"/>
    </row>
    <row r="159" spans="1:5">
      <c r="A159" s="121" t="s">
        <v>1689</v>
      </c>
      <c r="B159" s="121" t="s">
        <v>1571</v>
      </c>
      <c r="C159" s="121" t="s">
        <v>1358</v>
      </c>
      <c r="D159" s="121"/>
      <c r="E159" s="123"/>
    </row>
    <row r="160" spans="1:5">
      <c r="A160" s="121" t="s">
        <v>1691</v>
      </c>
      <c r="B160" s="121" t="s">
        <v>1676</v>
      </c>
      <c r="C160" s="121" t="s">
        <v>1469</v>
      </c>
      <c r="D160" s="121"/>
      <c r="E160" s="123"/>
    </row>
    <row r="161" spans="1:5">
      <c r="A161" s="121" t="s">
        <v>1693</v>
      </c>
      <c r="B161" s="121" t="s">
        <v>1571</v>
      </c>
      <c r="C161" s="828">
        <v>1025</v>
      </c>
      <c r="D161" s="121"/>
      <c r="E161" s="123"/>
    </row>
    <row r="162" spans="1:5">
      <c r="A162" s="121" t="s">
        <v>1694</v>
      </c>
      <c r="B162" s="121" t="s">
        <v>1454</v>
      </c>
      <c r="C162" s="121" t="s">
        <v>1137</v>
      </c>
      <c r="D162" s="121"/>
      <c r="E162" s="123"/>
    </row>
    <row r="163" spans="1:5">
      <c r="A163" s="121" t="s">
        <v>1695</v>
      </c>
      <c r="B163" s="121" t="s">
        <v>1571</v>
      </c>
      <c r="C163" s="828">
        <v>1025</v>
      </c>
      <c r="D163" s="121"/>
      <c r="E163" s="123"/>
    </row>
    <row r="164" spans="1:5">
      <c r="A164" s="121" t="s">
        <v>1698</v>
      </c>
      <c r="B164" s="121" t="s">
        <v>1571</v>
      </c>
      <c r="C164" s="121" t="s">
        <v>1699</v>
      </c>
      <c r="D164" s="121"/>
      <c r="E164" s="123"/>
    </row>
    <row r="165" spans="1:5">
      <c r="A165" s="121" t="s">
        <v>1700</v>
      </c>
      <c r="B165" s="121" t="s">
        <v>1571</v>
      </c>
      <c r="C165" s="828">
        <v>1015</v>
      </c>
      <c r="D165" s="121"/>
      <c r="E165" s="123"/>
    </row>
    <row r="166" spans="1:5">
      <c r="A166" s="121" t="s">
        <v>1702</v>
      </c>
      <c r="B166" s="121" t="s">
        <v>1571</v>
      </c>
      <c r="C166" s="828">
        <v>1015</v>
      </c>
      <c r="D166" s="121"/>
      <c r="E166" s="123"/>
    </row>
    <row r="167" spans="1:5">
      <c r="A167" s="121" t="s">
        <v>1703</v>
      </c>
      <c r="B167" s="121" t="s">
        <v>1159</v>
      </c>
      <c r="C167" s="121" t="s">
        <v>1350</v>
      </c>
      <c r="D167" s="121"/>
      <c r="E167" s="123"/>
    </row>
    <row r="168" spans="1:5">
      <c r="A168" s="121" t="s">
        <v>1704</v>
      </c>
      <c r="B168" s="121" t="s">
        <v>1571</v>
      </c>
      <c r="C168" s="828">
        <v>1015</v>
      </c>
      <c r="D168" s="121"/>
      <c r="E168" s="123"/>
    </row>
    <row r="169" spans="1:5">
      <c r="A169" s="121" t="s">
        <v>1705</v>
      </c>
      <c r="B169" s="121" t="s">
        <v>1571</v>
      </c>
      <c r="C169" s="121" t="s">
        <v>1212</v>
      </c>
      <c r="D169" s="121"/>
      <c r="E169" s="123"/>
    </row>
    <row r="170" spans="1:5">
      <c r="A170" s="121" t="s">
        <v>1706</v>
      </c>
      <c r="B170" s="121" t="s">
        <v>1113</v>
      </c>
      <c r="C170" s="121" t="s">
        <v>1469</v>
      </c>
      <c r="D170" s="121"/>
      <c r="E170" s="123"/>
    </row>
    <row r="171" spans="1:5">
      <c r="A171" s="121" t="s">
        <v>1709</v>
      </c>
      <c r="B171" s="121" t="s">
        <v>1571</v>
      </c>
      <c r="C171" s="121" t="s">
        <v>1358</v>
      </c>
      <c r="D171" s="121"/>
      <c r="E171" s="123"/>
    </row>
    <row r="172" spans="1:5">
      <c r="A172" s="121" t="s">
        <v>1716</v>
      </c>
      <c r="B172" s="121" t="s">
        <v>1571</v>
      </c>
      <c r="C172" s="828">
        <v>1025</v>
      </c>
      <c r="D172" s="121"/>
      <c r="E172" s="123"/>
    </row>
    <row r="173" spans="1:5">
      <c r="A173" s="121" t="s">
        <v>1717</v>
      </c>
      <c r="B173" s="121" t="s">
        <v>1571</v>
      </c>
      <c r="C173" s="121" t="s">
        <v>1212</v>
      </c>
      <c r="D173" s="121"/>
      <c r="E173" s="123"/>
    </row>
    <row r="174" spans="1:5">
      <c r="A174" s="121" t="s">
        <v>1721</v>
      </c>
      <c r="B174" s="121" t="s">
        <v>1571</v>
      </c>
      <c r="C174" s="828">
        <v>1025</v>
      </c>
      <c r="D174" s="121"/>
      <c r="E174" s="123"/>
    </row>
    <row r="175" spans="1:5">
      <c r="A175" s="121" t="s">
        <v>1722</v>
      </c>
      <c r="B175" s="121" t="s">
        <v>1571</v>
      </c>
      <c r="C175" s="828">
        <v>1025</v>
      </c>
      <c r="D175" s="121"/>
      <c r="E175" s="123"/>
    </row>
    <row r="176" spans="1:5">
      <c r="A176" s="121" t="s">
        <v>1724</v>
      </c>
      <c r="B176" s="121" t="s">
        <v>1571</v>
      </c>
      <c r="C176" s="828">
        <v>1025</v>
      </c>
      <c r="D176" s="121"/>
      <c r="E176" s="123"/>
    </row>
    <row r="177" spans="1:5">
      <c r="A177" s="121" t="s">
        <v>1725</v>
      </c>
      <c r="B177" s="121" t="s">
        <v>1571</v>
      </c>
      <c r="C177" s="828">
        <v>1015</v>
      </c>
      <c r="D177" s="121"/>
      <c r="E177" s="123"/>
    </row>
    <row r="178" spans="1:5">
      <c r="A178" s="121" t="s">
        <v>1726</v>
      </c>
      <c r="B178" s="121" t="s">
        <v>1275</v>
      </c>
      <c r="C178" s="121" t="s">
        <v>1519</v>
      </c>
      <c r="D178" s="121"/>
      <c r="E178" s="123"/>
    </row>
    <row r="179" spans="1:5">
      <c r="A179" s="121" t="s">
        <v>1728</v>
      </c>
      <c r="B179" s="121" t="s">
        <v>1729</v>
      </c>
      <c r="C179" s="121">
        <v>1005</v>
      </c>
      <c r="D179" s="121"/>
      <c r="E179" s="123"/>
    </row>
    <row r="180" spans="1:5">
      <c r="A180" s="121" t="s">
        <v>1732</v>
      </c>
      <c r="B180" s="121" t="s">
        <v>1108</v>
      </c>
      <c r="C180" s="121" t="s">
        <v>1173</v>
      </c>
      <c r="D180" s="121"/>
      <c r="E180" s="123"/>
    </row>
    <row r="181" spans="1:5">
      <c r="A181" s="121" t="s">
        <v>1742</v>
      </c>
      <c r="B181" s="121" t="s">
        <v>1729</v>
      </c>
      <c r="C181" s="121">
        <v>1007</v>
      </c>
      <c r="D181" s="121"/>
      <c r="E181" s="123"/>
    </row>
    <row r="182" spans="1:5">
      <c r="A182" s="121" t="s">
        <v>1744</v>
      </c>
      <c r="B182" s="121" t="s">
        <v>1147</v>
      </c>
      <c r="C182" s="121" t="s">
        <v>1407</v>
      </c>
      <c r="D182" s="121"/>
      <c r="E182" s="123"/>
    </row>
    <row r="183" spans="1:5">
      <c r="A183" s="121" t="s">
        <v>1745</v>
      </c>
      <c r="B183" s="121" t="s">
        <v>1729</v>
      </c>
      <c r="C183" s="121">
        <v>1005</v>
      </c>
      <c r="D183" s="121"/>
      <c r="E183" s="123"/>
    </row>
    <row r="184" spans="1:5">
      <c r="A184" s="121" t="s">
        <v>1747</v>
      </c>
      <c r="B184" s="121" t="s">
        <v>1748</v>
      </c>
      <c r="C184" s="121">
        <v>1025</v>
      </c>
      <c r="D184" s="121"/>
      <c r="E184" s="123"/>
    </row>
    <row r="185" spans="1:5">
      <c r="A185" s="121" t="s">
        <v>1753</v>
      </c>
      <c r="B185" s="121" t="s">
        <v>1180</v>
      </c>
      <c r="C185" s="121">
        <v>2</v>
      </c>
      <c r="D185" s="121"/>
      <c r="E185" s="123"/>
    </row>
    <row r="186" spans="1:5">
      <c r="A186" s="121" t="s">
        <v>1754</v>
      </c>
      <c r="B186" s="121" t="s">
        <v>1729</v>
      </c>
      <c r="C186" s="121">
        <v>1005</v>
      </c>
      <c r="D186" s="121"/>
      <c r="E186" s="123"/>
    </row>
    <row r="187" spans="1:5">
      <c r="A187" s="121" t="s">
        <v>1755</v>
      </c>
      <c r="B187" s="121" t="s">
        <v>1729</v>
      </c>
      <c r="C187" s="121">
        <v>1005</v>
      </c>
      <c r="D187" s="121"/>
      <c r="E187" s="123"/>
    </row>
    <row r="188" spans="1:5">
      <c r="A188" s="121" t="s">
        <v>1756</v>
      </c>
      <c r="B188" s="121" t="s">
        <v>1141</v>
      </c>
      <c r="C188" s="121" t="s">
        <v>1713</v>
      </c>
      <c r="D188" s="121"/>
      <c r="E188" s="123"/>
    </row>
    <row r="189" spans="1:5">
      <c r="A189" s="121" t="s">
        <v>1757</v>
      </c>
      <c r="B189" s="121" t="s">
        <v>1729</v>
      </c>
      <c r="C189" s="121">
        <v>1005</v>
      </c>
      <c r="D189" s="121"/>
      <c r="E189" s="123"/>
    </row>
    <row r="190" spans="1:5">
      <c r="A190" s="121" t="s">
        <v>1759</v>
      </c>
      <c r="B190" s="121" t="s">
        <v>1731</v>
      </c>
      <c r="C190" s="121">
        <v>1020</v>
      </c>
      <c r="D190" s="121"/>
      <c r="E190" s="123"/>
    </row>
    <row r="191" spans="1:5">
      <c r="A191" s="121" t="s">
        <v>1761</v>
      </c>
      <c r="B191" s="121" t="s">
        <v>1395</v>
      </c>
      <c r="C191" s="121" t="s">
        <v>1762</v>
      </c>
      <c r="D191" s="121"/>
      <c r="E191" s="123"/>
    </row>
    <row r="192" spans="1:5">
      <c r="A192" s="121" t="s">
        <v>1763</v>
      </c>
      <c r="B192" s="121" t="s">
        <v>1460</v>
      </c>
      <c r="C192" s="121" t="s">
        <v>1764</v>
      </c>
      <c r="D192" s="121"/>
      <c r="E192" s="123"/>
    </row>
    <row r="193" spans="1:5">
      <c r="A193" s="121" t="s">
        <v>1766</v>
      </c>
      <c r="B193" s="121" t="s">
        <v>1264</v>
      </c>
      <c r="C193" s="121" t="s">
        <v>1473</v>
      </c>
      <c r="D193" s="121"/>
      <c r="E193" s="123"/>
    </row>
    <row r="194" spans="1:5">
      <c r="A194" s="121" t="s">
        <v>1768</v>
      </c>
      <c r="B194" s="121" t="s">
        <v>1767</v>
      </c>
      <c r="C194" s="121" t="s">
        <v>1378</v>
      </c>
      <c r="D194" s="121"/>
      <c r="E194" s="123"/>
    </row>
    <row r="195" spans="1:5">
      <c r="A195" s="121" t="s">
        <v>1769</v>
      </c>
      <c r="B195" s="121" t="s">
        <v>1460</v>
      </c>
      <c r="C195" s="121" t="s">
        <v>1764</v>
      </c>
      <c r="D195" s="121"/>
      <c r="E195" s="123"/>
    </row>
    <row r="196" spans="1:5">
      <c r="A196" s="121" t="s">
        <v>1773</v>
      </c>
      <c r="B196" s="121" t="s">
        <v>1774</v>
      </c>
      <c r="C196" s="121" t="s">
        <v>1174</v>
      </c>
      <c r="D196" s="121"/>
      <c r="E196" s="123"/>
    </row>
    <row r="197" spans="1:5">
      <c r="A197" s="121" t="s">
        <v>1777</v>
      </c>
      <c r="B197" s="121" t="s">
        <v>1778</v>
      </c>
      <c r="C197" s="121">
        <v>722</v>
      </c>
      <c r="D197" s="121"/>
      <c r="E197" s="123"/>
    </row>
    <row r="198" spans="1:5">
      <c r="A198" s="121" t="s">
        <v>1781</v>
      </c>
      <c r="B198" s="121" t="s">
        <v>1571</v>
      </c>
      <c r="C198" s="828">
        <v>1015</v>
      </c>
      <c r="D198" s="121"/>
      <c r="E198" s="123"/>
    </row>
    <row r="199" spans="1:5">
      <c r="A199" s="121" t="s">
        <v>1782</v>
      </c>
      <c r="B199" s="121" t="s">
        <v>1154</v>
      </c>
      <c r="C199" s="121" t="s">
        <v>1478</v>
      </c>
      <c r="D199" s="121"/>
      <c r="E199" s="123"/>
    </row>
    <row r="200" spans="1:5">
      <c r="A200" s="121" t="s">
        <v>1783</v>
      </c>
      <c r="B200" s="121" t="s">
        <v>1729</v>
      </c>
      <c r="C200" s="121">
        <v>1005</v>
      </c>
      <c r="D200" s="121"/>
      <c r="E200" s="123"/>
    </row>
    <row r="201" spans="1:5">
      <c r="A201" s="121" t="s">
        <v>1784</v>
      </c>
      <c r="B201" s="121" t="s">
        <v>1785</v>
      </c>
      <c r="C201" s="121" t="s">
        <v>1189</v>
      </c>
      <c r="D201" s="121"/>
      <c r="E201" s="123"/>
    </row>
    <row r="202" spans="1:5">
      <c r="A202" s="121" t="s">
        <v>1786</v>
      </c>
      <c r="B202" s="121" t="s">
        <v>1767</v>
      </c>
      <c r="C202" s="121" t="s">
        <v>1378</v>
      </c>
      <c r="D202" s="121"/>
      <c r="E202" s="123"/>
    </row>
    <row r="203" spans="1:5">
      <c r="A203" s="121" t="s">
        <v>1792</v>
      </c>
      <c r="B203" s="121" t="s">
        <v>1395</v>
      </c>
      <c r="C203" s="121" t="s">
        <v>1369</v>
      </c>
      <c r="D203" s="121"/>
      <c r="E203" s="123"/>
    </row>
    <row r="204" spans="1:5">
      <c r="A204" s="121" t="s">
        <v>1794</v>
      </c>
      <c r="B204" s="121" t="s">
        <v>1460</v>
      </c>
      <c r="C204" s="121">
        <v>3</v>
      </c>
      <c r="D204" s="121"/>
      <c r="E204" s="123"/>
    </row>
    <row r="205" spans="1:5">
      <c r="A205" s="121" t="s">
        <v>1795</v>
      </c>
      <c r="B205" s="121" t="s">
        <v>1679</v>
      </c>
      <c r="C205" s="121" t="s">
        <v>1201</v>
      </c>
      <c r="D205" s="121"/>
      <c r="E205" s="123"/>
    </row>
    <row r="206" spans="1:5">
      <c r="A206" s="121" t="s">
        <v>1797</v>
      </c>
      <c r="B206" s="121" t="s">
        <v>1161</v>
      </c>
      <c r="C206" s="121">
        <v>10</v>
      </c>
      <c r="D206" s="121"/>
      <c r="E206" s="123"/>
    </row>
    <row r="207" spans="1:5">
      <c r="A207" s="121" t="s">
        <v>1798</v>
      </c>
      <c r="B207" s="121" t="s">
        <v>1799</v>
      </c>
      <c r="C207" s="121">
        <v>8</v>
      </c>
      <c r="D207" s="121"/>
      <c r="E207" s="123"/>
    </row>
    <row r="208" spans="1:5">
      <c r="A208" s="121" t="s">
        <v>1801</v>
      </c>
      <c r="B208" s="121" t="s">
        <v>1802</v>
      </c>
      <c r="C208" s="121" t="s">
        <v>1156</v>
      </c>
      <c r="D208" s="121"/>
      <c r="E208" s="123"/>
    </row>
    <row r="209" spans="1:5">
      <c r="A209" s="121" t="s">
        <v>1804</v>
      </c>
      <c r="B209" s="121" t="s">
        <v>1770</v>
      </c>
      <c r="C209" s="121" t="s">
        <v>1254</v>
      </c>
      <c r="D209" s="121"/>
      <c r="E209" s="123"/>
    </row>
    <row r="210" spans="1:5">
      <c r="A210" s="121" t="s">
        <v>1805</v>
      </c>
      <c r="B210" s="121" t="s">
        <v>1770</v>
      </c>
      <c r="C210" s="121" t="s">
        <v>1254</v>
      </c>
      <c r="D210" s="121"/>
      <c r="E210" s="123"/>
    </row>
    <row r="211" spans="1:5">
      <c r="A211" s="121" t="s">
        <v>1806</v>
      </c>
      <c r="B211" s="121" t="s">
        <v>1571</v>
      </c>
      <c r="C211" s="121" t="s">
        <v>1115</v>
      </c>
      <c r="D211" s="121"/>
      <c r="E211" s="123"/>
    </row>
    <row r="212" spans="1:5">
      <c r="A212" s="121" t="s">
        <v>1807</v>
      </c>
      <c r="B212" s="121" t="s">
        <v>1131</v>
      </c>
      <c r="C212" s="121" t="s">
        <v>1149</v>
      </c>
      <c r="D212" s="121"/>
      <c r="E212" s="123"/>
    </row>
    <row r="213" spans="1:5">
      <c r="A213" s="121" t="s">
        <v>1808</v>
      </c>
      <c r="B213" s="121" t="s">
        <v>1459</v>
      </c>
      <c r="C213" s="121">
        <v>860</v>
      </c>
      <c r="D213" s="121"/>
      <c r="E213" s="123"/>
    </row>
    <row r="214" spans="1:5">
      <c r="A214" s="121" t="s">
        <v>1811</v>
      </c>
      <c r="B214" s="121" t="s">
        <v>1788</v>
      </c>
      <c r="C214" s="121" t="s">
        <v>1109</v>
      </c>
      <c r="D214" s="121"/>
      <c r="E214" s="123"/>
    </row>
    <row r="215" spans="1:5">
      <c r="A215" s="121" t="s">
        <v>1813</v>
      </c>
      <c r="B215" s="121" t="s">
        <v>1459</v>
      </c>
      <c r="C215" s="121" t="s">
        <v>1814</v>
      </c>
      <c r="D215" s="121"/>
      <c r="E215" s="123"/>
    </row>
    <row r="216" spans="1:5">
      <c r="A216" s="121" t="s">
        <v>1816</v>
      </c>
      <c r="B216" s="121" t="s">
        <v>1459</v>
      </c>
      <c r="C216" s="121" t="s">
        <v>1817</v>
      </c>
      <c r="D216" s="121"/>
      <c r="E216" s="123"/>
    </row>
    <row r="217" spans="1:5">
      <c r="A217" s="121" t="s">
        <v>1819</v>
      </c>
      <c r="B217" s="121" t="s">
        <v>1820</v>
      </c>
      <c r="C217" s="121" t="s">
        <v>1243</v>
      </c>
      <c r="D217" s="121"/>
      <c r="E217" s="123"/>
    </row>
    <row r="218" spans="1:5">
      <c r="A218" s="121" t="s">
        <v>1822</v>
      </c>
      <c r="B218" s="121" t="s">
        <v>1770</v>
      </c>
      <c r="C218" s="121" t="s">
        <v>1254</v>
      </c>
      <c r="D218" s="121"/>
      <c r="E218" s="123"/>
    </row>
    <row r="219" spans="1:5">
      <c r="A219" s="121" t="s">
        <v>1823</v>
      </c>
      <c r="B219" s="121" t="s">
        <v>1770</v>
      </c>
      <c r="C219" s="121" t="s">
        <v>1273</v>
      </c>
      <c r="D219" s="121"/>
      <c r="E219" s="123"/>
    </row>
    <row r="220" spans="1:5">
      <c r="A220" s="121" t="s">
        <v>142</v>
      </c>
      <c r="B220" s="121" t="s">
        <v>1460</v>
      </c>
      <c r="C220" s="121">
        <v>1025</v>
      </c>
      <c r="D220" s="121"/>
      <c r="E220" s="123"/>
    </row>
    <row r="221" spans="1:5">
      <c r="A221" s="121" t="s">
        <v>1826</v>
      </c>
      <c r="B221" s="121" t="s">
        <v>1459</v>
      </c>
      <c r="C221" s="121">
        <v>1025</v>
      </c>
      <c r="D221" s="121"/>
      <c r="E221" s="123"/>
    </row>
    <row r="222" spans="1:5">
      <c r="A222" s="121" t="s">
        <v>1827</v>
      </c>
      <c r="B222" s="121" t="s">
        <v>1460</v>
      </c>
      <c r="C222" s="121">
        <v>1100</v>
      </c>
      <c r="D222" s="121"/>
      <c r="E222" s="123"/>
    </row>
    <row r="223" spans="1:5">
      <c r="A223" s="121" t="s">
        <v>1828</v>
      </c>
      <c r="B223" s="121" t="s">
        <v>1460</v>
      </c>
      <c r="C223" s="121">
        <v>1050</v>
      </c>
      <c r="D223" s="121"/>
      <c r="E223" s="123"/>
    </row>
    <row r="224" spans="1:5">
      <c r="A224" s="121" t="s">
        <v>1833</v>
      </c>
      <c r="B224" s="121" t="s">
        <v>1460</v>
      </c>
      <c r="C224" s="121">
        <v>1050</v>
      </c>
      <c r="D224" s="121"/>
      <c r="E224" s="123"/>
    </row>
    <row r="225" spans="1:5">
      <c r="A225" s="121" t="s">
        <v>1835</v>
      </c>
      <c r="B225" s="121" t="s">
        <v>1180</v>
      </c>
      <c r="C225" s="121">
        <v>3</v>
      </c>
      <c r="D225" s="121"/>
      <c r="E225" s="123"/>
    </row>
    <row r="226" spans="1:5">
      <c r="A226" s="121" t="s">
        <v>1836</v>
      </c>
      <c r="B226" s="121" t="s">
        <v>1161</v>
      </c>
      <c r="C226" s="121">
        <v>5</v>
      </c>
      <c r="D226" s="121"/>
      <c r="E226" s="123"/>
    </row>
    <row r="227" spans="1:5">
      <c r="A227" s="121" t="s">
        <v>1837</v>
      </c>
      <c r="B227" s="121" t="s">
        <v>1177</v>
      </c>
      <c r="C227" s="121" t="s">
        <v>1166</v>
      </c>
      <c r="D227" s="121"/>
      <c r="E227" s="123"/>
    </row>
    <row r="228" spans="1:5">
      <c r="A228" s="121" t="s">
        <v>1838</v>
      </c>
      <c r="B228" s="121" t="s">
        <v>1510</v>
      </c>
      <c r="C228" s="121" t="s">
        <v>1153</v>
      </c>
      <c r="D228" s="121"/>
      <c r="E228" s="123"/>
    </row>
    <row r="229" spans="1:5">
      <c r="A229" s="121" t="s">
        <v>1839</v>
      </c>
      <c r="B229" s="121" t="s">
        <v>1264</v>
      </c>
      <c r="C229" s="121" t="s">
        <v>1840</v>
      </c>
      <c r="D229" s="121"/>
      <c r="E229" s="123"/>
    </row>
    <row r="230" spans="1:5">
      <c r="A230" s="121" t="s">
        <v>1842</v>
      </c>
      <c r="B230" s="121" t="s">
        <v>1459</v>
      </c>
      <c r="C230" s="121">
        <v>26</v>
      </c>
      <c r="D230" s="121"/>
      <c r="E230" s="123"/>
    </row>
    <row r="231" spans="1:5">
      <c r="A231" s="121" t="s">
        <v>1843</v>
      </c>
      <c r="B231" s="121" t="s">
        <v>1679</v>
      </c>
      <c r="C231" s="121" t="s">
        <v>1435</v>
      </c>
      <c r="D231" s="121"/>
      <c r="E231" s="123"/>
    </row>
    <row r="232" spans="1:5">
      <c r="A232" s="121" t="s">
        <v>1844</v>
      </c>
      <c r="B232" s="121" t="s">
        <v>1845</v>
      </c>
      <c r="C232" s="121" t="s">
        <v>1846</v>
      </c>
      <c r="D232" s="121"/>
      <c r="E232" s="123"/>
    </row>
    <row r="233" spans="1:5">
      <c r="A233" s="121" t="s">
        <v>1847</v>
      </c>
      <c r="B233" s="121" t="s">
        <v>1848</v>
      </c>
      <c r="C233" s="121" t="s">
        <v>1586</v>
      </c>
      <c r="D233" s="121"/>
      <c r="E233" s="123"/>
    </row>
    <row r="234" spans="1:5">
      <c r="A234" s="121" t="s">
        <v>1849</v>
      </c>
      <c r="B234" s="121" t="s">
        <v>1571</v>
      </c>
      <c r="C234" s="121" t="s">
        <v>1321</v>
      </c>
      <c r="D234" s="121"/>
      <c r="E234" s="123"/>
    </row>
    <row r="235" spans="1:5">
      <c r="A235" s="121" t="s">
        <v>1850</v>
      </c>
      <c r="B235" s="121" t="s">
        <v>1851</v>
      </c>
      <c r="C235" s="121" t="s">
        <v>1257</v>
      </c>
      <c r="D235" s="121"/>
      <c r="E235" s="123"/>
    </row>
    <row r="236" spans="1:5">
      <c r="A236" s="121" t="s">
        <v>1852</v>
      </c>
      <c r="B236" s="121" t="s">
        <v>1571</v>
      </c>
      <c r="C236" s="121" t="s">
        <v>1116</v>
      </c>
      <c r="D236" s="121"/>
      <c r="E236" s="123"/>
    </row>
    <row r="237" spans="1:5">
      <c r="A237" s="121" t="s">
        <v>1853</v>
      </c>
      <c r="B237" s="121" t="s">
        <v>1854</v>
      </c>
      <c r="C237" s="828">
        <v>1005</v>
      </c>
      <c r="D237" s="121"/>
      <c r="E237" s="123"/>
    </row>
    <row r="238" spans="1:5">
      <c r="A238" s="121" t="s">
        <v>1855</v>
      </c>
      <c r="B238" s="121" t="s">
        <v>1856</v>
      </c>
      <c r="C238" s="828">
        <v>1005</v>
      </c>
      <c r="D238" s="121"/>
      <c r="E238" s="123"/>
    </row>
    <row r="239" spans="1:5">
      <c r="A239" s="121" t="s">
        <v>137</v>
      </c>
      <c r="B239" s="121" t="s">
        <v>1860</v>
      </c>
      <c r="C239" s="121" t="s">
        <v>1195</v>
      </c>
      <c r="D239" s="121"/>
      <c r="E239" s="123"/>
    </row>
    <row r="240" spans="1:5">
      <c r="A240" s="121" t="s">
        <v>1863</v>
      </c>
      <c r="B240" s="121" t="s">
        <v>1571</v>
      </c>
      <c r="C240" s="121" t="s">
        <v>1320</v>
      </c>
      <c r="D240" s="121"/>
      <c r="E240" s="123"/>
    </row>
    <row r="241" spans="1:5">
      <c r="A241" s="121" t="s">
        <v>1864</v>
      </c>
      <c r="B241" s="121" t="s">
        <v>1571</v>
      </c>
      <c r="C241" s="121" t="s">
        <v>1295</v>
      </c>
      <c r="D241" s="121"/>
      <c r="E241" s="123"/>
    </row>
    <row r="242" spans="1:5">
      <c r="A242" s="121" t="s">
        <v>1865</v>
      </c>
      <c r="B242" s="121" t="s">
        <v>1571</v>
      </c>
      <c r="C242" s="121" t="s">
        <v>1370</v>
      </c>
      <c r="D242" s="121"/>
      <c r="E242" s="123"/>
    </row>
    <row r="243" spans="1:5">
      <c r="A243" s="121" t="s">
        <v>1866</v>
      </c>
      <c r="B243" s="121" t="s">
        <v>1571</v>
      </c>
      <c r="C243" s="121" t="s">
        <v>1321</v>
      </c>
      <c r="D243" s="121"/>
      <c r="E243" s="123"/>
    </row>
    <row r="244" spans="1:5">
      <c r="A244" s="121" t="s">
        <v>1868</v>
      </c>
      <c r="B244" s="121" t="s">
        <v>1571</v>
      </c>
      <c r="C244" s="121" t="s">
        <v>1244</v>
      </c>
      <c r="D244" s="121"/>
      <c r="E244" s="123"/>
    </row>
    <row r="245" spans="1:5">
      <c r="A245" s="121" t="s">
        <v>1869</v>
      </c>
      <c r="B245" s="121" t="s">
        <v>1571</v>
      </c>
      <c r="C245" s="121" t="s">
        <v>1320</v>
      </c>
      <c r="D245" s="121"/>
      <c r="E245" s="123"/>
    </row>
    <row r="246" spans="1:5">
      <c r="A246" s="121" t="s">
        <v>1870</v>
      </c>
      <c r="B246" s="121" t="s">
        <v>1871</v>
      </c>
      <c r="C246" s="121" t="s">
        <v>1872</v>
      </c>
      <c r="D246" s="121"/>
      <c r="E246" s="123"/>
    </row>
    <row r="247" spans="1:5">
      <c r="A247" s="121" t="s">
        <v>1873</v>
      </c>
      <c r="B247" s="121" t="s">
        <v>1874</v>
      </c>
      <c r="C247" s="121">
        <v>30</v>
      </c>
      <c r="D247" s="121"/>
      <c r="E247" s="123"/>
    </row>
    <row r="248" spans="1:5">
      <c r="A248" s="121" t="s">
        <v>1875</v>
      </c>
      <c r="B248" s="121" t="s">
        <v>1606</v>
      </c>
      <c r="C248" s="121">
        <v>40</v>
      </c>
      <c r="D248" s="121"/>
      <c r="E248" s="123"/>
    </row>
    <row r="249" spans="1:5">
      <c r="A249" s="121" t="s">
        <v>1876</v>
      </c>
      <c r="B249" s="121" t="s">
        <v>1877</v>
      </c>
      <c r="C249" s="828">
        <v>1005</v>
      </c>
      <c r="D249" s="121"/>
      <c r="E249" s="123"/>
    </row>
    <row r="250" spans="1:5">
      <c r="A250" s="121" t="s">
        <v>1878</v>
      </c>
      <c r="B250" s="121" t="s">
        <v>1879</v>
      </c>
      <c r="C250" s="121" t="s">
        <v>1129</v>
      </c>
      <c r="D250" s="121"/>
      <c r="E250" s="123"/>
    </row>
    <row r="251" spans="1:5">
      <c r="A251" s="121" t="s">
        <v>1880</v>
      </c>
      <c r="B251" s="121" t="s">
        <v>1881</v>
      </c>
      <c r="C251" s="121">
        <v>40</v>
      </c>
      <c r="D251" s="121"/>
      <c r="E251" s="123"/>
    </row>
    <row r="252" spans="1:5">
      <c r="A252" s="121" t="s">
        <v>1883</v>
      </c>
      <c r="B252" s="121" t="s">
        <v>1884</v>
      </c>
      <c r="C252" s="121" t="s">
        <v>1122</v>
      </c>
      <c r="D252" s="121"/>
      <c r="E252" s="123"/>
    </row>
    <row r="253" spans="1:5">
      <c r="A253" s="121" t="s">
        <v>1885</v>
      </c>
      <c r="B253" s="121" t="s">
        <v>1857</v>
      </c>
      <c r="C253" s="121" t="s">
        <v>1129</v>
      </c>
      <c r="D253" s="121"/>
      <c r="E253" s="123"/>
    </row>
    <row r="254" spans="1:5">
      <c r="A254" s="121" t="s">
        <v>1886</v>
      </c>
      <c r="B254" s="121" t="s">
        <v>1887</v>
      </c>
      <c r="C254" s="121" t="s">
        <v>1273</v>
      </c>
      <c r="D254" s="121"/>
      <c r="E254" s="123"/>
    </row>
    <row r="255" spans="1:5">
      <c r="A255" s="121" t="s">
        <v>1889</v>
      </c>
      <c r="B255" s="121" t="s">
        <v>1888</v>
      </c>
      <c r="C255" s="121" t="s">
        <v>1469</v>
      </c>
      <c r="D255" s="121"/>
      <c r="E255" s="123"/>
    </row>
    <row r="256" spans="1:5">
      <c r="A256" s="121" t="s">
        <v>1890</v>
      </c>
      <c r="B256" s="121" t="s">
        <v>1888</v>
      </c>
      <c r="C256" s="121" t="s">
        <v>1469</v>
      </c>
      <c r="D256" s="121"/>
      <c r="E256" s="123"/>
    </row>
    <row r="257" spans="1:5">
      <c r="A257" s="121" t="s">
        <v>1892</v>
      </c>
      <c r="B257" s="121" t="s">
        <v>1893</v>
      </c>
      <c r="C257" s="121" t="s">
        <v>1251</v>
      </c>
      <c r="D257" s="121"/>
      <c r="E257" s="123"/>
    </row>
    <row r="258" spans="1:5">
      <c r="A258" s="121" t="s">
        <v>1894</v>
      </c>
      <c r="B258" s="121" t="s">
        <v>1895</v>
      </c>
      <c r="C258" s="121" t="s">
        <v>1793</v>
      </c>
      <c r="D258" s="121"/>
      <c r="E258" s="123"/>
    </row>
    <row r="259" spans="1:5">
      <c r="A259" s="121" t="s">
        <v>1896</v>
      </c>
      <c r="B259" s="121" t="s">
        <v>1264</v>
      </c>
      <c r="C259" s="121" t="s">
        <v>1119</v>
      </c>
      <c r="D259" s="121"/>
      <c r="E259" s="123"/>
    </row>
    <row r="260" spans="1:5">
      <c r="A260" s="121" t="s">
        <v>1897</v>
      </c>
      <c r="B260" s="121" t="s">
        <v>1888</v>
      </c>
      <c r="C260" s="121" t="s">
        <v>1254</v>
      </c>
      <c r="D260" s="121"/>
      <c r="E260" s="123"/>
    </row>
    <row r="261" spans="1:5">
      <c r="A261" s="121" t="s">
        <v>1898</v>
      </c>
      <c r="B261" s="121" t="s">
        <v>1888</v>
      </c>
      <c r="C261" s="121" t="s">
        <v>1353</v>
      </c>
      <c r="D261" s="121"/>
      <c r="E261" s="123"/>
    </row>
    <row r="262" spans="1:5">
      <c r="A262" s="121" t="s">
        <v>1899</v>
      </c>
      <c r="B262" s="121" t="s">
        <v>1891</v>
      </c>
      <c r="C262" s="121" t="s">
        <v>1320</v>
      </c>
      <c r="D262" s="121"/>
      <c r="E262" s="123"/>
    </row>
    <row r="263" spans="1:5">
      <c r="A263" s="121" t="s">
        <v>1900</v>
      </c>
      <c r="B263" s="121" t="s">
        <v>1895</v>
      </c>
      <c r="C263" s="121" t="s">
        <v>1396</v>
      </c>
      <c r="D263" s="121"/>
      <c r="E263" s="123"/>
    </row>
    <row r="264" spans="1:5">
      <c r="A264" s="121" t="s">
        <v>1901</v>
      </c>
      <c r="B264" s="121" t="s">
        <v>1902</v>
      </c>
      <c r="C264" s="121" t="s">
        <v>1273</v>
      </c>
      <c r="D264" s="121"/>
      <c r="E264" s="123"/>
    </row>
    <row r="265" spans="1:5">
      <c r="A265" s="121" t="s">
        <v>1903</v>
      </c>
      <c r="B265" s="121" t="s">
        <v>1446</v>
      </c>
      <c r="C265" s="121" t="s">
        <v>1263</v>
      </c>
      <c r="D265" s="121"/>
      <c r="E265" s="123"/>
    </row>
    <row r="266" spans="1:5">
      <c r="A266" s="121" t="s">
        <v>1904</v>
      </c>
      <c r="B266" s="121" t="s">
        <v>1905</v>
      </c>
      <c r="C266" s="121" t="s">
        <v>1224</v>
      </c>
      <c r="D266" s="121"/>
      <c r="E266" s="123"/>
    </row>
    <row r="267" spans="1:5">
      <c r="A267" s="121" t="s">
        <v>1907</v>
      </c>
      <c r="B267" s="121" t="s">
        <v>1908</v>
      </c>
      <c r="C267" s="121" t="s">
        <v>1174</v>
      </c>
      <c r="D267" s="121"/>
      <c r="E267" s="123"/>
    </row>
    <row r="268" spans="1:5">
      <c r="A268" s="121" t="s">
        <v>1909</v>
      </c>
      <c r="B268" s="121" t="s">
        <v>1910</v>
      </c>
      <c r="C268" s="121" t="s">
        <v>1236</v>
      </c>
      <c r="D268" s="121"/>
      <c r="E268" s="123"/>
    </row>
    <row r="269" spans="1:5">
      <c r="A269" s="121" t="s">
        <v>1911</v>
      </c>
      <c r="B269" s="121" t="s">
        <v>1912</v>
      </c>
      <c r="C269" s="121" t="s">
        <v>1230</v>
      </c>
      <c r="D269" s="121"/>
      <c r="E269" s="123"/>
    </row>
    <row r="270" spans="1:5">
      <c r="A270" s="121" t="s">
        <v>1913</v>
      </c>
      <c r="B270" s="121" t="s">
        <v>1914</v>
      </c>
      <c r="C270" s="121" t="s">
        <v>1681</v>
      </c>
      <c r="D270" s="121"/>
      <c r="E270" s="123"/>
    </row>
    <row r="271" spans="1:5">
      <c r="A271" s="121" t="s">
        <v>1917</v>
      </c>
      <c r="B271" s="121" t="s">
        <v>1918</v>
      </c>
      <c r="C271" s="828">
        <v>1025</v>
      </c>
      <c r="D271" s="121"/>
      <c r="E271" s="123"/>
    </row>
    <row r="272" spans="1:5">
      <c r="A272" s="121" t="s">
        <v>1919</v>
      </c>
      <c r="B272" s="121" t="s">
        <v>1920</v>
      </c>
      <c r="C272" s="121" t="s">
        <v>1273</v>
      </c>
      <c r="D272" s="121"/>
      <c r="E272" s="123"/>
    </row>
    <row r="273" spans="1:5">
      <c r="A273" s="121" t="s">
        <v>1921</v>
      </c>
      <c r="B273" s="121" t="s">
        <v>1888</v>
      </c>
      <c r="C273" s="121" t="s">
        <v>1160</v>
      </c>
      <c r="D273" s="121"/>
      <c r="E273" s="123"/>
    </row>
    <row r="274" spans="1:5">
      <c r="A274" s="121" t="s">
        <v>1925</v>
      </c>
      <c r="B274" s="121" t="s">
        <v>1926</v>
      </c>
      <c r="C274" s="121" t="s">
        <v>1128</v>
      </c>
      <c r="D274" s="121"/>
      <c r="E274" s="123"/>
    </row>
    <row r="275" spans="1:5">
      <c r="A275" s="121" t="s">
        <v>1927</v>
      </c>
      <c r="B275" s="121" t="s">
        <v>1928</v>
      </c>
      <c r="C275" s="121" t="s">
        <v>1487</v>
      </c>
      <c r="D275" s="121"/>
      <c r="E275" s="123"/>
    </row>
    <row r="276" spans="1:5">
      <c r="A276" s="121" t="s">
        <v>1929</v>
      </c>
      <c r="B276" s="121" t="s">
        <v>1930</v>
      </c>
      <c r="C276" s="121" t="s">
        <v>1192</v>
      </c>
      <c r="D276" s="121"/>
      <c r="E276" s="123"/>
    </row>
    <row r="277" spans="1:5">
      <c r="A277" s="121" t="s">
        <v>1931</v>
      </c>
      <c r="B277" s="121" t="s">
        <v>1461</v>
      </c>
      <c r="C277" s="121" t="s">
        <v>1537</v>
      </c>
      <c r="D277" s="121"/>
      <c r="E277" s="123"/>
    </row>
    <row r="278" spans="1:5">
      <c r="A278" s="121" t="s">
        <v>1932</v>
      </c>
      <c r="B278" s="121" t="s">
        <v>1446</v>
      </c>
      <c r="C278" s="121">
        <v>131</v>
      </c>
      <c r="D278" s="121"/>
      <c r="E278" s="123"/>
    </row>
    <row r="279" spans="1:5">
      <c r="A279" s="121" t="s">
        <v>1933</v>
      </c>
      <c r="B279" s="121" t="s">
        <v>1131</v>
      </c>
      <c r="C279" s="121" t="s">
        <v>1150</v>
      </c>
      <c r="D279" s="121"/>
      <c r="E279" s="123"/>
    </row>
    <row r="280" spans="1:5">
      <c r="A280" s="121" t="s">
        <v>1934</v>
      </c>
      <c r="B280" s="121" t="s">
        <v>1935</v>
      </c>
      <c r="C280" s="121" t="s">
        <v>1153</v>
      </c>
      <c r="D280" s="121"/>
      <c r="E280" s="123"/>
    </row>
    <row r="281" spans="1:5">
      <c r="A281" s="121" t="s">
        <v>1936</v>
      </c>
      <c r="B281" s="121" t="s">
        <v>1937</v>
      </c>
      <c r="C281" s="121" t="s">
        <v>1172</v>
      </c>
      <c r="D281" s="121"/>
      <c r="E281" s="123"/>
    </row>
    <row r="282" spans="1:5">
      <c r="A282" s="121" t="s">
        <v>1939</v>
      </c>
      <c r="B282" s="121" t="s">
        <v>1940</v>
      </c>
      <c r="C282" s="121" t="s">
        <v>1941</v>
      </c>
      <c r="D282" s="121"/>
      <c r="E282" s="123"/>
    </row>
    <row r="283" spans="1:5">
      <c r="A283" s="121" t="s">
        <v>1942</v>
      </c>
      <c r="B283" s="121" t="s">
        <v>1416</v>
      </c>
      <c r="C283" s="121" t="s">
        <v>1423</v>
      </c>
      <c r="D283" s="121"/>
      <c r="E283" s="123"/>
    </row>
    <row r="284" spans="1:5">
      <c r="A284" s="121" t="s">
        <v>1943</v>
      </c>
      <c r="B284" s="121" t="s">
        <v>1944</v>
      </c>
      <c r="C284" s="121" t="s">
        <v>1182</v>
      </c>
      <c r="D284" s="121"/>
      <c r="E284" s="123"/>
    </row>
    <row r="285" spans="1:5">
      <c r="A285" s="121" t="s">
        <v>1945</v>
      </c>
      <c r="B285" s="121" t="s">
        <v>1946</v>
      </c>
      <c r="C285" s="121">
        <v>105</v>
      </c>
      <c r="D285" s="121"/>
      <c r="E285" s="123"/>
    </row>
    <row r="286" spans="1:5">
      <c r="A286" s="121" t="s">
        <v>1948</v>
      </c>
      <c r="B286" s="121" t="s">
        <v>1517</v>
      </c>
      <c r="C286" s="121">
        <v>9</v>
      </c>
      <c r="D286" s="121"/>
      <c r="E286" s="123" t="s">
        <v>1518</v>
      </c>
    </row>
    <row r="287" spans="1:5">
      <c r="A287" s="121" t="s">
        <v>1949</v>
      </c>
      <c r="B287" s="121" t="s">
        <v>1950</v>
      </c>
      <c r="C287" s="121">
        <v>792</v>
      </c>
      <c r="D287" s="121"/>
      <c r="E287" s="123"/>
    </row>
    <row r="288" spans="1:5">
      <c r="A288" s="121" t="s">
        <v>1951</v>
      </c>
      <c r="B288" s="121" t="s">
        <v>1952</v>
      </c>
      <c r="C288" s="121" t="s">
        <v>1953</v>
      </c>
      <c r="D288" s="121"/>
      <c r="E288" s="123"/>
    </row>
    <row r="289" spans="1:5">
      <c r="A289" s="121" t="s">
        <v>1955</v>
      </c>
      <c r="B289" s="121" t="s">
        <v>1161</v>
      </c>
      <c r="C289" s="121">
        <v>5</v>
      </c>
      <c r="D289" s="121"/>
      <c r="E289" s="123"/>
    </row>
    <row r="290" spans="1:5">
      <c r="A290" s="121" t="s">
        <v>1957</v>
      </c>
      <c r="B290" s="121" t="s">
        <v>1958</v>
      </c>
      <c r="C290" s="121">
        <v>1</v>
      </c>
      <c r="D290" s="121"/>
      <c r="E290" s="123"/>
    </row>
    <row r="291" spans="1:5">
      <c r="A291" s="121" t="s">
        <v>1959</v>
      </c>
      <c r="B291" s="121" t="s">
        <v>1571</v>
      </c>
      <c r="C291" s="121" t="s">
        <v>1204</v>
      </c>
      <c r="D291" s="121"/>
      <c r="E291" s="123"/>
    </row>
    <row r="292" spans="1:5">
      <c r="A292" s="121" t="s">
        <v>1960</v>
      </c>
      <c r="B292" s="121" t="s">
        <v>1961</v>
      </c>
      <c r="C292" s="121" t="s">
        <v>1232</v>
      </c>
      <c r="D292" s="121"/>
      <c r="E292" s="123"/>
    </row>
    <row r="293" spans="1:5">
      <c r="A293" s="121" t="s">
        <v>1962</v>
      </c>
      <c r="B293" s="121" t="s">
        <v>1293</v>
      </c>
      <c r="C293" s="121" t="s">
        <v>1285</v>
      </c>
      <c r="D293" s="121"/>
      <c r="E293" s="123"/>
    </row>
    <row r="294" spans="1:5">
      <c r="A294" s="121" t="s">
        <v>1964</v>
      </c>
      <c r="B294" s="121" t="s">
        <v>1571</v>
      </c>
      <c r="C294" s="121" t="s">
        <v>1235</v>
      </c>
      <c r="D294" s="121"/>
      <c r="E294" s="123"/>
    </row>
    <row r="295" spans="1:5">
      <c r="A295" s="121" t="s">
        <v>1965</v>
      </c>
      <c r="B295" s="121" t="s">
        <v>1571</v>
      </c>
      <c r="C295" s="828">
        <v>4478</v>
      </c>
      <c r="D295" s="121"/>
      <c r="E295" s="123"/>
    </row>
    <row r="296" spans="1:5">
      <c r="A296" s="121" t="s">
        <v>1969</v>
      </c>
      <c r="B296" s="121" t="s">
        <v>1154</v>
      </c>
      <c r="C296" s="121" t="s">
        <v>1495</v>
      </c>
      <c r="D296" s="121"/>
      <c r="E296" s="123" t="s">
        <v>1155</v>
      </c>
    </row>
    <row r="297" spans="1:5">
      <c r="A297" s="121" t="s">
        <v>1970</v>
      </c>
      <c r="B297" s="121" t="s">
        <v>1971</v>
      </c>
      <c r="C297" s="121" t="s">
        <v>1160</v>
      </c>
      <c r="D297" s="121"/>
      <c r="E297" s="123"/>
    </row>
    <row r="298" spans="1:5">
      <c r="A298" s="121" t="s">
        <v>1973</v>
      </c>
      <c r="B298" s="121" t="s">
        <v>1395</v>
      </c>
      <c r="C298" s="121" t="s">
        <v>1204</v>
      </c>
      <c r="D298" s="121"/>
      <c r="E298" s="123"/>
    </row>
    <row r="299" spans="1:5">
      <c r="A299" s="121" t="s">
        <v>1974</v>
      </c>
      <c r="B299" s="121" t="s">
        <v>1131</v>
      </c>
      <c r="C299" s="121" t="s">
        <v>1125</v>
      </c>
      <c r="D299" s="121"/>
      <c r="E299" s="123" t="s">
        <v>1132</v>
      </c>
    </row>
    <row r="300" spans="1:5">
      <c r="A300" s="121" t="s">
        <v>1975</v>
      </c>
      <c r="B300" s="121" t="s">
        <v>1131</v>
      </c>
      <c r="C300" s="121" t="s">
        <v>1207</v>
      </c>
      <c r="D300" s="121"/>
      <c r="E300" s="123" t="s">
        <v>1132</v>
      </c>
    </row>
    <row r="301" spans="1:5">
      <c r="A301" s="121" t="s">
        <v>1977</v>
      </c>
      <c r="B301" s="121" t="s">
        <v>1446</v>
      </c>
      <c r="C301" s="121" t="s">
        <v>1978</v>
      </c>
      <c r="D301" s="121"/>
      <c r="E301" s="123"/>
    </row>
    <row r="302" spans="1:5">
      <c r="A302" s="121" t="s">
        <v>1980</v>
      </c>
      <c r="B302" s="121" t="s">
        <v>1981</v>
      </c>
      <c r="C302" s="121" t="s">
        <v>1317</v>
      </c>
      <c r="D302" s="121"/>
      <c r="E302" s="123"/>
    </row>
    <row r="303" spans="1:5">
      <c r="A303" s="121" t="s">
        <v>1983</v>
      </c>
      <c r="B303" s="121" t="s">
        <v>1984</v>
      </c>
      <c r="C303" s="121" t="s">
        <v>1531</v>
      </c>
      <c r="D303" s="121"/>
      <c r="E303" s="123"/>
    </row>
    <row r="304" spans="1:5">
      <c r="A304" s="121" t="s">
        <v>1991</v>
      </c>
      <c r="B304" s="121" t="s">
        <v>1131</v>
      </c>
      <c r="C304" s="121" t="s">
        <v>1194</v>
      </c>
      <c r="D304" s="121"/>
      <c r="E304" s="123" t="s">
        <v>1132</v>
      </c>
    </row>
    <row r="305" spans="1:5">
      <c r="A305" s="121" t="s">
        <v>1992</v>
      </c>
      <c r="B305" s="121" t="s">
        <v>1131</v>
      </c>
      <c r="C305" s="121" t="s">
        <v>1126</v>
      </c>
      <c r="D305" s="121"/>
      <c r="E305" s="123" t="s">
        <v>1132</v>
      </c>
    </row>
    <row r="306" spans="1:5">
      <c r="A306" s="121" t="s">
        <v>1993</v>
      </c>
      <c r="B306" s="121" t="s">
        <v>1131</v>
      </c>
      <c r="C306" s="121" t="s">
        <v>1146</v>
      </c>
      <c r="D306" s="121"/>
      <c r="E306" s="123" t="s">
        <v>1132</v>
      </c>
    </row>
    <row r="307" spans="1:5">
      <c r="A307" s="121" t="s">
        <v>1994</v>
      </c>
      <c r="B307" s="121" t="s">
        <v>1131</v>
      </c>
      <c r="C307" s="121" t="s">
        <v>1118</v>
      </c>
      <c r="D307" s="121"/>
      <c r="E307" s="123" t="s">
        <v>1132</v>
      </c>
    </row>
    <row r="308" spans="1:5">
      <c r="A308" s="121" t="s">
        <v>1995</v>
      </c>
      <c r="B308" s="121" t="s">
        <v>1108</v>
      </c>
      <c r="C308" s="121" t="s">
        <v>1124</v>
      </c>
      <c r="D308" s="121"/>
      <c r="E308" s="123"/>
    </row>
    <row r="309" spans="1:5">
      <c r="A309" s="121" t="s">
        <v>1996</v>
      </c>
      <c r="B309" s="121" t="s">
        <v>1108</v>
      </c>
      <c r="C309" s="121" t="s">
        <v>1997</v>
      </c>
      <c r="D309" s="121"/>
      <c r="E309" s="123"/>
    </row>
    <row r="310" spans="1:5">
      <c r="A310" s="121" t="s">
        <v>1998</v>
      </c>
      <c r="B310" s="121" t="s">
        <v>1857</v>
      </c>
      <c r="C310" s="121">
        <v>200</v>
      </c>
      <c r="D310" s="121"/>
      <c r="E310" s="123"/>
    </row>
    <row r="311" spans="1:5">
      <c r="A311" s="121" t="s">
        <v>1999</v>
      </c>
      <c r="B311" s="121" t="s">
        <v>1131</v>
      </c>
      <c r="C311" s="121" t="s">
        <v>1120</v>
      </c>
      <c r="D311" s="121"/>
      <c r="E311" s="123"/>
    </row>
    <row r="312" spans="1:5">
      <c r="A312" s="121" t="s">
        <v>2002</v>
      </c>
      <c r="B312" s="121" t="s">
        <v>2003</v>
      </c>
      <c r="C312" s="121">
        <v>1</v>
      </c>
      <c r="D312" s="121"/>
      <c r="E312" s="123"/>
    </row>
    <row r="313" spans="1:5">
      <c r="A313" s="121" t="s">
        <v>2004</v>
      </c>
      <c r="B313" s="121" t="s">
        <v>2000</v>
      </c>
      <c r="C313" s="121" t="s">
        <v>1396</v>
      </c>
      <c r="D313" s="121"/>
      <c r="E313" s="123"/>
    </row>
    <row r="314" spans="1:5">
      <c r="A314" s="121" t="s">
        <v>2005</v>
      </c>
      <c r="B314" s="121" t="s">
        <v>2006</v>
      </c>
      <c r="C314" s="121" t="s">
        <v>1195</v>
      </c>
      <c r="D314" s="121"/>
      <c r="E314" s="123"/>
    </row>
    <row r="315" spans="1:5">
      <c r="A315" s="121" t="s">
        <v>2007</v>
      </c>
      <c r="B315" s="121" t="s">
        <v>2008</v>
      </c>
      <c r="C315" s="121" t="s">
        <v>1195</v>
      </c>
      <c r="D315" s="121"/>
      <c r="E315" s="123"/>
    </row>
    <row r="316" spans="1:5">
      <c r="A316" s="121" t="s">
        <v>2009</v>
      </c>
      <c r="B316" s="121" t="s">
        <v>2010</v>
      </c>
      <c r="C316" s="121">
        <v>1</v>
      </c>
      <c r="D316" s="121"/>
      <c r="E316" s="123"/>
    </row>
    <row r="317" spans="1:5">
      <c r="A317" s="121" t="s">
        <v>2011</v>
      </c>
      <c r="B317" s="121" t="s">
        <v>2012</v>
      </c>
      <c r="C317" s="121">
        <v>1</v>
      </c>
      <c r="D317" s="121"/>
      <c r="E317" s="123"/>
    </row>
    <row r="318" spans="1:5">
      <c r="A318" s="121" t="s">
        <v>2013</v>
      </c>
      <c r="B318" s="121" t="s">
        <v>2014</v>
      </c>
      <c r="C318" s="121">
        <v>1</v>
      </c>
      <c r="D318" s="121"/>
      <c r="E318" s="123"/>
    </row>
    <row r="319" spans="1:5">
      <c r="A319" s="121" t="s">
        <v>2015</v>
      </c>
      <c r="B319" s="121" t="s">
        <v>2016</v>
      </c>
      <c r="C319" s="121">
        <v>1</v>
      </c>
      <c r="D319" s="121"/>
      <c r="E319" s="123"/>
    </row>
    <row r="320" spans="1:5">
      <c r="A320" s="121" t="s">
        <v>2018</v>
      </c>
      <c r="B320" s="121" t="s">
        <v>2019</v>
      </c>
      <c r="C320" s="121" t="s">
        <v>2020</v>
      </c>
      <c r="D320" s="121" t="s">
        <v>2021</v>
      </c>
      <c r="E320" s="123"/>
    </row>
    <row r="321" spans="1:5">
      <c r="A321" s="121" t="s">
        <v>2023</v>
      </c>
      <c r="B321" s="121" t="s">
        <v>2024</v>
      </c>
      <c r="C321" s="121">
        <v>1</v>
      </c>
      <c r="D321" s="121"/>
      <c r="E321" s="123"/>
    </row>
    <row r="322" spans="1:5">
      <c r="A322" s="121" t="s">
        <v>2030</v>
      </c>
      <c r="B322" s="121" t="s">
        <v>2031</v>
      </c>
      <c r="C322" s="121">
        <v>103</v>
      </c>
      <c r="D322" s="121"/>
      <c r="E322" s="123"/>
    </row>
    <row r="323" spans="1:5">
      <c r="A323" s="121" t="s">
        <v>2032</v>
      </c>
      <c r="B323" s="121" t="s">
        <v>2033</v>
      </c>
      <c r="C323" s="121" t="s">
        <v>2029</v>
      </c>
      <c r="D323" s="121" t="s">
        <v>2021</v>
      </c>
      <c r="E323" s="123"/>
    </row>
    <row r="324" spans="1:5">
      <c r="A324" s="121" t="s">
        <v>2036</v>
      </c>
      <c r="B324" s="121" t="s">
        <v>1147</v>
      </c>
      <c r="C324" s="121" t="s">
        <v>1274</v>
      </c>
      <c r="D324" s="121"/>
      <c r="E324" s="123"/>
    </row>
    <row r="325" spans="1:5">
      <c r="A325" s="121" t="s">
        <v>2037</v>
      </c>
      <c r="B325" s="121" t="s">
        <v>2038</v>
      </c>
      <c r="C325" s="121" t="s">
        <v>2039</v>
      </c>
      <c r="D325" s="121" t="s">
        <v>2021</v>
      </c>
      <c r="E325" s="123"/>
    </row>
    <row r="326" spans="1:5">
      <c r="A326" s="121" t="s">
        <v>2041</v>
      </c>
      <c r="B326" s="121" t="s">
        <v>2038</v>
      </c>
      <c r="C326" s="121" t="s">
        <v>2029</v>
      </c>
      <c r="D326" s="121" t="s">
        <v>2021</v>
      </c>
      <c r="E326" s="123"/>
    </row>
    <row r="327" spans="1:5">
      <c r="A327" s="121" t="s">
        <v>2045</v>
      </c>
      <c r="B327" s="121" t="s">
        <v>2040</v>
      </c>
      <c r="C327" s="121" t="s">
        <v>1124</v>
      </c>
      <c r="D327" s="121"/>
      <c r="E327" s="123"/>
    </row>
    <row r="328" spans="1:5">
      <c r="A328" s="121" t="s">
        <v>2048</v>
      </c>
      <c r="B328" s="121" t="s">
        <v>2049</v>
      </c>
      <c r="C328" s="121" t="s">
        <v>1189</v>
      </c>
      <c r="D328" s="121"/>
      <c r="E328" s="123"/>
    </row>
    <row r="329" spans="1:5">
      <c r="A329" s="121" t="s">
        <v>2050</v>
      </c>
      <c r="B329" s="121" t="s">
        <v>2051</v>
      </c>
      <c r="C329" s="121">
        <v>101</v>
      </c>
      <c r="D329" s="121" t="s">
        <v>2021</v>
      </c>
      <c r="E329" s="123"/>
    </row>
    <row r="330" spans="1:5">
      <c r="A330" s="121" t="s">
        <v>2054</v>
      </c>
      <c r="B330" s="121" t="s">
        <v>2055</v>
      </c>
      <c r="C330" s="121" t="s">
        <v>2056</v>
      </c>
      <c r="D330" s="121"/>
      <c r="E330" s="123"/>
    </row>
    <row r="331" spans="1:5">
      <c r="A331" s="121" t="s">
        <v>2057</v>
      </c>
      <c r="B331" s="121" t="s">
        <v>2058</v>
      </c>
      <c r="C331" s="121" t="s">
        <v>1188</v>
      </c>
      <c r="D331" s="121"/>
      <c r="E331" s="123"/>
    </row>
    <row r="332" spans="1:5">
      <c r="A332" s="121" t="s">
        <v>2060</v>
      </c>
      <c r="B332" s="121" t="s">
        <v>2001</v>
      </c>
      <c r="C332" s="121" t="s">
        <v>1134</v>
      </c>
      <c r="D332" s="121" t="s">
        <v>2021</v>
      </c>
      <c r="E332" s="123"/>
    </row>
    <row r="333" spans="1:5">
      <c r="A333" s="121" t="s">
        <v>2061</v>
      </c>
      <c r="B333" s="121" t="s">
        <v>2062</v>
      </c>
      <c r="C333" s="121">
        <v>1</v>
      </c>
      <c r="D333" s="121" t="s">
        <v>2021</v>
      </c>
      <c r="E333" s="123"/>
    </row>
    <row r="334" spans="1:5">
      <c r="A334" s="121" t="s">
        <v>2064</v>
      </c>
      <c r="B334" s="121" t="s">
        <v>2065</v>
      </c>
      <c r="C334" s="121">
        <v>1</v>
      </c>
      <c r="D334" s="121" t="s">
        <v>2021</v>
      </c>
      <c r="E334" s="123"/>
    </row>
    <row r="335" spans="1:5">
      <c r="A335" s="121" t="s">
        <v>2067</v>
      </c>
      <c r="B335" s="121" t="s">
        <v>2068</v>
      </c>
      <c r="C335" s="121">
        <v>1</v>
      </c>
      <c r="D335" s="121" t="s">
        <v>2021</v>
      </c>
      <c r="E335" s="123"/>
    </row>
    <row r="336" spans="1:5">
      <c r="A336" s="121" t="s">
        <v>2069</v>
      </c>
      <c r="B336" s="121" t="s">
        <v>2070</v>
      </c>
      <c r="C336" s="121">
        <v>1</v>
      </c>
      <c r="D336" s="121"/>
      <c r="E336" s="123"/>
    </row>
    <row r="337" spans="1:5">
      <c r="A337" s="121" t="s">
        <v>2072</v>
      </c>
      <c r="B337" s="121" t="s">
        <v>2028</v>
      </c>
      <c r="C337" s="121" t="s">
        <v>1360</v>
      </c>
      <c r="D337" s="121" t="s">
        <v>2022</v>
      </c>
      <c r="E337" s="123"/>
    </row>
    <row r="338" spans="1:5">
      <c r="A338" s="121" t="s">
        <v>2073</v>
      </c>
      <c r="B338" s="121" t="s">
        <v>2074</v>
      </c>
      <c r="C338" s="121">
        <v>1</v>
      </c>
      <c r="D338" s="121" t="s">
        <v>2021</v>
      </c>
      <c r="E338" s="123"/>
    </row>
    <row r="339" spans="1:5">
      <c r="A339" s="121" t="s">
        <v>2076</v>
      </c>
      <c r="B339" s="121" t="s">
        <v>2077</v>
      </c>
      <c r="C339" s="121">
        <v>1</v>
      </c>
      <c r="D339" s="121" t="s">
        <v>2021</v>
      </c>
      <c r="E339" s="123"/>
    </row>
    <row r="340" spans="1:5">
      <c r="A340" s="121" t="s">
        <v>2078</v>
      </c>
      <c r="B340" s="121" t="s">
        <v>2079</v>
      </c>
      <c r="C340" s="121">
        <v>1</v>
      </c>
      <c r="D340" s="121" t="s">
        <v>2021</v>
      </c>
      <c r="E340" s="123"/>
    </row>
    <row r="341" spans="1:5">
      <c r="A341" s="121" t="s">
        <v>2080</v>
      </c>
      <c r="B341" s="121" t="s">
        <v>2049</v>
      </c>
      <c r="C341" s="121" t="s">
        <v>1172</v>
      </c>
      <c r="D341" s="121"/>
      <c r="E341" s="123"/>
    </row>
    <row r="342" spans="1:5">
      <c r="A342" s="121" t="s">
        <v>2082</v>
      </c>
      <c r="B342" s="121" t="s">
        <v>1154</v>
      </c>
      <c r="C342" s="121" t="s">
        <v>1196</v>
      </c>
      <c r="D342" s="121"/>
      <c r="E342" s="123"/>
    </row>
    <row r="343" spans="1:5">
      <c r="A343" s="121" t="s">
        <v>2084</v>
      </c>
      <c r="B343" s="121" t="s">
        <v>2085</v>
      </c>
      <c r="C343" s="121">
        <v>1</v>
      </c>
      <c r="D343" s="121"/>
      <c r="E343" s="123"/>
    </row>
    <row r="344" spans="1:5">
      <c r="A344" s="121" t="s">
        <v>2089</v>
      </c>
      <c r="B344" s="121" t="s">
        <v>2090</v>
      </c>
      <c r="C344" s="121">
        <v>1</v>
      </c>
      <c r="D344" s="121"/>
      <c r="E344" s="123"/>
    </row>
    <row r="345" spans="1:5">
      <c r="A345" s="121" t="s">
        <v>2091</v>
      </c>
      <c r="B345" s="121" t="s">
        <v>1154</v>
      </c>
      <c r="C345" s="121" t="s">
        <v>1193</v>
      </c>
      <c r="D345" s="121"/>
      <c r="E345" s="123"/>
    </row>
    <row r="346" spans="1:5">
      <c r="A346" s="121" t="s">
        <v>2092</v>
      </c>
      <c r="B346" s="121" t="s">
        <v>2093</v>
      </c>
      <c r="C346" s="121">
        <v>8</v>
      </c>
      <c r="D346" s="121"/>
      <c r="E346" s="123"/>
    </row>
    <row r="347" spans="1:5">
      <c r="A347" s="121" t="s">
        <v>2094</v>
      </c>
      <c r="B347" s="121" t="s">
        <v>2095</v>
      </c>
      <c r="C347" s="121">
        <v>1</v>
      </c>
      <c r="D347" s="121"/>
      <c r="E347" s="123"/>
    </row>
    <row r="348" spans="1:5">
      <c r="A348" s="121" t="s">
        <v>2096</v>
      </c>
      <c r="B348" s="121" t="s">
        <v>2097</v>
      </c>
      <c r="C348" s="121">
        <v>1</v>
      </c>
      <c r="D348" s="121"/>
      <c r="E348" s="123"/>
    </row>
    <row r="349" spans="1:5">
      <c r="A349" s="121" t="s">
        <v>2100</v>
      </c>
      <c r="B349" s="121" t="s">
        <v>2101</v>
      </c>
      <c r="C349" s="121" t="s">
        <v>1134</v>
      </c>
      <c r="D349" s="121"/>
      <c r="E349" s="123"/>
    </row>
    <row r="350" spans="1:5">
      <c r="A350" s="121" t="s">
        <v>2103</v>
      </c>
      <c r="B350" s="121" t="s">
        <v>2104</v>
      </c>
      <c r="C350" s="121" t="s">
        <v>1135</v>
      </c>
      <c r="D350" s="121"/>
      <c r="E350" s="123"/>
    </row>
    <row r="351" spans="1:5">
      <c r="A351" s="121" t="s">
        <v>2107</v>
      </c>
      <c r="B351" s="121" t="s">
        <v>2108</v>
      </c>
      <c r="C351" s="121">
        <v>1</v>
      </c>
      <c r="D351" s="121"/>
      <c r="E351" s="123"/>
    </row>
    <row r="352" spans="1:5">
      <c r="A352" s="121" t="s">
        <v>2109</v>
      </c>
      <c r="B352" s="121" t="s">
        <v>2110</v>
      </c>
      <c r="C352" s="121">
        <v>1</v>
      </c>
      <c r="D352" s="121"/>
      <c r="E352" s="123"/>
    </row>
    <row r="353" spans="1:5">
      <c r="A353" s="121" t="s">
        <v>2112</v>
      </c>
      <c r="B353" s="121" t="s">
        <v>2113</v>
      </c>
      <c r="C353" s="121">
        <v>1</v>
      </c>
      <c r="D353" s="121"/>
      <c r="E353" s="123"/>
    </row>
    <row r="354" spans="1:5">
      <c r="A354" s="121" t="s">
        <v>2114</v>
      </c>
      <c r="B354" s="121" t="s">
        <v>2115</v>
      </c>
      <c r="C354" s="121" t="s">
        <v>1128</v>
      </c>
      <c r="D354" s="121"/>
      <c r="E354" s="123"/>
    </row>
    <row r="355" spans="1:5">
      <c r="A355" s="121" t="s">
        <v>2116</v>
      </c>
      <c r="B355" s="121" t="s">
        <v>2117</v>
      </c>
      <c r="C355" s="121" t="s">
        <v>2029</v>
      </c>
      <c r="D355" s="121"/>
      <c r="E355" s="123"/>
    </row>
    <row r="356" spans="1:5">
      <c r="A356" s="121" t="s">
        <v>2118</v>
      </c>
      <c r="B356" s="121" t="s">
        <v>2119</v>
      </c>
      <c r="C356" s="121" t="s">
        <v>1181</v>
      </c>
      <c r="D356" s="121"/>
      <c r="E356" s="123"/>
    </row>
    <row r="357" spans="1:5">
      <c r="A357" s="121" t="s">
        <v>2121</v>
      </c>
      <c r="B357" s="121" t="s">
        <v>1147</v>
      </c>
      <c r="C357" s="121" t="s">
        <v>1312</v>
      </c>
      <c r="D357" s="121"/>
      <c r="E357" s="123"/>
    </row>
    <row r="358" spans="1:5">
      <c r="A358" s="121" t="s">
        <v>2125</v>
      </c>
      <c r="B358" s="121" t="s">
        <v>2126</v>
      </c>
      <c r="C358" s="121" t="s">
        <v>1172</v>
      </c>
      <c r="D358" s="121"/>
      <c r="E358" s="123"/>
    </row>
    <row r="359" spans="1:5">
      <c r="A359" s="121" t="s">
        <v>2127</v>
      </c>
      <c r="B359" s="121" t="s">
        <v>2128</v>
      </c>
      <c r="C359" s="121" t="s">
        <v>1350</v>
      </c>
      <c r="D359" s="121"/>
      <c r="E359" s="123"/>
    </row>
    <row r="360" spans="1:5">
      <c r="A360" s="121" t="s">
        <v>2132</v>
      </c>
      <c r="B360" s="121" t="s">
        <v>2123</v>
      </c>
      <c r="C360" s="121" t="s">
        <v>1237</v>
      </c>
      <c r="D360" s="121"/>
      <c r="E360" s="123"/>
    </row>
    <row r="361" spans="1:5">
      <c r="A361" s="121" t="s">
        <v>2133</v>
      </c>
      <c r="B361" s="121" t="s">
        <v>2001</v>
      </c>
      <c r="C361" s="121">
        <v>5</v>
      </c>
      <c r="D361" s="121"/>
      <c r="E361" s="123"/>
    </row>
    <row r="362" spans="1:5">
      <c r="A362" s="121" t="s">
        <v>2136</v>
      </c>
      <c r="B362" s="121" t="s">
        <v>2135</v>
      </c>
      <c r="C362" s="121" t="s">
        <v>1469</v>
      </c>
      <c r="D362" s="121"/>
      <c r="E362" s="123"/>
    </row>
    <row r="363" spans="1:5">
      <c r="A363" s="121" t="s">
        <v>2137</v>
      </c>
      <c r="B363" s="121" t="s">
        <v>2134</v>
      </c>
      <c r="C363" s="121" t="s">
        <v>1189</v>
      </c>
      <c r="D363" s="121"/>
      <c r="E363" s="123"/>
    </row>
    <row r="364" spans="1:5">
      <c r="A364" s="121" t="s">
        <v>2138</v>
      </c>
      <c r="B364" s="121" t="s">
        <v>1491</v>
      </c>
      <c r="C364" s="121" t="s">
        <v>1281</v>
      </c>
      <c r="D364" s="121"/>
      <c r="E364" s="123"/>
    </row>
    <row r="365" spans="1:5">
      <c r="A365" s="121" t="s">
        <v>2139</v>
      </c>
      <c r="B365" s="121" t="s">
        <v>2135</v>
      </c>
      <c r="C365" s="121" t="s">
        <v>1319</v>
      </c>
      <c r="D365" s="121"/>
      <c r="E365" s="123"/>
    </row>
    <row r="366" spans="1:5">
      <c r="A366" s="121" t="s">
        <v>2143</v>
      </c>
      <c r="B366" s="121" t="s">
        <v>2135</v>
      </c>
      <c r="C366" s="121" t="s">
        <v>1295</v>
      </c>
      <c r="D366" s="121"/>
      <c r="E366" s="123"/>
    </row>
    <row r="367" spans="1:5">
      <c r="A367" s="121" t="s">
        <v>2144</v>
      </c>
      <c r="B367" s="121" t="s">
        <v>2135</v>
      </c>
      <c r="C367" s="121" t="s">
        <v>1357</v>
      </c>
      <c r="D367" s="121"/>
      <c r="E367" s="123"/>
    </row>
    <row r="368" spans="1:5">
      <c r="A368" s="121" t="s">
        <v>2145</v>
      </c>
      <c r="B368" s="121" t="s">
        <v>2135</v>
      </c>
      <c r="C368" s="121" t="s">
        <v>1469</v>
      </c>
      <c r="D368" s="121"/>
      <c r="E368" s="123"/>
    </row>
    <row r="369" spans="1:5">
      <c r="A369" s="121" t="s">
        <v>2146</v>
      </c>
      <c r="B369" s="121" t="s">
        <v>2042</v>
      </c>
      <c r="C369" s="121" t="s">
        <v>1320</v>
      </c>
      <c r="D369" s="121"/>
      <c r="E369" s="123"/>
    </row>
    <row r="370" spans="1:5">
      <c r="A370" s="121" t="s">
        <v>2148</v>
      </c>
      <c r="B370" s="121" t="s">
        <v>2028</v>
      </c>
      <c r="C370" s="121" t="s">
        <v>1144</v>
      </c>
      <c r="D370" s="121"/>
      <c r="E370" s="123"/>
    </row>
    <row r="371" spans="1:5">
      <c r="A371" s="121" t="s">
        <v>2149</v>
      </c>
      <c r="B371" s="121" t="s">
        <v>2150</v>
      </c>
      <c r="C371" s="121" t="s">
        <v>1450</v>
      </c>
      <c r="D371" s="121"/>
      <c r="E371" s="123" t="s">
        <v>2151</v>
      </c>
    </row>
    <row r="372" spans="1:5">
      <c r="A372" s="121" t="s">
        <v>2156</v>
      </c>
      <c r="B372" s="121" t="s">
        <v>2157</v>
      </c>
      <c r="C372" s="121" t="s">
        <v>1297</v>
      </c>
      <c r="D372" s="121"/>
      <c r="E372" s="123"/>
    </row>
    <row r="373" spans="1:5">
      <c r="A373" s="121" t="s">
        <v>2166</v>
      </c>
      <c r="B373" s="121" t="s">
        <v>2167</v>
      </c>
      <c r="C373" s="121" t="s">
        <v>1431</v>
      </c>
      <c r="D373" s="121"/>
      <c r="E373" s="123"/>
    </row>
    <row r="374" spans="1:5">
      <c r="A374" s="121" t="s">
        <v>2169</v>
      </c>
      <c r="B374" s="121" t="s">
        <v>2170</v>
      </c>
      <c r="C374" s="121" t="s">
        <v>1136</v>
      </c>
      <c r="D374" s="121"/>
      <c r="E374" s="123"/>
    </row>
    <row r="375" spans="1:5">
      <c r="A375" s="121" t="s">
        <v>2173</v>
      </c>
      <c r="B375" s="121" t="s">
        <v>2174</v>
      </c>
      <c r="C375" s="121" t="s">
        <v>1358</v>
      </c>
      <c r="D375" s="121"/>
      <c r="E375" s="123"/>
    </row>
    <row r="376" spans="1:5">
      <c r="A376" s="121" t="s">
        <v>2175</v>
      </c>
      <c r="B376" s="121" t="s">
        <v>1154</v>
      </c>
      <c r="C376" s="121" t="s">
        <v>1121</v>
      </c>
      <c r="D376" s="121"/>
      <c r="E376" s="123"/>
    </row>
    <row r="377" spans="1:5">
      <c r="A377" s="121" t="s">
        <v>2177</v>
      </c>
      <c r="B377" s="121" t="s">
        <v>2178</v>
      </c>
      <c r="C377" s="121">
        <v>1</v>
      </c>
      <c r="D377" s="121"/>
      <c r="E377" s="123"/>
    </row>
    <row r="378" spans="1:5">
      <c r="A378" s="121" t="s">
        <v>2179</v>
      </c>
      <c r="B378" s="121" t="s">
        <v>2152</v>
      </c>
      <c r="C378" s="121" t="s">
        <v>1174</v>
      </c>
      <c r="D378" s="121"/>
      <c r="E378" s="123"/>
    </row>
    <row r="379" spans="1:5">
      <c r="A379" s="121" t="s">
        <v>2180</v>
      </c>
      <c r="B379" s="121" t="s">
        <v>2181</v>
      </c>
      <c r="C379" s="121" t="s">
        <v>1172</v>
      </c>
      <c r="D379" s="121"/>
      <c r="E379" s="123"/>
    </row>
    <row r="380" spans="1:5">
      <c r="A380" s="121" t="s">
        <v>2182</v>
      </c>
      <c r="B380" s="121" t="s">
        <v>2170</v>
      </c>
      <c r="C380" s="121" t="s">
        <v>1136</v>
      </c>
      <c r="D380" s="121"/>
      <c r="E380" s="123"/>
    </row>
    <row r="381" spans="1:5">
      <c r="A381" s="121" t="s">
        <v>2183</v>
      </c>
      <c r="B381" s="121" t="s">
        <v>2168</v>
      </c>
      <c r="C381" s="121" t="s">
        <v>1134</v>
      </c>
      <c r="D381" s="121"/>
      <c r="E381" s="123"/>
    </row>
    <row r="382" spans="1:5">
      <c r="A382" s="121" t="s">
        <v>2186</v>
      </c>
      <c r="B382" s="121" t="s">
        <v>2168</v>
      </c>
      <c r="C382" s="121" t="s">
        <v>1134</v>
      </c>
      <c r="D382" s="121"/>
      <c r="E382" s="123"/>
    </row>
    <row r="383" spans="1:5">
      <c r="A383" s="121" t="s">
        <v>2187</v>
      </c>
      <c r="B383" s="121" t="s">
        <v>2185</v>
      </c>
      <c r="C383" s="121" t="s">
        <v>1467</v>
      </c>
      <c r="D383" s="121"/>
      <c r="E383" s="123"/>
    </row>
    <row r="384" spans="1:5">
      <c r="A384" s="121" t="s">
        <v>2188</v>
      </c>
      <c r="B384" s="121" t="s">
        <v>2184</v>
      </c>
      <c r="C384" s="121" t="s">
        <v>1736</v>
      </c>
      <c r="D384" s="121"/>
      <c r="E384" s="123"/>
    </row>
    <row r="385" spans="1:5">
      <c r="A385" s="121" t="s">
        <v>2189</v>
      </c>
      <c r="B385" s="121" t="s">
        <v>2185</v>
      </c>
      <c r="C385" s="121" t="s">
        <v>1467</v>
      </c>
      <c r="D385" s="121"/>
      <c r="E385" s="123"/>
    </row>
    <row r="386" spans="1:5">
      <c r="A386" s="121" t="s">
        <v>2190</v>
      </c>
      <c r="B386" s="121" t="s">
        <v>2184</v>
      </c>
      <c r="C386" s="121" t="s">
        <v>1736</v>
      </c>
      <c r="D386" s="121"/>
      <c r="E386" s="123"/>
    </row>
    <row r="387" spans="1:5">
      <c r="A387" s="121" t="s">
        <v>2191</v>
      </c>
      <c r="B387" s="121" t="s">
        <v>2192</v>
      </c>
      <c r="C387" s="121" t="s">
        <v>1136</v>
      </c>
      <c r="D387" s="121"/>
      <c r="E387" s="123"/>
    </row>
    <row r="388" spans="1:5">
      <c r="A388" s="121" t="s">
        <v>2194</v>
      </c>
      <c r="B388" s="121" t="s">
        <v>2192</v>
      </c>
      <c r="C388" s="121" t="s">
        <v>1136</v>
      </c>
      <c r="D388" s="121"/>
      <c r="E388" s="123"/>
    </row>
    <row r="389" spans="1:5">
      <c r="A389" s="121" t="s">
        <v>2195</v>
      </c>
      <c r="B389" s="121" t="s">
        <v>2196</v>
      </c>
      <c r="C389" s="121" t="s">
        <v>1195</v>
      </c>
      <c r="D389" s="121"/>
      <c r="E389" s="123"/>
    </row>
    <row r="390" spans="1:5">
      <c r="A390" s="121" t="s">
        <v>2197</v>
      </c>
      <c r="B390" s="121" t="s">
        <v>2153</v>
      </c>
      <c r="C390" s="121">
        <v>20</v>
      </c>
      <c r="D390" s="121"/>
      <c r="E390" s="123"/>
    </row>
    <row r="391" spans="1:5">
      <c r="A391" s="121" t="s">
        <v>2203</v>
      </c>
      <c r="B391" s="121" t="s">
        <v>2153</v>
      </c>
      <c r="C391" s="121">
        <v>12</v>
      </c>
      <c r="D391" s="121"/>
      <c r="E391" s="123"/>
    </row>
    <row r="392" spans="1:5">
      <c r="A392" s="121" t="s">
        <v>2204</v>
      </c>
      <c r="B392" s="121" t="s">
        <v>2205</v>
      </c>
      <c r="C392" s="121">
        <v>5</v>
      </c>
      <c r="D392" s="121"/>
      <c r="E392" s="123"/>
    </row>
    <row r="393" spans="1:5">
      <c r="A393" s="121" t="s">
        <v>2206</v>
      </c>
      <c r="B393" s="121" t="s">
        <v>2153</v>
      </c>
      <c r="C393" s="121">
        <v>3</v>
      </c>
      <c r="D393" s="121"/>
      <c r="E393" s="123"/>
    </row>
    <row r="394" spans="1:5">
      <c r="A394" s="121" t="s">
        <v>2207</v>
      </c>
      <c r="B394" s="121" t="s">
        <v>2154</v>
      </c>
      <c r="C394" s="121" t="s">
        <v>1138</v>
      </c>
      <c r="D394" s="121"/>
      <c r="E394" s="123"/>
    </row>
    <row r="395" spans="1:5">
      <c r="A395" s="121" t="s">
        <v>2210</v>
      </c>
      <c r="B395" s="121" t="s">
        <v>2209</v>
      </c>
      <c r="C395" s="121" t="s">
        <v>1793</v>
      </c>
      <c r="D395" s="121"/>
      <c r="E395" s="123"/>
    </row>
    <row r="396" spans="1:5">
      <c r="A396" s="121" t="s">
        <v>2211</v>
      </c>
      <c r="B396" s="121" t="s">
        <v>2198</v>
      </c>
      <c r="C396" s="121" t="s">
        <v>1146</v>
      </c>
      <c r="D396" s="121"/>
      <c r="E396" s="123"/>
    </row>
    <row r="397" spans="1:5">
      <c r="A397" s="121" t="s">
        <v>2212</v>
      </c>
      <c r="B397" s="121" t="s">
        <v>2200</v>
      </c>
      <c r="C397" s="121" t="s">
        <v>1152</v>
      </c>
      <c r="D397" s="121"/>
      <c r="E397" s="123"/>
    </row>
    <row r="398" spans="1:5">
      <c r="A398" s="121" t="s">
        <v>2217</v>
      </c>
      <c r="B398" s="121" t="s">
        <v>2215</v>
      </c>
      <c r="C398" s="121">
        <v>2</v>
      </c>
      <c r="D398" s="121"/>
      <c r="E398" s="123"/>
    </row>
    <row r="399" spans="1:5">
      <c r="A399" s="121" t="s">
        <v>2218</v>
      </c>
      <c r="B399" s="121" t="s">
        <v>2215</v>
      </c>
      <c r="C399" s="121">
        <v>15</v>
      </c>
      <c r="D399" s="121"/>
      <c r="E399" s="123"/>
    </row>
    <row r="400" spans="1:5">
      <c r="A400" s="121" t="s">
        <v>2219</v>
      </c>
      <c r="B400" s="121" t="s">
        <v>2213</v>
      </c>
      <c r="C400" s="121">
        <v>8</v>
      </c>
      <c r="D400" s="121"/>
      <c r="E400" s="123"/>
    </row>
    <row r="401" spans="1:5">
      <c r="A401" s="121" t="s">
        <v>2220</v>
      </c>
      <c r="B401" s="121" t="s">
        <v>1180</v>
      </c>
      <c r="C401" s="121">
        <v>5</v>
      </c>
      <c r="D401" s="121"/>
      <c r="E401" s="123"/>
    </row>
    <row r="402" spans="1:5">
      <c r="A402" s="121" t="s">
        <v>2225</v>
      </c>
      <c r="B402" s="121" t="s">
        <v>2215</v>
      </c>
      <c r="C402" s="121">
        <v>5</v>
      </c>
      <c r="D402" s="121"/>
      <c r="E402" s="123"/>
    </row>
    <row r="403" spans="1:5">
      <c r="A403" s="121" t="s">
        <v>2226</v>
      </c>
      <c r="B403" s="121" t="s">
        <v>2227</v>
      </c>
      <c r="C403" s="121" t="s">
        <v>1244</v>
      </c>
      <c r="D403" s="121"/>
      <c r="E403" s="123"/>
    </row>
    <row r="404" spans="1:5">
      <c r="A404" s="121" t="s">
        <v>143</v>
      </c>
      <c r="B404" s="121" t="s">
        <v>2215</v>
      </c>
      <c r="C404" s="121">
        <v>4</v>
      </c>
      <c r="D404" s="121"/>
      <c r="E404" s="123"/>
    </row>
    <row r="405" spans="1:5">
      <c r="A405" s="121" t="s">
        <v>2230</v>
      </c>
      <c r="B405" s="121" t="s">
        <v>2215</v>
      </c>
      <c r="C405" s="121">
        <v>2</v>
      </c>
      <c r="D405" s="121"/>
      <c r="E405" s="123"/>
    </row>
    <row r="406" spans="1:5">
      <c r="A406" s="121" t="s">
        <v>2231</v>
      </c>
      <c r="B406" s="121" t="s">
        <v>2198</v>
      </c>
      <c r="C406" s="121">
        <v>16</v>
      </c>
      <c r="D406" s="121"/>
      <c r="E406" s="123"/>
    </row>
    <row r="407" spans="1:5">
      <c r="A407" s="121" t="s">
        <v>2232</v>
      </c>
      <c r="B407" s="121" t="s">
        <v>2216</v>
      </c>
      <c r="C407" s="121" t="s">
        <v>1142</v>
      </c>
      <c r="D407" s="121"/>
      <c r="E407" s="123"/>
    </row>
    <row r="408" spans="1:5">
      <c r="A408" s="121" t="s">
        <v>2233</v>
      </c>
      <c r="B408" s="121" t="s">
        <v>2150</v>
      </c>
      <c r="C408" s="121">
        <v>235</v>
      </c>
      <c r="D408" s="121"/>
      <c r="E408" s="123" t="s">
        <v>2151</v>
      </c>
    </row>
    <row r="409" spans="1:5">
      <c r="A409" s="121" t="s">
        <v>2234</v>
      </c>
      <c r="B409" s="121" t="s">
        <v>2150</v>
      </c>
      <c r="C409" s="121" t="s">
        <v>2235</v>
      </c>
      <c r="D409" s="121"/>
      <c r="E409" s="123" t="s">
        <v>2151</v>
      </c>
    </row>
    <row r="410" spans="1:5">
      <c r="A410" s="121" t="s">
        <v>2236</v>
      </c>
      <c r="B410" s="121" t="s">
        <v>2237</v>
      </c>
      <c r="C410" s="121" t="s">
        <v>1124</v>
      </c>
      <c r="D410" s="121"/>
      <c r="E410" s="123"/>
    </row>
    <row r="411" spans="1:5">
      <c r="A411" s="121" t="s">
        <v>2242</v>
      </c>
      <c r="B411" s="121" t="s">
        <v>2243</v>
      </c>
      <c r="C411" s="121">
        <v>12</v>
      </c>
      <c r="D411" s="121"/>
      <c r="E411" s="123"/>
    </row>
    <row r="412" spans="1:5">
      <c r="A412" s="121" t="s">
        <v>148</v>
      </c>
      <c r="B412" s="121" t="s">
        <v>2246</v>
      </c>
      <c r="C412" s="121" t="s">
        <v>1148</v>
      </c>
      <c r="D412" s="121"/>
      <c r="E412" s="123"/>
    </row>
    <row r="413" spans="1:5">
      <c r="A413" s="121" t="s">
        <v>2258</v>
      </c>
      <c r="B413" s="121" t="s">
        <v>2259</v>
      </c>
      <c r="C413" s="121" t="s">
        <v>1172</v>
      </c>
      <c r="D413" s="121"/>
      <c r="E413" s="123"/>
    </row>
    <row r="414" spans="1:5">
      <c r="A414" s="121" t="s">
        <v>2266</v>
      </c>
      <c r="B414" s="121" t="s">
        <v>2267</v>
      </c>
      <c r="C414" s="121" t="s">
        <v>1134</v>
      </c>
      <c r="D414" s="121"/>
      <c r="E414" s="123"/>
    </row>
    <row r="415" spans="1:5">
      <c r="A415" s="121" t="s">
        <v>2270</v>
      </c>
      <c r="B415" s="121" t="s">
        <v>2271</v>
      </c>
      <c r="C415" s="121" t="s">
        <v>1148</v>
      </c>
      <c r="D415" s="121"/>
      <c r="E415" s="123"/>
    </row>
    <row r="416" spans="1:5">
      <c r="A416" s="121" t="s">
        <v>2273</v>
      </c>
      <c r="B416" s="121" t="s">
        <v>2257</v>
      </c>
      <c r="C416" s="121" t="s">
        <v>1263</v>
      </c>
      <c r="D416" s="121"/>
      <c r="E416" s="123"/>
    </row>
    <row r="417" spans="1:5">
      <c r="A417" s="121" t="s">
        <v>2275</v>
      </c>
      <c r="B417" s="121" t="s">
        <v>2276</v>
      </c>
      <c r="C417" s="121" t="s">
        <v>1148</v>
      </c>
      <c r="D417" s="121"/>
      <c r="E417" s="123"/>
    </row>
    <row r="418" spans="1:5">
      <c r="A418" s="121" t="s">
        <v>2278</v>
      </c>
      <c r="B418" s="121" t="s">
        <v>2279</v>
      </c>
      <c r="C418" s="121" t="s">
        <v>1169</v>
      </c>
      <c r="D418" s="121"/>
      <c r="E418" s="123"/>
    </row>
    <row r="419" spans="1:5">
      <c r="A419" s="121" t="s">
        <v>2281</v>
      </c>
      <c r="B419" s="121" t="s">
        <v>2282</v>
      </c>
      <c r="C419" s="121" t="s">
        <v>1469</v>
      </c>
      <c r="D419" s="121"/>
      <c r="E419" s="123"/>
    </row>
    <row r="420" spans="1:5">
      <c r="A420" s="121" t="s">
        <v>2283</v>
      </c>
      <c r="B420" s="121" t="s">
        <v>2284</v>
      </c>
      <c r="C420" s="121" t="s">
        <v>1469</v>
      </c>
      <c r="D420" s="121"/>
      <c r="E420" s="123"/>
    </row>
    <row r="421" spans="1:5">
      <c r="A421" s="121" t="s">
        <v>2285</v>
      </c>
      <c r="B421" s="121" t="s">
        <v>2286</v>
      </c>
      <c r="C421" s="121" t="s">
        <v>1469</v>
      </c>
      <c r="D421" s="121"/>
      <c r="E421" s="123"/>
    </row>
    <row r="422" spans="1:5">
      <c r="A422" s="121" t="s">
        <v>2287</v>
      </c>
      <c r="B422" s="121" t="s">
        <v>2153</v>
      </c>
      <c r="C422" s="121">
        <v>300</v>
      </c>
      <c r="D422" s="121"/>
      <c r="E422" s="123"/>
    </row>
    <row r="423" spans="1:5">
      <c r="A423" s="121" t="s">
        <v>2289</v>
      </c>
      <c r="B423" s="121" t="s">
        <v>2290</v>
      </c>
      <c r="C423" s="121" t="s">
        <v>1352</v>
      </c>
      <c r="D423" s="121"/>
      <c r="E423" s="123"/>
    </row>
    <row r="424" spans="1:5">
      <c r="A424" s="121" t="s">
        <v>2291</v>
      </c>
      <c r="B424" s="121" t="s">
        <v>2292</v>
      </c>
      <c r="C424" s="121" t="s">
        <v>1174</v>
      </c>
      <c r="D424" s="121"/>
      <c r="E424" s="123"/>
    </row>
    <row r="425" spans="1:5">
      <c r="A425" s="121" t="s">
        <v>2294</v>
      </c>
      <c r="B425" s="121" t="s">
        <v>2295</v>
      </c>
      <c r="C425" s="121" t="s">
        <v>1172</v>
      </c>
      <c r="D425" s="121"/>
      <c r="E425" s="123"/>
    </row>
    <row r="426" spans="1:5">
      <c r="A426" s="121" t="s">
        <v>2297</v>
      </c>
      <c r="B426" s="121" t="s">
        <v>2244</v>
      </c>
      <c r="C426" s="121">
        <v>2</v>
      </c>
      <c r="D426" s="121"/>
      <c r="E426" s="123"/>
    </row>
    <row r="427" spans="1:5">
      <c r="A427" s="121" t="s">
        <v>2299</v>
      </c>
      <c r="B427" s="121" t="s">
        <v>2300</v>
      </c>
      <c r="C427" s="121" t="s">
        <v>1144</v>
      </c>
      <c r="D427" s="121"/>
      <c r="E427" s="123"/>
    </row>
    <row r="428" spans="1:5">
      <c r="A428" s="121" t="s">
        <v>2302</v>
      </c>
      <c r="B428" s="121" t="s">
        <v>2155</v>
      </c>
      <c r="C428" s="121">
        <v>10</v>
      </c>
      <c r="D428" s="121"/>
      <c r="E428" s="123"/>
    </row>
    <row r="429" spans="1:5">
      <c r="A429" s="121" t="s">
        <v>2304</v>
      </c>
      <c r="B429" s="121" t="s">
        <v>2150</v>
      </c>
      <c r="C429" s="121" t="s">
        <v>1245</v>
      </c>
      <c r="D429" s="121"/>
      <c r="E429" s="123" t="s">
        <v>2151</v>
      </c>
    </row>
    <row r="430" spans="1:5">
      <c r="A430" s="121" t="s">
        <v>2306</v>
      </c>
      <c r="B430" s="121" t="s">
        <v>2307</v>
      </c>
      <c r="C430" s="121" t="s">
        <v>1321</v>
      </c>
      <c r="D430" s="121"/>
      <c r="E430" s="123"/>
    </row>
    <row r="431" spans="1:5">
      <c r="A431" s="121" t="s">
        <v>2310</v>
      </c>
      <c r="B431" s="121" t="s">
        <v>2155</v>
      </c>
      <c r="C431" s="121">
        <v>10</v>
      </c>
      <c r="D431" s="121"/>
      <c r="E431" s="123"/>
    </row>
    <row r="432" spans="1:5">
      <c r="A432" s="121" t="s">
        <v>2311</v>
      </c>
      <c r="B432" s="121" t="s">
        <v>2307</v>
      </c>
      <c r="C432" s="121" t="s">
        <v>1138</v>
      </c>
      <c r="D432" s="121"/>
      <c r="E432" s="123"/>
    </row>
    <row r="433" spans="1:5">
      <c r="A433" s="121" t="s">
        <v>2312</v>
      </c>
      <c r="B433" s="121" t="s">
        <v>2307</v>
      </c>
      <c r="C433" s="121" t="s">
        <v>1137</v>
      </c>
      <c r="D433" s="121"/>
      <c r="E433" s="123"/>
    </row>
    <row r="434" spans="1:5">
      <c r="A434" s="121" t="s">
        <v>2313</v>
      </c>
      <c r="B434" s="121" t="s">
        <v>2314</v>
      </c>
      <c r="C434" s="121" t="s">
        <v>1118</v>
      </c>
      <c r="D434" s="121"/>
      <c r="E434" s="123"/>
    </row>
    <row r="435" spans="1:5">
      <c r="A435" s="121" t="s">
        <v>2319</v>
      </c>
      <c r="B435" s="121" t="s">
        <v>2314</v>
      </c>
      <c r="C435" s="121" t="s">
        <v>1118</v>
      </c>
      <c r="D435" s="121"/>
      <c r="E435" s="123"/>
    </row>
    <row r="436" spans="1:5">
      <c r="A436" s="121" t="s">
        <v>2321</v>
      </c>
      <c r="B436" s="121" t="s">
        <v>2322</v>
      </c>
      <c r="C436" s="121" t="s">
        <v>1269</v>
      </c>
      <c r="D436" s="121"/>
      <c r="E436" s="123"/>
    </row>
    <row r="437" spans="1:5">
      <c r="A437" s="121" t="s">
        <v>2326</v>
      </c>
      <c r="B437" s="121" t="s">
        <v>2327</v>
      </c>
      <c r="C437" s="121" t="s">
        <v>1269</v>
      </c>
      <c r="D437" s="121"/>
      <c r="E437" s="123"/>
    </row>
    <row r="438" spans="1:5">
      <c r="A438" s="121" t="s">
        <v>2330</v>
      </c>
      <c r="B438" s="121" t="s">
        <v>2331</v>
      </c>
      <c r="C438" s="121" t="s">
        <v>1487</v>
      </c>
      <c r="D438" s="121"/>
      <c r="E438" s="123"/>
    </row>
    <row r="439" spans="1:5">
      <c r="A439" s="121" t="s">
        <v>2334</v>
      </c>
      <c r="B439" s="121" t="s">
        <v>2335</v>
      </c>
      <c r="C439" s="121" t="s">
        <v>2336</v>
      </c>
      <c r="D439" s="121"/>
      <c r="E439" s="123"/>
    </row>
    <row r="440" spans="1:5">
      <c r="A440" s="121" t="s">
        <v>2338</v>
      </c>
      <c r="B440" s="121" t="s">
        <v>2339</v>
      </c>
      <c r="C440" s="121" t="s">
        <v>1174</v>
      </c>
      <c r="D440" s="121"/>
      <c r="E440" s="123"/>
    </row>
    <row r="441" spans="1:5">
      <c r="A441" s="121" t="s">
        <v>2341</v>
      </c>
      <c r="B441" s="121" t="s">
        <v>2342</v>
      </c>
      <c r="C441" s="121" t="s">
        <v>2255</v>
      </c>
      <c r="D441" s="121"/>
      <c r="E441" s="123"/>
    </row>
    <row r="442" spans="1:5">
      <c r="A442" s="121" t="s">
        <v>2344</v>
      </c>
      <c r="B442" s="121" t="s">
        <v>2345</v>
      </c>
      <c r="C442" s="121" t="s">
        <v>1135</v>
      </c>
      <c r="D442" s="121"/>
      <c r="E442" s="123"/>
    </row>
    <row r="443" spans="1:5">
      <c r="A443" s="121" t="s">
        <v>2348</v>
      </c>
      <c r="B443" s="121" t="s">
        <v>2349</v>
      </c>
      <c r="C443" s="121" t="s">
        <v>1396</v>
      </c>
      <c r="D443" s="121"/>
      <c r="E443" s="123"/>
    </row>
    <row r="444" spans="1:5">
      <c r="A444" s="121" t="s">
        <v>2350</v>
      </c>
      <c r="B444" s="121" t="s">
        <v>2351</v>
      </c>
      <c r="C444" s="121" t="s">
        <v>1135</v>
      </c>
      <c r="D444" s="121"/>
      <c r="E444" s="123"/>
    </row>
    <row r="445" spans="1:5">
      <c r="A445" s="121" t="s">
        <v>2352</v>
      </c>
      <c r="B445" s="121" t="s">
        <v>2353</v>
      </c>
      <c r="C445" s="121">
        <v>26</v>
      </c>
      <c r="D445" s="121"/>
      <c r="E445" s="123"/>
    </row>
    <row r="446" spans="1:5">
      <c r="A446" s="121" t="s">
        <v>2356</v>
      </c>
      <c r="B446" s="121" t="s">
        <v>2307</v>
      </c>
      <c r="C446" s="121" t="s">
        <v>1320</v>
      </c>
      <c r="D446" s="121"/>
      <c r="E446" s="123"/>
    </row>
    <row r="447" spans="1:5">
      <c r="A447" s="121" t="s">
        <v>2357</v>
      </c>
      <c r="B447" s="121" t="s">
        <v>2307</v>
      </c>
      <c r="C447" s="121" t="s">
        <v>1174</v>
      </c>
      <c r="D447" s="121"/>
      <c r="E447" s="123"/>
    </row>
    <row r="448" spans="1:5">
      <c r="A448" s="121" t="s">
        <v>2358</v>
      </c>
      <c r="B448" s="121" t="s">
        <v>2307</v>
      </c>
      <c r="C448" s="121" t="s">
        <v>1487</v>
      </c>
      <c r="D448" s="121"/>
      <c r="E448" s="123"/>
    </row>
    <row r="449" spans="1:5">
      <c r="A449" s="121" t="s">
        <v>2359</v>
      </c>
      <c r="B449" s="121" t="s">
        <v>2307</v>
      </c>
      <c r="C449" s="121" t="s">
        <v>1490</v>
      </c>
      <c r="D449" s="121"/>
      <c r="E449" s="123"/>
    </row>
    <row r="450" spans="1:5">
      <c r="A450" s="121" t="s">
        <v>2360</v>
      </c>
      <c r="B450" s="121" t="s">
        <v>2307</v>
      </c>
      <c r="C450" s="121" t="s">
        <v>1263</v>
      </c>
      <c r="D450" s="121"/>
      <c r="E450" s="123"/>
    </row>
    <row r="451" spans="1:5">
      <c r="A451" s="121" t="s">
        <v>2361</v>
      </c>
      <c r="B451" s="121" t="s">
        <v>2362</v>
      </c>
      <c r="C451" s="121"/>
      <c r="D451" s="121"/>
      <c r="E451" s="123"/>
    </row>
    <row r="452" spans="1:5">
      <c r="A452" s="121" t="s">
        <v>2363</v>
      </c>
      <c r="B452" s="121" t="s">
        <v>2364</v>
      </c>
      <c r="C452" s="121"/>
      <c r="D452" s="121"/>
      <c r="E452" s="123"/>
    </row>
    <row r="453" spans="1:5">
      <c r="A453" s="121" t="s">
        <v>2365</v>
      </c>
      <c r="B453" s="121" t="s">
        <v>2366</v>
      </c>
      <c r="C453" s="121"/>
      <c r="D453" s="121"/>
      <c r="E453" s="123"/>
    </row>
    <row r="454" spans="1:5">
      <c r="A454" s="121" t="s">
        <v>2367</v>
      </c>
      <c r="B454" s="121" t="s">
        <v>1108</v>
      </c>
      <c r="C454" s="121"/>
      <c r="D454" s="121"/>
      <c r="E454" s="123"/>
    </row>
    <row r="455" spans="1:5">
      <c r="A455" s="121" t="s">
        <v>2368</v>
      </c>
      <c r="B455" s="121" t="s">
        <v>2369</v>
      </c>
      <c r="C455" s="121"/>
      <c r="D455" s="121"/>
      <c r="E455" s="123"/>
    </row>
    <row r="456" spans="1:5">
      <c r="A456" s="121" t="s">
        <v>2370</v>
      </c>
      <c r="B456" s="121" t="s">
        <v>1108</v>
      </c>
      <c r="C456" s="121"/>
      <c r="D456" s="121"/>
      <c r="E456" s="123"/>
    </row>
    <row r="457" spans="1:5">
      <c r="A457" s="121" t="s">
        <v>2371</v>
      </c>
      <c r="B457" s="121" t="s">
        <v>2372</v>
      </c>
      <c r="C457" s="121"/>
      <c r="D457" s="121"/>
      <c r="E457" s="123"/>
    </row>
    <row r="458" spans="1:5">
      <c r="A458" s="121" t="s">
        <v>2373</v>
      </c>
      <c r="B458" s="121" t="s">
        <v>2374</v>
      </c>
      <c r="C458" s="121"/>
      <c r="D458" s="121"/>
      <c r="E458" s="123"/>
    </row>
    <row r="459" spans="1:5">
      <c r="A459" s="121" t="s">
        <v>2375</v>
      </c>
      <c r="B459" s="121" t="s">
        <v>1108</v>
      </c>
      <c r="C459" s="121"/>
      <c r="D459" s="121"/>
      <c r="E459" s="123"/>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1">
    <tabColor rgb="FF00B050"/>
  </sheetPr>
  <dimension ref="A1:W78"/>
  <sheetViews>
    <sheetView showGridLines="0" showZeros="0" zoomScaleNormal="100" workbookViewId="0">
      <pane xSplit="23" ySplit="4" topLeftCell="X35" activePane="bottomRight" state="frozen"/>
      <selection pane="topRight" activeCell="X1" sqref="X1"/>
      <selection pane="bottomLeft" activeCell="A5" sqref="A5"/>
      <selection pane="bottomRight" activeCell="F44" sqref="F44:H44"/>
    </sheetView>
  </sheetViews>
  <sheetFormatPr defaultRowHeight="16.5" zeroHeight="1"/>
  <cols>
    <col min="1" max="2" width="8.88671875" style="29"/>
    <col min="3" max="3" width="7.109375" style="29" customWidth="1"/>
    <col min="4" max="4" width="8.88671875" style="29"/>
    <col min="5" max="5" width="6.77734375" style="29" customWidth="1"/>
    <col min="6" max="6" width="4.88671875" style="29" customWidth="1"/>
    <col min="7" max="9" width="6.77734375" style="29" customWidth="1"/>
    <col min="10" max="10" width="5.109375" style="29" customWidth="1"/>
    <col min="11" max="11" width="9" style="29" customWidth="1"/>
    <col min="12" max="12" width="6.77734375" style="29" customWidth="1"/>
    <col min="13" max="13" width="6.109375" style="29" customWidth="1"/>
    <col min="14" max="14" width="6" style="29" customWidth="1"/>
    <col min="15" max="16" width="6.77734375" style="29" customWidth="1"/>
    <col min="17" max="16384" width="8.88671875" style="29"/>
  </cols>
  <sheetData>
    <row r="1" spans="1:23" ht="27.75" customHeight="1">
      <c r="A1" s="90" t="s">
        <v>5832</v>
      </c>
      <c r="B1" s="87"/>
      <c r="C1" s="87"/>
      <c r="D1" s="87"/>
      <c r="E1" s="1846" t="str">
        <f>E11</f>
        <v>THIẾT BỊ, NHÂN LỰC CỦA NHÀ THẦU</v>
      </c>
      <c r="F1" s="1846"/>
      <c r="G1" s="1846"/>
      <c r="H1" s="1846"/>
      <c r="I1" s="1846"/>
      <c r="J1" s="1846"/>
      <c r="K1" s="1846"/>
      <c r="L1" s="1846"/>
      <c r="M1" s="1846"/>
      <c r="N1" s="1846"/>
      <c r="O1" s="1846"/>
      <c r="P1" s="1846"/>
      <c r="Q1" s="87"/>
      <c r="R1" s="87"/>
      <c r="S1" s="87"/>
      <c r="T1" s="87"/>
      <c r="U1" s="87"/>
      <c r="V1" s="87"/>
      <c r="W1" s="87"/>
    </row>
    <row r="2" spans="1:23">
      <c r="A2" s="87"/>
      <c r="B2" s="87"/>
      <c r="C2" s="87"/>
      <c r="D2" s="87"/>
      <c r="E2" s="1785" t="str">
        <f>PhongThinghiem!E2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PhongThinghiem!E3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5.25" customHeight="1">
      <c r="A4" s="87"/>
      <c r="B4" s="87"/>
      <c r="C4" s="87"/>
      <c r="D4" s="87"/>
      <c r="E4" s="87"/>
      <c r="F4" s="87"/>
      <c r="G4" s="87"/>
      <c r="H4" s="87"/>
      <c r="I4" s="87"/>
      <c r="J4" s="87"/>
      <c r="K4" s="87"/>
      <c r="L4" s="87"/>
      <c r="M4" s="87"/>
      <c r="N4" s="87"/>
      <c r="O4" s="87"/>
      <c r="P4" s="87"/>
      <c r="Q4" s="87"/>
      <c r="R4" s="87"/>
      <c r="S4" s="87"/>
      <c r="T4" s="87"/>
      <c r="U4" s="87"/>
      <c r="V4" s="87"/>
      <c r="W4" s="87"/>
    </row>
    <row r="5" spans="1:23" ht="18.75" customHeight="1">
      <c r="A5" s="87"/>
      <c r="B5" s="87"/>
      <c r="C5" s="87"/>
      <c r="D5" s="87"/>
      <c r="E5" s="1888" t="s">
        <v>158</v>
      </c>
      <c r="F5" s="1888"/>
      <c r="G5" s="1888"/>
      <c r="H5" s="1888"/>
      <c r="I5" s="1888"/>
      <c r="J5" s="1888"/>
      <c r="K5" s="1888"/>
      <c r="L5" s="1888"/>
      <c r="M5" s="1888"/>
      <c r="N5" s="1888"/>
      <c r="O5" s="1888"/>
      <c r="P5" s="1888"/>
      <c r="Q5" s="87"/>
      <c r="R5" s="87"/>
      <c r="S5" s="87"/>
      <c r="T5" s="87"/>
      <c r="U5" s="87"/>
      <c r="V5" s="87"/>
      <c r="W5" s="87"/>
    </row>
    <row r="6" spans="1:23" ht="16.5" customHeight="1">
      <c r="A6" s="87"/>
      <c r="B6" s="87"/>
      <c r="C6" s="87"/>
      <c r="D6" s="87"/>
      <c r="E6" s="1847" t="s">
        <v>251</v>
      </c>
      <c r="F6" s="1847"/>
      <c r="G6" s="1847"/>
      <c r="H6" s="1847"/>
      <c r="I6" s="1847"/>
      <c r="J6" s="1847"/>
      <c r="K6" s="1847"/>
      <c r="L6" s="1847"/>
      <c r="M6" s="1847"/>
      <c r="N6" s="1847"/>
      <c r="O6" s="1847"/>
      <c r="P6" s="1847"/>
      <c r="Q6" s="87"/>
      <c r="R6" s="87"/>
      <c r="S6" s="87"/>
      <c r="T6" s="87"/>
      <c r="U6" s="87"/>
      <c r="V6" s="87"/>
      <c r="W6" s="87"/>
    </row>
    <row r="7" spans="1:23">
      <c r="A7" s="87"/>
      <c r="B7" s="87"/>
      <c r="C7" s="87"/>
      <c r="D7" s="87"/>
      <c r="E7" s="1837"/>
      <c r="F7" s="1837"/>
      <c r="G7" s="1837"/>
      <c r="H7" s="1837"/>
      <c r="I7" s="1837"/>
      <c r="J7" s="1837"/>
      <c r="K7" s="1837"/>
      <c r="L7" s="1837"/>
      <c r="M7" s="1837"/>
      <c r="N7" s="1837"/>
      <c r="O7" s="1837"/>
      <c r="P7" s="1837"/>
      <c r="Q7" s="87"/>
      <c r="R7" s="87"/>
      <c r="S7" s="87"/>
      <c r="T7" s="87"/>
      <c r="U7" s="87"/>
      <c r="V7" s="87"/>
      <c r="W7" s="87"/>
    </row>
    <row r="8" spans="1:23" ht="17.25" customHeight="1">
      <c r="A8" s="87"/>
      <c r="B8" s="87"/>
      <c r="C8" s="87"/>
      <c r="D8" s="87"/>
      <c r="E8" s="1848" t="str">
        <f>Diadanh&amp;", ngày  "&amp;DAY(Nhattrinh!K11)&amp;" tháng  "&amp;MONTH(Nhattrinh!K11 )&amp;"  năm "&amp;YEAR(Nhattrinh!K11 )</f>
        <v>Ninh Hải, ngày  6 tháng  5  năm 2020</v>
      </c>
      <c r="F8" s="1848"/>
      <c r="G8" s="1848"/>
      <c r="H8" s="1848"/>
      <c r="I8" s="1848"/>
      <c r="J8" s="1848"/>
      <c r="K8" s="1848"/>
      <c r="L8" s="1848"/>
      <c r="M8" s="1848"/>
      <c r="N8" s="1848"/>
      <c r="O8" s="1848"/>
      <c r="P8" s="1848"/>
      <c r="Q8" s="87"/>
      <c r="R8" s="87"/>
      <c r="S8" s="87"/>
      <c r="T8" s="87"/>
      <c r="U8" s="87"/>
      <c r="V8" s="87"/>
      <c r="W8" s="87"/>
    </row>
    <row r="9" spans="1:23">
      <c r="A9" s="87"/>
      <c r="B9" s="87"/>
      <c r="C9" s="87"/>
      <c r="D9" s="87"/>
      <c r="E9" s="331"/>
      <c r="F9" s="331"/>
      <c r="G9" s="354"/>
      <c r="H9" s="331"/>
      <c r="I9" s="331"/>
      <c r="J9" s="331"/>
      <c r="K9" s="331"/>
      <c r="L9" s="331"/>
      <c r="M9" s="331"/>
      <c r="N9" s="331"/>
      <c r="O9" s="331"/>
      <c r="P9" s="331"/>
      <c r="Q9" s="87"/>
      <c r="R9" s="87"/>
      <c r="S9" s="87"/>
      <c r="T9" s="87"/>
      <c r="U9" s="87"/>
      <c r="V9" s="87"/>
      <c r="W9" s="87"/>
    </row>
    <row r="10" spans="1:23" ht="16.5" customHeight="1">
      <c r="A10" s="87"/>
      <c r="B10" s="87"/>
      <c r="C10" s="87"/>
      <c r="D10" s="87"/>
      <c r="E10" s="1889" t="s">
        <v>263</v>
      </c>
      <c r="F10" s="1889"/>
      <c r="G10" s="1889"/>
      <c r="H10" s="1889"/>
      <c r="I10" s="1889"/>
      <c r="J10" s="1889"/>
      <c r="K10" s="1889"/>
      <c r="L10" s="1889"/>
      <c r="M10" s="1889"/>
      <c r="N10" s="1889"/>
      <c r="O10" s="1889"/>
      <c r="P10" s="1889"/>
      <c r="Q10" s="87"/>
      <c r="R10" s="87"/>
      <c r="S10" s="87"/>
      <c r="T10" s="87"/>
      <c r="U10" s="87"/>
      <c r="V10" s="87"/>
      <c r="W10" s="87"/>
    </row>
    <row r="11" spans="1:23" ht="22.5">
      <c r="A11" s="87"/>
      <c r="B11" s="87"/>
      <c r="C11" s="87"/>
      <c r="D11" s="87"/>
      <c r="E11" s="1890" t="s">
        <v>270</v>
      </c>
      <c r="F11" s="1890"/>
      <c r="G11" s="1890"/>
      <c r="H11" s="1890"/>
      <c r="I11" s="1890"/>
      <c r="J11" s="1890"/>
      <c r="K11" s="1890"/>
      <c r="L11" s="1890"/>
      <c r="M11" s="1890"/>
      <c r="N11" s="1890"/>
      <c r="O11" s="1890"/>
      <c r="P11" s="1890"/>
      <c r="Q11" s="87"/>
      <c r="R11" s="87"/>
      <c r="S11" s="87"/>
      <c r="T11" s="87"/>
      <c r="U11" s="87"/>
      <c r="V11" s="87"/>
      <c r="W11" s="87"/>
    </row>
    <row r="12" spans="1:23">
      <c r="A12" s="87"/>
      <c r="B12" s="87"/>
      <c r="C12" s="87"/>
      <c r="D12" s="87"/>
      <c r="E12" s="331"/>
      <c r="F12" s="331"/>
      <c r="G12" s="354"/>
      <c r="H12" s="331"/>
      <c r="I12" s="331"/>
      <c r="J12" s="331"/>
      <c r="K12" s="331"/>
      <c r="L12" s="331"/>
      <c r="M12" s="331"/>
      <c r="N12" s="331"/>
      <c r="O12" s="331"/>
      <c r="P12" s="331"/>
      <c r="Q12" s="87"/>
      <c r="R12" s="87"/>
      <c r="S12" s="87"/>
      <c r="T12" s="87"/>
      <c r="U12" s="87"/>
      <c r="V12" s="87"/>
      <c r="W12" s="87"/>
    </row>
    <row r="13" spans="1:23" ht="36.6" customHeight="1">
      <c r="A13" s="87"/>
      <c r="B13" s="87"/>
      <c r="C13" s="87"/>
      <c r="D13" s="87"/>
      <c r="E13" s="1604" t="str">
        <f>Tieude1&amp;": "&amp;NDtieude1</f>
        <v>Công trình: Gia cố nâng cấp kênh Bà Xoài từ K0+300÷K0+600 - Hệ thống thủy lợi Nha Trinh, huyện Ninh Hải, tỉnh Ninh Thuận</v>
      </c>
      <c r="F13" s="1604"/>
      <c r="G13" s="1604"/>
      <c r="H13" s="1604"/>
      <c r="I13" s="1604"/>
      <c r="J13" s="1604"/>
      <c r="K13" s="1604"/>
      <c r="L13" s="1604"/>
      <c r="M13" s="1604"/>
      <c r="N13" s="1604"/>
      <c r="O13" s="1604"/>
      <c r="P13" s="331"/>
      <c r="Q13" s="87"/>
      <c r="R13" s="87"/>
      <c r="S13" s="87"/>
      <c r="T13" s="87"/>
      <c r="U13" s="87">
        <f>ROW()</f>
        <v>13</v>
      </c>
      <c r="V13" s="87"/>
      <c r="W13" s="87"/>
    </row>
    <row r="14" spans="1:23" ht="20.100000000000001" customHeight="1">
      <c r="A14" s="87"/>
      <c r="B14" s="87"/>
      <c r="C14" s="87"/>
      <c r="D14" s="87"/>
      <c r="E14" s="1843" t="str">
        <f>Tieude2&amp;": "&amp;NDtieude2</f>
        <v xml:space="preserve">Gói thầu 05: </v>
      </c>
      <c r="F14" s="1843"/>
      <c r="G14" s="1843"/>
      <c r="H14" s="1843"/>
      <c r="I14" s="1843"/>
      <c r="J14" s="1843"/>
      <c r="K14" s="1843"/>
      <c r="L14" s="1843"/>
      <c r="M14" s="1843"/>
      <c r="N14" s="1843"/>
      <c r="O14" s="1843"/>
      <c r="P14" s="331"/>
      <c r="Q14" s="87"/>
      <c r="R14" s="87"/>
      <c r="S14" s="87"/>
      <c r="T14" s="87"/>
      <c r="U14" s="87">
        <f>ROW()</f>
        <v>14</v>
      </c>
      <c r="V14" s="87"/>
      <c r="W14" s="87"/>
    </row>
    <row r="15" spans="1:23" ht="20.100000000000001" customHeight="1">
      <c r="A15" s="87"/>
      <c r="B15" s="87"/>
      <c r="C15" s="87"/>
      <c r="D15" s="87"/>
      <c r="E15" s="1843" t="str">
        <f>Tieude3&amp;": "&amp;NDtieude3</f>
        <v>Hạng mục: Kênh và Công trình trên kênh</v>
      </c>
      <c r="F15" s="1843"/>
      <c r="G15" s="1843"/>
      <c r="H15" s="1843"/>
      <c r="I15" s="1843"/>
      <c r="J15" s="1843"/>
      <c r="K15" s="1843"/>
      <c r="L15" s="1843"/>
      <c r="M15" s="1843"/>
      <c r="N15" s="1843"/>
      <c r="O15" s="1843"/>
      <c r="P15" s="331"/>
      <c r="Q15" s="87"/>
      <c r="R15" s="87"/>
      <c r="S15" s="87"/>
      <c r="T15" s="87"/>
      <c r="U15" s="87">
        <f>ROW()</f>
        <v>15</v>
      </c>
      <c r="V15" s="87"/>
      <c r="W15" s="87"/>
    </row>
    <row r="16" spans="1:23" ht="20.100000000000001" customHeight="1">
      <c r="A16" s="87"/>
      <c r="B16" s="87"/>
      <c r="C16" s="87"/>
      <c r="D16" s="87"/>
      <c r="E16" s="1473" t="str">
        <f>"Địa điểm xây dựng : "&amp;DDXD</f>
        <v>Địa điểm xây dựng : Huyện Ninh Hải - Tỉnh Ninh Thuận</v>
      </c>
      <c r="F16" s="1473"/>
      <c r="G16" s="1473"/>
      <c r="H16" s="1473"/>
      <c r="I16" s="1473"/>
      <c r="J16" s="1473"/>
      <c r="K16" s="1473"/>
      <c r="L16" s="1473"/>
      <c r="M16" s="1473"/>
      <c r="N16" s="1473"/>
      <c r="O16" s="1473"/>
      <c r="P16" s="331"/>
      <c r="Q16" s="87"/>
      <c r="R16" s="87"/>
      <c r="S16" s="87"/>
      <c r="T16" s="87"/>
      <c r="U16" s="87">
        <f>ROW()</f>
        <v>16</v>
      </c>
      <c r="V16" s="87"/>
      <c r="W16" s="87"/>
    </row>
    <row r="17" spans="1:23">
      <c r="A17" s="87"/>
      <c r="B17" s="87"/>
      <c r="C17" s="87"/>
      <c r="D17" s="87"/>
      <c r="E17" s="331"/>
      <c r="F17" s="331"/>
      <c r="G17" s="355"/>
      <c r="H17" s="331"/>
      <c r="I17" s="331"/>
      <c r="J17" s="331"/>
      <c r="K17" s="331"/>
      <c r="L17" s="331"/>
      <c r="M17" s="331"/>
      <c r="N17" s="331"/>
      <c r="O17" s="331"/>
      <c r="P17" s="331"/>
      <c r="Q17" s="87"/>
      <c r="R17" s="87"/>
      <c r="S17" s="87"/>
      <c r="T17" s="87"/>
      <c r="U17" s="87"/>
      <c r="V17" s="87"/>
      <c r="W17" s="87"/>
    </row>
    <row r="18" spans="1:23">
      <c r="A18" s="87"/>
      <c r="B18" s="87"/>
      <c r="C18" s="87"/>
      <c r="D18" s="87"/>
      <c r="E18" s="1873" t="s">
        <v>4239</v>
      </c>
      <c r="F18" s="1873"/>
      <c r="G18" s="1873"/>
      <c r="H18" s="1873"/>
      <c r="I18" s="1873"/>
      <c r="J18" s="1873"/>
      <c r="K18" s="1873"/>
      <c r="L18" s="1873"/>
      <c r="M18" s="1873"/>
      <c r="N18" s="1873"/>
      <c r="O18" s="1873"/>
      <c r="P18" s="1873"/>
      <c r="Q18" s="87"/>
      <c r="R18" s="87"/>
      <c r="S18" s="87"/>
      <c r="T18" s="87"/>
      <c r="U18" s="87"/>
      <c r="V18" s="87"/>
      <c r="W18" s="87"/>
    </row>
    <row r="19" spans="1:23">
      <c r="A19" s="87"/>
      <c r="B19" s="87"/>
      <c r="C19" s="87"/>
      <c r="D19" s="87"/>
      <c r="E19" s="237" t="s">
        <v>162</v>
      </c>
      <c r="F19" s="238"/>
      <c r="G19" s="238"/>
      <c r="H19" s="238"/>
      <c r="I19" s="238"/>
      <c r="J19" s="236"/>
      <c r="K19" s="236"/>
      <c r="L19" s="236"/>
      <c r="M19" s="238"/>
      <c r="N19" s="238"/>
      <c r="O19" s="238"/>
      <c r="P19" s="238"/>
      <c r="Q19" s="87"/>
      <c r="R19" s="87"/>
      <c r="S19" s="87"/>
      <c r="T19" s="87"/>
      <c r="U19" s="87"/>
      <c r="V19" s="87"/>
      <c r="W19" s="87"/>
    </row>
    <row r="20" spans="1:23" ht="17.25" customHeight="1">
      <c r="A20" s="87"/>
      <c r="B20" s="87"/>
      <c r="C20" s="87"/>
      <c r="D20" s="87"/>
      <c r="E20" s="1881" t="str">
        <f>"a. Đại diện TVGS thi công XD: "&amp;DVGS</f>
        <v>a. Đại diện TVGS thi công XD: Công ty TNHH Tư vấn Đầu tư Xây dựng Huy Đạt</v>
      </c>
      <c r="F20" s="1526"/>
      <c r="G20" s="1526"/>
      <c r="H20" s="1526"/>
      <c r="I20" s="1526"/>
      <c r="J20" s="1526"/>
      <c r="K20" s="1526"/>
      <c r="L20" s="1526"/>
      <c r="M20" s="1526"/>
      <c r="N20" s="1526"/>
      <c r="O20" s="1526"/>
      <c r="P20" s="1526"/>
      <c r="Q20" s="87"/>
      <c r="R20" s="87"/>
      <c r="S20" s="87"/>
      <c r="T20" s="87"/>
      <c r="U20" s="87">
        <f>ROW()</f>
        <v>20</v>
      </c>
      <c r="V20" s="87"/>
      <c r="W20" s="87"/>
    </row>
    <row r="21" spans="1:23">
      <c r="A21" s="87"/>
      <c r="B21" s="87"/>
      <c r="C21" s="87"/>
      <c r="D21" s="87"/>
      <c r="E21" s="356"/>
      <c r="F21" s="240" t="str">
        <f>GT_GS1</f>
        <v xml:space="preserve">Ông: </v>
      </c>
      <c r="G21" s="241" t="str">
        <f>CBGS1</f>
        <v>Trần Trọng Liêm</v>
      </c>
      <c r="H21" s="242"/>
      <c r="I21" s="242"/>
      <c r="J21" s="240"/>
      <c r="K21" s="357" t="s">
        <v>15</v>
      </c>
      <c r="L21" s="241" t="str">
        <f>CV_CBGS1</f>
        <v>Giám sát trưởng</v>
      </c>
      <c r="M21" s="331"/>
      <c r="N21" s="242"/>
      <c r="O21" s="244"/>
      <c r="P21" s="244"/>
      <c r="Q21" s="87"/>
      <c r="R21" s="87"/>
      <c r="S21" s="87"/>
      <c r="T21" s="87"/>
      <c r="U21" s="87"/>
      <c r="V21" s="87"/>
      <c r="W21" s="87"/>
    </row>
    <row r="22" spans="1:23">
      <c r="A22" s="87"/>
      <c r="B22" s="87"/>
      <c r="C22" s="87"/>
      <c r="D22" s="87"/>
      <c r="E22" s="356"/>
      <c r="F22" s="240" t="str">
        <f>GT_GS2</f>
        <v xml:space="preserve">Bà  : </v>
      </c>
      <c r="G22" s="241" t="str">
        <f>CBGS2</f>
        <v>Nguyễn Thị Minh</v>
      </c>
      <c r="H22" s="242"/>
      <c r="I22" s="242"/>
      <c r="J22" s="240"/>
      <c r="K22" s="357" t="s">
        <v>15</v>
      </c>
      <c r="L22" s="241" t="str">
        <f>CV_CBGS2</f>
        <v>Giám sát viên</v>
      </c>
      <c r="M22" s="242"/>
      <c r="N22" s="242"/>
      <c r="O22" s="244"/>
      <c r="P22" s="244"/>
      <c r="Q22" s="87"/>
      <c r="R22" s="87"/>
      <c r="S22" s="87"/>
      <c r="T22" s="87"/>
      <c r="U22" s="87"/>
      <c r="V22" s="87"/>
      <c r="W22" s="87"/>
    </row>
    <row r="23" spans="1:23" ht="17.25" customHeight="1">
      <c r="A23" s="87"/>
      <c r="B23" s="87"/>
      <c r="C23" s="87"/>
      <c r="D23" s="87"/>
      <c r="E23" s="1882" t="str">
        <f>"b. Đại diện đơn vị thi công:  "&amp;DVTC</f>
        <v>b. Đại diện đơn vị thi công:  Công ty TNHH Xây dựng Thịnh Dũng</v>
      </c>
      <c r="F23" s="1615"/>
      <c r="G23" s="1615"/>
      <c r="H23" s="1615"/>
      <c r="I23" s="1615"/>
      <c r="J23" s="1615"/>
      <c r="K23" s="1615"/>
      <c r="L23" s="1615"/>
      <c r="M23" s="1615"/>
      <c r="N23" s="1615"/>
      <c r="O23" s="1615"/>
      <c r="P23" s="1615"/>
      <c r="Q23" s="87"/>
      <c r="R23" s="87"/>
      <c r="S23" s="87"/>
      <c r="T23" s="87"/>
      <c r="U23" s="87">
        <f>ROW()</f>
        <v>23</v>
      </c>
      <c r="V23" s="87"/>
      <c r="W23" s="87"/>
    </row>
    <row r="24" spans="1:23">
      <c r="A24" s="87"/>
      <c r="B24" s="87"/>
      <c r="C24" s="87"/>
      <c r="D24" s="87"/>
      <c r="E24" s="245"/>
      <c r="F24" s="240" t="str">
        <f>GT_CBKT1</f>
        <v xml:space="preserve">Ông: </v>
      </c>
      <c r="G24" s="246" t="str">
        <f>CBKT1</f>
        <v>Hoàng Đình Tảng</v>
      </c>
      <c r="H24" s="235"/>
      <c r="I24" s="235"/>
      <c r="J24" s="235"/>
      <c r="K24" s="357" t="s">
        <v>15</v>
      </c>
      <c r="L24" s="1887" t="str">
        <f>CV_CBKT1</f>
        <v>Chỉ huy công trường</v>
      </c>
      <c r="M24" s="1887"/>
      <c r="N24" s="1887"/>
      <c r="O24" s="1887"/>
      <c r="P24" s="1887"/>
      <c r="Q24" s="87"/>
      <c r="R24" s="87"/>
      <c r="S24" s="87"/>
      <c r="T24" s="87"/>
      <c r="U24" s="87"/>
      <c r="V24" s="87"/>
      <c r="W24" s="87"/>
    </row>
    <row r="25" spans="1:23">
      <c r="A25" s="87"/>
      <c r="B25" s="87"/>
      <c r="C25" s="87"/>
      <c r="D25" s="87"/>
      <c r="E25" s="245"/>
      <c r="F25" s="240" t="str">
        <f>GT_CBKT2</f>
        <v xml:space="preserve">Ông: </v>
      </c>
      <c r="G25" s="246" t="str">
        <f>CBKT2</f>
        <v>Lê Thiên Phương</v>
      </c>
      <c r="H25" s="235"/>
      <c r="I25" s="235"/>
      <c r="J25" s="235"/>
      <c r="K25" s="357" t="s">
        <v>15</v>
      </c>
      <c r="L25" s="41" t="str">
        <f>CV_CBKT2</f>
        <v>Kỹ thuật thi công</v>
      </c>
      <c r="M25" s="238"/>
      <c r="N25" s="238"/>
      <c r="O25" s="238"/>
      <c r="P25" s="238"/>
      <c r="Q25" s="87"/>
      <c r="R25" s="87"/>
      <c r="S25" s="87"/>
      <c r="T25" s="87"/>
      <c r="U25" s="87"/>
      <c r="V25" s="87"/>
      <c r="W25" s="87"/>
    </row>
    <row r="26" spans="1:23">
      <c r="A26" s="87"/>
      <c r="B26" s="87"/>
      <c r="C26" s="87"/>
      <c r="D26" s="87"/>
      <c r="E26" s="237" t="s">
        <v>163</v>
      </c>
      <c r="F26" s="238"/>
      <c r="G26" s="238"/>
      <c r="H26" s="238"/>
      <c r="I26" s="238"/>
      <c r="J26" s="238"/>
      <c r="K26" s="248"/>
      <c r="L26" s="248"/>
      <c r="M26" s="238"/>
      <c r="N26" s="238"/>
      <c r="O26" s="244"/>
      <c r="P26" s="244"/>
      <c r="Q26" s="87"/>
      <c r="R26" s="87"/>
      <c r="S26" s="87"/>
      <c r="T26" s="87"/>
      <c r="U26" s="87"/>
      <c r="V26" s="87"/>
      <c r="W26" s="87"/>
    </row>
    <row r="27" spans="1:23">
      <c r="A27" s="87"/>
      <c r="B27" s="87"/>
      <c r="C27" s="87"/>
      <c r="D27" s="87"/>
      <c r="E27" s="249"/>
      <c r="F27" s="250" t="str">
        <f>"- Bắt đầu: ...... giờ ...... phút "&amp;", ngày  "&amp;DAY(Nhattrinh!K11)&amp;" tháng  "&amp;MONTH(Nhattrinh!K11 )&amp;"  năm "&amp;YEAR(Nhattrinh!K11 )</f>
        <v>- Bắt đầu: ...... giờ ...... phút , ngày  6 tháng  5  năm 2020</v>
      </c>
      <c r="G27" s="331"/>
      <c r="H27" s="251"/>
      <c r="I27" s="251"/>
      <c r="J27" s="252"/>
      <c r="K27" s="252"/>
      <c r="L27" s="252"/>
      <c r="M27" s="252"/>
      <c r="N27" s="252"/>
      <c r="O27" s="252"/>
      <c r="P27" s="249"/>
      <c r="Q27" s="87"/>
      <c r="R27" s="87"/>
      <c r="S27" s="87"/>
      <c r="T27" s="87"/>
      <c r="U27" s="87"/>
      <c r="V27" s="87"/>
      <c r="W27" s="87"/>
    </row>
    <row r="28" spans="1:23">
      <c r="A28" s="87"/>
      <c r="B28" s="87"/>
      <c r="C28" s="87"/>
      <c r="D28" s="87"/>
      <c r="E28" s="249"/>
      <c r="F28" s="250" t="str">
        <f>"- Kết thúc: ...... giờ ...... Phút"&amp;", ngày  "&amp;DAY(Nhattrinh!K11)&amp;" tháng  "&amp;MONTH(Nhattrinh!K11 )&amp;"  năm "&amp;YEAR(Nhattrinh!K11 )</f>
        <v>- Kết thúc: ...... giờ ...... Phút, ngày  6 tháng  5  năm 2020</v>
      </c>
      <c r="G28" s="331"/>
      <c r="H28" s="251"/>
      <c r="I28" s="251"/>
      <c r="J28" s="252"/>
      <c r="K28" s="252"/>
      <c r="L28" s="252"/>
      <c r="M28" s="252"/>
      <c r="N28" s="252"/>
      <c r="O28" s="252"/>
      <c r="P28" s="249"/>
      <c r="Q28" s="87"/>
      <c r="R28" s="87"/>
      <c r="S28" s="87"/>
      <c r="T28" s="87"/>
      <c r="U28" s="87"/>
      <c r="V28" s="87"/>
      <c r="W28" s="87"/>
    </row>
    <row r="29" spans="1:23" ht="36.6" customHeight="1">
      <c r="A29" s="87"/>
      <c r="B29" s="87"/>
      <c r="C29" s="87"/>
      <c r="D29" s="87"/>
      <c r="E29" s="1886" t="str">
        <f>"- Vị trí: Tại công trường "&amp;NDtieude1</f>
        <v>- Vị trí: Tại công trường Gia cố nâng cấp kênh Bà Xoài từ K0+300÷K0+600 - Hệ thống thủy lợi Nha Trinh, huyện Ninh Hải, tỉnh Ninh Thuận</v>
      </c>
      <c r="F29" s="1886"/>
      <c r="G29" s="1886"/>
      <c r="H29" s="1886"/>
      <c r="I29" s="1886"/>
      <c r="J29" s="1886"/>
      <c r="K29" s="1886"/>
      <c r="L29" s="1886"/>
      <c r="M29" s="1886"/>
      <c r="N29" s="1886"/>
      <c r="O29" s="1886"/>
      <c r="P29" s="1886"/>
      <c r="Q29" s="87"/>
      <c r="R29" s="87"/>
      <c r="S29" s="87"/>
      <c r="T29" s="87"/>
      <c r="U29" s="87">
        <f>ROW()</f>
        <v>29</v>
      </c>
      <c r="V29" s="87"/>
      <c r="W29" s="87"/>
    </row>
    <row r="30" spans="1:23">
      <c r="A30" s="87"/>
      <c r="B30" s="87"/>
      <c r="C30" s="87"/>
      <c r="D30" s="87"/>
      <c r="E30" s="1883" t="s">
        <v>252</v>
      </c>
      <c r="F30" s="1883"/>
      <c r="G30" s="1883"/>
      <c r="H30" s="1883"/>
      <c r="I30" s="1883"/>
      <c r="J30" s="1883"/>
      <c r="K30" s="1883"/>
      <c r="L30" s="1883"/>
      <c r="M30" s="1883"/>
      <c r="N30" s="1883"/>
      <c r="O30" s="1883"/>
      <c r="P30" s="1883"/>
      <c r="Q30" s="87"/>
      <c r="R30" s="87"/>
      <c r="S30" s="87"/>
      <c r="T30" s="87"/>
      <c r="U30" s="87"/>
      <c r="V30" s="87"/>
      <c r="W30" s="87"/>
    </row>
    <row r="31" spans="1:23" ht="17.25">
      <c r="A31" s="87"/>
      <c r="B31" s="87"/>
      <c r="C31" s="87"/>
      <c r="D31" s="87"/>
      <c r="E31" s="358" t="s">
        <v>265</v>
      </c>
      <c r="F31" s="359"/>
      <c r="G31" s="359"/>
      <c r="H31" s="359"/>
      <c r="I31" s="359"/>
      <c r="J31" s="359"/>
      <c r="K31" s="359"/>
      <c r="L31" s="359"/>
      <c r="M31" s="359"/>
      <c r="N31" s="359"/>
      <c r="O31" s="359"/>
      <c r="P31" s="359"/>
      <c r="Q31" s="87"/>
      <c r="R31" s="87"/>
      <c r="S31" s="87"/>
      <c r="T31" s="87"/>
      <c r="U31" s="87"/>
      <c r="V31" s="87"/>
      <c r="W31" s="87"/>
    </row>
    <row r="32" spans="1:23">
      <c r="A32" s="87"/>
      <c r="B32" s="87"/>
      <c r="C32" s="87"/>
      <c r="D32" s="87"/>
      <c r="E32" s="1868" t="s">
        <v>4232</v>
      </c>
      <c r="F32" s="1868"/>
      <c r="G32" s="1868"/>
      <c r="H32" s="1868"/>
      <c r="I32" s="1868"/>
      <c r="J32" s="1868"/>
      <c r="K32" s="1868"/>
      <c r="L32" s="1868"/>
      <c r="M32" s="1868"/>
      <c r="N32" s="1868"/>
      <c r="O32" s="1868"/>
      <c r="P32" s="1868"/>
      <c r="Q32" s="87"/>
      <c r="R32" s="87"/>
      <c r="S32" s="87"/>
      <c r="T32" s="87"/>
      <c r="U32" s="87"/>
      <c r="V32" s="87"/>
      <c r="W32" s="87"/>
    </row>
    <row r="33" spans="1:23">
      <c r="A33" s="87"/>
      <c r="B33" s="87"/>
      <c r="C33" s="87"/>
      <c r="D33" s="87"/>
      <c r="E33" s="1884" t="s">
        <v>5283</v>
      </c>
      <c r="F33" s="1885"/>
      <c r="G33" s="1885"/>
      <c r="H33" s="1885"/>
      <c r="I33" s="1885"/>
      <c r="J33" s="1885"/>
      <c r="K33" s="1885"/>
      <c r="L33" s="1885"/>
      <c r="M33" s="1885"/>
      <c r="N33" s="1885"/>
      <c r="O33" s="1885"/>
      <c r="P33" s="1885"/>
      <c r="Q33" s="87"/>
      <c r="R33" s="87"/>
      <c r="S33" s="87"/>
      <c r="T33" s="87"/>
      <c r="U33" s="87"/>
      <c r="V33" s="87"/>
      <c r="W33" s="87"/>
    </row>
    <row r="34" spans="1:23" ht="36.6" customHeight="1">
      <c r="A34" s="87"/>
      <c r="B34" s="87"/>
      <c r="C34" s="87"/>
      <c r="D34" s="87"/>
      <c r="E34" s="1455" t="str">
        <f>"-       Hợp đồng số "&amp;Hopdong&amp;" giữa "&amp;CĐT&amp;" và "&amp;DVTC</f>
        <v>-       Hợp đồng số 01/2020/HĐXD-TD ngày 28 tháng 04 năm 2020 giữa Công ty TNHH MTV khai thác công trình thủy lợi Ninh Thuận và Công ty TNHH Xây dựng Thịnh Dũng</v>
      </c>
      <c r="F34" s="1455"/>
      <c r="G34" s="1455"/>
      <c r="H34" s="1455"/>
      <c r="I34" s="1455"/>
      <c r="J34" s="1455"/>
      <c r="K34" s="1455"/>
      <c r="L34" s="1455"/>
      <c r="M34" s="1455"/>
      <c r="N34" s="1455"/>
      <c r="O34" s="1455"/>
      <c r="P34" s="1455"/>
      <c r="Q34" s="87"/>
      <c r="R34" s="87"/>
      <c r="S34" s="87"/>
      <c r="T34" s="87"/>
      <c r="U34" s="87">
        <f>ROW()</f>
        <v>34</v>
      </c>
      <c r="V34" s="87"/>
      <c r="W34" s="87"/>
    </row>
    <row r="35" spans="1:23">
      <c r="A35" s="87"/>
      <c r="B35" s="87"/>
      <c r="C35" s="87"/>
      <c r="D35" s="87"/>
      <c r="E35" s="1868" t="s">
        <v>4233</v>
      </c>
      <c r="F35" s="1868"/>
      <c r="G35" s="1868"/>
      <c r="H35" s="1868"/>
      <c r="I35" s="1868"/>
      <c r="J35" s="1868"/>
      <c r="K35" s="1868"/>
      <c r="L35" s="1868"/>
      <c r="M35" s="1868"/>
      <c r="N35" s="1868"/>
      <c r="O35" s="1868"/>
      <c r="P35" s="1868"/>
      <c r="Q35" s="87"/>
      <c r="R35" s="87"/>
      <c r="S35" s="87"/>
      <c r="T35" s="87"/>
      <c r="U35" s="87"/>
      <c r="V35" s="87"/>
      <c r="W35" s="87"/>
    </row>
    <row r="36" spans="1:23">
      <c r="A36" s="87"/>
      <c r="B36" s="87"/>
      <c r="C36" s="87"/>
      <c r="D36" s="87"/>
      <c r="E36" s="1867" t="s">
        <v>271</v>
      </c>
      <c r="F36" s="1868"/>
      <c r="G36" s="1868"/>
      <c r="H36" s="1868"/>
      <c r="I36" s="1868"/>
      <c r="J36" s="1868"/>
      <c r="K36" s="1868"/>
      <c r="L36" s="1868"/>
      <c r="M36" s="1868"/>
      <c r="N36" s="1868"/>
      <c r="O36" s="1868"/>
      <c r="P36" s="1868"/>
      <c r="Q36" s="87"/>
      <c r="R36" s="87"/>
      <c r="S36" s="87"/>
      <c r="T36" s="87"/>
      <c r="U36" s="87"/>
      <c r="V36" s="87"/>
      <c r="W36" s="87"/>
    </row>
    <row r="37" spans="1:23">
      <c r="A37" s="87"/>
      <c r="B37" s="87"/>
      <c r="C37" s="87"/>
      <c r="D37" s="87"/>
      <c r="E37" s="1867" t="s">
        <v>272</v>
      </c>
      <c r="F37" s="1868"/>
      <c r="G37" s="1868"/>
      <c r="H37" s="1868"/>
      <c r="I37" s="1868"/>
      <c r="J37" s="1868"/>
      <c r="K37" s="1868"/>
      <c r="L37" s="1868"/>
      <c r="M37" s="1868"/>
      <c r="N37" s="1868"/>
      <c r="O37" s="1868"/>
      <c r="P37" s="1868"/>
      <c r="Q37" s="87"/>
      <c r="R37" s="87"/>
      <c r="S37" s="87"/>
      <c r="T37" s="87"/>
      <c r="U37" s="87"/>
      <c r="V37" s="87"/>
      <c r="W37" s="87"/>
    </row>
    <row r="38" spans="1:23" ht="32.25" customHeight="1">
      <c r="A38" s="87"/>
      <c r="B38" s="87"/>
      <c r="C38" s="87"/>
      <c r="D38" s="87"/>
      <c r="E38" s="1833" t="s">
        <v>273</v>
      </c>
      <c r="F38" s="1827"/>
      <c r="G38" s="1827"/>
      <c r="H38" s="1827"/>
      <c r="I38" s="1827"/>
      <c r="J38" s="1827"/>
      <c r="K38" s="1827"/>
      <c r="L38" s="1827"/>
      <c r="M38" s="1827"/>
      <c r="N38" s="1827"/>
      <c r="O38" s="1827"/>
      <c r="P38" s="1827"/>
      <c r="Q38" s="87"/>
      <c r="R38" s="87"/>
      <c r="S38" s="87"/>
      <c r="T38" s="87"/>
      <c r="U38" s="87"/>
      <c r="V38" s="87"/>
      <c r="W38" s="87"/>
    </row>
    <row r="39" spans="1:23">
      <c r="A39" s="87"/>
      <c r="B39" s="87"/>
      <c r="C39" s="87"/>
      <c r="D39" s="87"/>
      <c r="E39" s="1868" t="s">
        <v>4234</v>
      </c>
      <c r="F39" s="1868"/>
      <c r="G39" s="1868"/>
      <c r="H39" s="1868"/>
      <c r="I39" s="1868"/>
      <c r="J39" s="1868"/>
      <c r="K39" s="1868"/>
      <c r="L39" s="1868"/>
      <c r="M39" s="1868"/>
      <c r="N39" s="1868"/>
      <c r="O39" s="1868"/>
      <c r="P39" s="1868"/>
      <c r="Q39" s="87"/>
      <c r="R39" s="87"/>
      <c r="S39" s="87"/>
      <c r="T39" s="87"/>
      <c r="U39" s="87"/>
      <c r="V39" s="87"/>
      <c r="W39" s="87"/>
    </row>
    <row r="40" spans="1:23" ht="16.5" customHeight="1">
      <c r="A40" s="87"/>
      <c r="B40" s="87"/>
      <c r="C40" s="87"/>
      <c r="D40" s="87"/>
      <c r="E40" s="1880" t="s">
        <v>253</v>
      </c>
      <c r="F40" s="1880"/>
      <c r="G40" s="1880"/>
      <c r="H40" s="1880"/>
      <c r="I40" s="1880"/>
      <c r="J40" s="1880"/>
      <c r="K40" s="1880"/>
      <c r="L40" s="1880"/>
      <c r="M40" s="1880"/>
      <c r="N40" s="1880"/>
      <c r="O40" s="1880"/>
      <c r="P40" s="1880"/>
      <c r="Q40" s="87"/>
      <c r="R40" s="87"/>
      <c r="S40" s="87"/>
      <c r="T40" s="87"/>
      <c r="U40" s="87"/>
      <c r="V40" s="87"/>
      <c r="W40" s="87"/>
    </row>
    <row r="41" spans="1:23" ht="16.5" customHeight="1">
      <c r="A41" s="87"/>
      <c r="B41" s="87"/>
      <c r="C41" s="87"/>
      <c r="D41" s="87"/>
      <c r="E41" s="1868" t="s">
        <v>264</v>
      </c>
      <c r="F41" s="1868"/>
      <c r="G41" s="1868"/>
      <c r="H41" s="1868"/>
      <c r="I41" s="1868"/>
      <c r="J41" s="1868"/>
      <c r="K41" s="1868"/>
      <c r="L41" s="1868"/>
      <c r="M41" s="1868"/>
      <c r="N41" s="1868"/>
      <c r="O41" s="1868"/>
      <c r="P41" s="1868"/>
      <c r="Q41" s="87"/>
      <c r="R41" s="87"/>
      <c r="S41" s="87"/>
      <c r="T41" s="87"/>
      <c r="U41" s="87"/>
      <c r="V41" s="87"/>
      <c r="W41" s="87"/>
    </row>
    <row r="42" spans="1:23" ht="17.25" customHeight="1">
      <c r="A42" s="87"/>
      <c r="B42" s="87"/>
      <c r="C42" s="87"/>
      <c r="D42" s="87"/>
      <c r="E42" s="1868" t="s">
        <v>274</v>
      </c>
      <c r="F42" s="1868"/>
      <c r="G42" s="1868"/>
      <c r="H42" s="1868"/>
      <c r="I42" s="1868"/>
      <c r="J42" s="1868"/>
      <c r="K42" s="1868"/>
      <c r="L42" s="1868"/>
      <c r="M42" s="1868"/>
      <c r="N42" s="1868"/>
      <c r="O42" s="1868"/>
      <c r="P42" s="1868"/>
      <c r="Q42" s="87"/>
      <c r="R42" s="87"/>
      <c r="S42" s="87"/>
      <c r="T42" s="87"/>
      <c r="U42" s="87"/>
      <c r="V42" s="87"/>
      <c r="W42" s="87"/>
    </row>
    <row r="43" spans="1:23" ht="53.25" customHeight="1">
      <c r="A43" s="87"/>
      <c r="B43" s="87"/>
      <c r="C43" s="87"/>
      <c r="D43" s="87"/>
      <c r="E43" s="360" t="s">
        <v>254</v>
      </c>
      <c r="F43" s="1877" t="s">
        <v>255</v>
      </c>
      <c r="G43" s="1877"/>
      <c r="H43" s="1877"/>
      <c r="I43" s="1877" t="s">
        <v>256</v>
      </c>
      <c r="J43" s="1877"/>
      <c r="K43" s="1877"/>
      <c r="L43" s="360" t="s">
        <v>151</v>
      </c>
      <c r="M43" s="1877" t="s">
        <v>257</v>
      </c>
      <c r="N43" s="1877"/>
      <c r="O43" s="1877" t="s">
        <v>258</v>
      </c>
      <c r="P43" s="1877"/>
      <c r="Q43" s="87"/>
      <c r="R43" s="87"/>
      <c r="S43" s="87"/>
      <c r="T43" s="87"/>
      <c r="U43" s="87"/>
      <c r="V43" s="87"/>
      <c r="W43" s="87"/>
    </row>
    <row r="44" spans="1:23">
      <c r="A44" s="87"/>
      <c r="B44" s="87"/>
      <c r="C44" s="87"/>
      <c r="D44" s="87"/>
      <c r="E44" s="361"/>
      <c r="F44" s="1879" t="s">
        <v>6212</v>
      </c>
      <c r="G44" s="1879"/>
      <c r="H44" s="1879"/>
      <c r="I44" s="1879"/>
      <c r="J44" s="1879"/>
      <c r="K44" s="1879"/>
      <c r="L44" s="361"/>
      <c r="M44" s="1879"/>
      <c r="N44" s="1879"/>
      <c r="O44" s="1879"/>
      <c r="P44" s="1879"/>
      <c r="Q44" s="87"/>
      <c r="R44" s="87"/>
      <c r="S44" s="87"/>
      <c r="T44" s="87"/>
      <c r="U44" s="87"/>
      <c r="V44" s="87"/>
      <c r="W44" s="87"/>
    </row>
    <row r="45" spans="1:23">
      <c r="A45" s="87"/>
      <c r="B45" s="87"/>
      <c r="C45" s="87"/>
      <c r="D45" s="87"/>
      <c r="E45" s="362"/>
      <c r="F45" s="1870"/>
      <c r="G45" s="1870"/>
      <c r="H45" s="1870"/>
      <c r="I45" s="1870"/>
      <c r="J45" s="1870"/>
      <c r="K45" s="1870"/>
      <c r="L45" s="362"/>
      <c r="M45" s="1870"/>
      <c r="N45" s="1870"/>
      <c r="O45" s="1870"/>
      <c r="P45" s="1870"/>
      <c r="Q45" s="87"/>
      <c r="R45" s="87"/>
      <c r="S45" s="87"/>
      <c r="T45" s="87"/>
      <c r="U45" s="87"/>
      <c r="V45" s="87"/>
      <c r="W45" s="87"/>
    </row>
    <row r="46" spans="1:23">
      <c r="A46" s="87"/>
      <c r="B46" s="87"/>
      <c r="C46" s="87"/>
      <c r="D46" s="87"/>
      <c r="E46" s="362"/>
      <c r="F46" s="1870"/>
      <c r="G46" s="1870"/>
      <c r="H46" s="1870"/>
      <c r="I46" s="1870"/>
      <c r="J46" s="1870"/>
      <c r="K46" s="1870"/>
      <c r="L46" s="362"/>
      <c r="M46" s="1870"/>
      <c r="N46" s="1870"/>
      <c r="O46" s="1870"/>
      <c r="P46" s="1870"/>
      <c r="Q46" s="87"/>
      <c r="R46" s="87"/>
      <c r="S46" s="87"/>
      <c r="T46" s="87"/>
      <c r="U46" s="87"/>
      <c r="V46" s="87"/>
      <c r="W46" s="87"/>
    </row>
    <row r="47" spans="1:23">
      <c r="A47" s="87"/>
      <c r="B47" s="87"/>
      <c r="C47" s="87"/>
      <c r="D47" s="87"/>
      <c r="E47" s="362"/>
      <c r="F47" s="1870"/>
      <c r="G47" s="1870"/>
      <c r="H47" s="1870"/>
      <c r="I47" s="1870"/>
      <c r="J47" s="1870"/>
      <c r="K47" s="1870"/>
      <c r="L47" s="362"/>
      <c r="M47" s="1870"/>
      <c r="N47" s="1870"/>
      <c r="O47" s="1870"/>
      <c r="P47" s="1870"/>
      <c r="Q47" s="87"/>
      <c r="R47" s="87"/>
      <c r="S47" s="87"/>
      <c r="T47" s="87"/>
      <c r="U47" s="87"/>
      <c r="V47" s="87"/>
      <c r="W47" s="87"/>
    </row>
    <row r="48" spans="1:23">
      <c r="A48" s="87"/>
      <c r="B48" s="87"/>
      <c r="C48" s="87"/>
      <c r="D48" s="87"/>
      <c r="E48" s="362"/>
      <c r="F48" s="1870"/>
      <c r="G48" s="1870"/>
      <c r="H48" s="1870"/>
      <c r="I48" s="1870"/>
      <c r="J48" s="1870"/>
      <c r="K48" s="1870"/>
      <c r="L48" s="362"/>
      <c r="M48" s="1870"/>
      <c r="N48" s="1870"/>
      <c r="O48" s="1870"/>
      <c r="P48" s="1870"/>
      <c r="Q48" s="87"/>
      <c r="R48" s="87"/>
      <c r="S48" s="87"/>
      <c r="T48" s="87"/>
      <c r="U48" s="87"/>
      <c r="V48" s="87"/>
      <c r="W48" s="87"/>
    </row>
    <row r="49" spans="1:23">
      <c r="A49" s="87"/>
      <c r="B49" s="87"/>
      <c r="C49" s="87"/>
      <c r="D49" s="87"/>
      <c r="E49" s="362"/>
      <c r="F49" s="1870"/>
      <c r="G49" s="1870"/>
      <c r="H49" s="1870"/>
      <c r="I49" s="1870"/>
      <c r="J49" s="1870"/>
      <c r="K49" s="1870"/>
      <c r="L49" s="362"/>
      <c r="M49" s="1870"/>
      <c r="N49" s="1870"/>
      <c r="O49" s="1870"/>
      <c r="P49" s="1870"/>
      <c r="Q49" s="87"/>
      <c r="R49" s="87"/>
      <c r="S49" s="87"/>
      <c r="T49" s="87"/>
      <c r="U49" s="87"/>
      <c r="V49" s="87"/>
      <c r="W49" s="87"/>
    </row>
    <row r="50" spans="1:23">
      <c r="A50" s="87"/>
      <c r="B50" s="87"/>
      <c r="C50" s="87"/>
      <c r="D50" s="87"/>
      <c r="E50" s="362"/>
      <c r="F50" s="1870"/>
      <c r="G50" s="1870"/>
      <c r="H50" s="1870"/>
      <c r="I50" s="1870"/>
      <c r="J50" s="1870"/>
      <c r="K50" s="1870"/>
      <c r="L50" s="362"/>
      <c r="M50" s="1870"/>
      <c r="N50" s="1870"/>
      <c r="O50" s="1870"/>
      <c r="P50" s="1870"/>
      <c r="Q50" s="87"/>
      <c r="R50" s="87"/>
      <c r="S50" s="87"/>
      <c r="T50" s="87"/>
      <c r="U50" s="87"/>
      <c r="V50" s="87"/>
      <c r="W50" s="87"/>
    </row>
    <row r="51" spans="1:23">
      <c r="A51" s="87"/>
      <c r="B51" s="87"/>
      <c r="C51" s="87"/>
      <c r="D51" s="87"/>
      <c r="E51" s="363"/>
      <c r="F51" s="1871"/>
      <c r="G51" s="1871"/>
      <c r="H51" s="1871"/>
      <c r="I51" s="1871"/>
      <c r="J51" s="1871"/>
      <c r="K51" s="1871"/>
      <c r="L51" s="363"/>
      <c r="M51" s="1871"/>
      <c r="N51" s="1871"/>
      <c r="O51" s="1871"/>
      <c r="P51" s="1871"/>
      <c r="Q51" s="87"/>
      <c r="R51" s="87"/>
      <c r="S51" s="87"/>
      <c r="T51" s="87"/>
      <c r="U51" s="87"/>
      <c r="V51" s="87"/>
      <c r="W51" s="87"/>
    </row>
    <row r="52" spans="1:23" ht="17.25" customHeight="1">
      <c r="A52" s="87"/>
      <c r="B52" s="87"/>
      <c r="C52" s="87"/>
      <c r="D52" s="87"/>
      <c r="E52" s="1876" t="s">
        <v>275</v>
      </c>
      <c r="F52" s="1876"/>
      <c r="G52" s="1876"/>
      <c r="H52" s="1876"/>
      <c r="I52" s="1876"/>
      <c r="J52" s="1876"/>
      <c r="K52" s="1876"/>
      <c r="L52" s="1876"/>
      <c r="M52" s="1876"/>
      <c r="N52" s="1876"/>
      <c r="O52" s="1876"/>
      <c r="P52" s="1876"/>
      <c r="Q52" s="87"/>
      <c r="R52" s="87"/>
      <c r="S52" s="87"/>
      <c r="T52" s="87"/>
      <c r="U52" s="87"/>
      <c r="V52" s="87"/>
      <c r="W52" s="87"/>
    </row>
    <row r="53" spans="1:23" ht="37.5" customHeight="1">
      <c r="A53" s="87"/>
      <c r="B53" s="87"/>
      <c r="C53" s="87"/>
      <c r="D53" s="87"/>
      <c r="E53" s="360" t="s">
        <v>254</v>
      </c>
      <c r="F53" s="1877" t="s">
        <v>259</v>
      </c>
      <c r="G53" s="1877"/>
      <c r="H53" s="1877"/>
      <c r="I53" s="1877"/>
      <c r="J53" s="1877" t="s">
        <v>260</v>
      </c>
      <c r="K53" s="1877"/>
      <c r="L53" s="1877"/>
      <c r="M53" s="1877" t="s">
        <v>258</v>
      </c>
      <c r="N53" s="1877"/>
      <c r="O53" s="1877"/>
      <c r="P53" s="1877"/>
      <c r="Q53" s="87"/>
      <c r="R53" s="87"/>
      <c r="S53" s="87"/>
      <c r="T53" s="87"/>
      <c r="U53" s="87"/>
      <c r="V53" s="87"/>
      <c r="W53" s="87"/>
    </row>
    <row r="54" spans="1:23">
      <c r="A54" s="87"/>
      <c r="B54" s="87"/>
      <c r="C54" s="87"/>
      <c r="D54" s="87"/>
      <c r="E54" s="361">
        <f>IF(F54&lt;&gt;"",1,"")</f>
        <v>1</v>
      </c>
      <c r="F54" s="1878" t="str">
        <f>CBKT1</f>
        <v>Hoàng Đình Tảng</v>
      </c>
      <c r="G54" s="1878"/>
      <c r="H54" s="1878"/>
      <c r="I54" s="1878"/>
      <c r="J54" s="1878" t="str">
        <f>CV_CBGS1</f>
        <v>Giám sát trưởng</v>
      </c>
      <c r="K54" s="1878"/>
      <c r="L54" s="1878"/>
      <c r="M54" s="1879" t="str">
        <f t="shared" ref="M54:M59" si="0">IF(F54&lt;&gt;"","Đạt","")</f>
        <v>Đạt</v>
      </c>
      <c r="N54" s="1879"/>
      <c r="O54" s="1879"/>
      <c r="P54" s="1879"/>
      <c r="Q54" s="87"/>
      <c r="R54" s="87"/>
      <c r="S54" s="87"/>
      <c r="T54" s="87"/>
      <c r="U54" s="87"/>
      <c r="V54" s="87"/>
      <c r="W54" s="87"/>
    </row>
    <row r="55" spans="1:23">
      <c r="A55" s="87"/>
      <c r="B55" s="87"/>
      <c r="C55" s="87"/>
      <c r="D55" s="87"/>
      <c r="E55" s="362">
        <f>IF(F55&lt;&gt;"",MAX($E$54:E54)+1,"")</f>
        <v>2</v>
      </c>
      <c r="F55" s="1869" t="str">
        <f>CBKT2</f>
        <v>Lê Thiên Phương</v>
      </c>
      <c r="G55" s="1869"/>
      <c r="H55" s="1869"/>
      <c r="I55" s="1869"/>
      <c r="J55" s="1869" t="str">
        <f>CV_CBKT1</f>
        <v>Chỉ huy công trường</v>
      </c>
      <c r="K55" s="1869"/>
      <c r="L55" s="1869"/>
      <c r="M55" s="1870" t="str">
        <f t="shared" si="0"/>
        <v>Đạt</v>
      </c>
      <c r="N55" s="1870"/>
      <c r="O55" s="1870"/>
      <c r="P55" s="1870"/>
      <c r="Q55" s="87"/>
      <c r="R55" s="87"/>
      <c r="S55" s="87"/>
      <c r="T55" s="87"/>
      <c r="U55" s="87"/>
      <c r="V55" s="87"/>
      <c r="W55" s="87"/>
    </row>
    <row r="56" spans="1:23">
      <c r="A56" s="87"/>
      <c r="B56" s="87"/>
      <c r="C56" s="87"/>
      <c r="D56" s="87"/>
      <c r="E56" s="362">
        <f>IF(F56&lt;&gt;"",MAX($E$54:E55)+1,"")</f>
        <v>3</v>
      </c>
      <c r="F56" s="1869" t="str">
        <f>KCS1_</f>
        <v>Nguyễn Văn Hải</v>
      </c>
      <c r="G56" s="1869"/>
      <c r="H56" s="1869"/>
      <c r="I56" s="1869"/>
      <c r="J56" s="1869" t="str">
        <f>CV_KCS1</f>
        <v>Cán bộ KCS</v>
      </c>
      <c r="K56" s="1869"/>
      <c r="L56" s="1869"/>
      <c r="M56" s="1870" t="str">
        <f t="shared" si="0"/>
        <v>Đạt</v>
      </c>
      <c r="N56" s="1870"/>
      <c r="O56" s="1870"/>
      <c r="P56" s="1870"/>
      <c r="Q56" s="87"/>
      <c r="R56" s="87"/>
      <c r="S56" s="87"/>
      <c r="T56" s="87"/>
      <c r="U56" s="87"/>
      <c r="V56" s="87"/>
      <c r="W56" s="87"/>
    </row>
    <row r="57" spans="1:23">
      <c r="A57" s="87"/>
      <c r="B57" s="87"/>
      <c r="C57" s="87"/>
      <c r="D57" s="87"/>
      <c r="E57" s="362" t="str">
        <f>IF(F57&lt;&gt;"",MAX($E$54:E56)+1,"")</f>
        <v/>
      </c>
      <c r="F57" s="1870"/>
      <c r="G57" s="1870"/>
      <c r="H57" s="1870"/>
      <c r="I57" s="1870"/>
      <c r="J57" s="1870"/>
      <c r="K57" s="1870"/>
      <c r="L57" s="1870"/>
      <c r="M57" s="1870" t="str">
        <f t="shared" si="0"/>
        <v/>
      </c>
      <c r="N57" s="1870"/>
      <c r="O57" s="1870"/>
      <c r="P57" s="1870"/>
      <c r="Q57" s="87"/>
      <c r="R57" s="87"/>
      <c r="S57" s="87"/>
      <c r="T57" s="87"/>
      <c r="U57" s="87"/>
      <c r="V57" s="87"/>
      <c r="W57" s="87"/>
    </row>
    <row r="58" spans="1:23">
      <c r="A58" s="87"/>
      <c r="B58" s="87"/>
      <c r="C58" s="87"/>
      <c r="D58" s="87"/>
      <c r="E58" s="362" t="str">
        <f>IF(F58&lt;&gt;"",MAX($E$54:E57)+1,"")</f>
        <v/>
      </c>
      <c r="F58" s="1870"/>
      <c r="G58" s="1870"/>
      <c r="H58" s="1870"/>
      <c r="I58" s="1870"/>
      <c r="J58" s="1870"/>
      <c r="K58" s="1870"/>
      <c r="L58" s="1870"/>
      <c r="M58" s="1870" t="str">
        <f t="shared" si="0"/>
        <v/>
      </c>
      <c r="N58" s="1870"/>
      <c r="O58" s="1870"/>
      <c r="P58" s="1870"/>
      <c r="Q58" s="87"/>
      <c r="R58" s="87"/>
      <c r="S58" s="87"/>
      <c r="T58" s="87"/>
      <c r="U58" s="87"/>
      <c r="V58" s="87"/>
      <c r="W58" s="87"/>
    </row>
    <row r="59" spans="1:23">
      <c r="A59" s="87"/>
      <c r="B59" s="87"/>
      <c r="C59" s="87"/>
      <c r="D59" s="87"/>
      <c r="E59" s="363" t="str">
        <f>IF(F59&lt;&gt;"",MAX($E$54:E58)+1,"")</f>
        <v/>
      </c>
      <c r="F59" s="1871"/>
      <c r="G59" s="1871"/>
      <c r="H59" s="1871"/>
      <c r="I59" s="1871"/>
      <c r="J59" s="1871"/>
      <c r="K59" s="1871"/>
      <c r="L59" s="1871"/>
      <c r="M59" s="1871" t="str">
        <f t="shared" si="0"/>
        <v/>
      </c>
      <c r="N59" s="1871"/>
      <c r="O59" s="1871"/>
      <c r="P59" s="1871"/>
      <c r="Q59" s="87"/>
      <c r="R59" s="87"/>
      <c r="S59" s="87"/>
      <c r="T59" s="87"/>
      <c r="U59" s="87"/>
      <c r="V59" s="87"/>
      <c r="W59" s="87"/>
    </row>
    <row r="60" spans="1:23">
      <c r="A60" s="87"/>
      <c r="B60" s="87"/>
      <c r="C60" s="87"/>
      <c r="D60" s="87"/>
      <c r="E60" s="1874" t="s">
        <v>276</v>
      </c>
      <c r="F60" s="1874"/>
      <c r="G60" s="1874"/>
      <c r="H60" s="1874"/>
      <c r="I60" s="1874"/>
      <c r="J60" s="1874"/>
      <c r="K60" s="1874"/>
      <c r="L60" s="1874"/>
      <c r="M60" s="1874"/>
      <c r="N60" s="1874"/>
      <c r="O60" s="1874"/>
      <c r="P60" s="1874"/>
      <c r="Q60" s="87"/>
      <c r="R60" s="87"/>
      <c r="S60" s="87"/>
      <c r="T60" s="87"/>
      <c r="U60" s="87"/>
      <c r="V60" s="87"/>
      <c r="W60" s="87"/>
    </row>
    <row r="61" spans="1:23">
      <c r="A61" s="87"/>
      <c r="B61" s="87"/>
      <c r="C61" s="87"/>
      <c r="D61" s="87"/>
      <c r="E61" s="371"/>
      <c r="F61" s="1875" t="s">
        <v>5282</v>
      </c>
      <c r="G61" s="1875"/>
      <c r="H61" s="1875"/>
      <c r="I61" s="1875"/>
      <c r="J61" s="1875"/>
      <c r="K61" s="1875"/>
      <c r="L61" s="1875"/>
      <c r="M61" s="1875"/>
      <c r="N61" s="1875"/>
      <c r="O61" s="1875"/>
      <c r="P61" s="1875"/>
      <c r="Q61" s="87"/>
      <c r="R61" s="87"/>
      <c r="S61" s="87"/>
      <c r="T61" s="87"/>
      <c r="U61" s="87"/>
      <c r="V61" s="87"/>
      <c r="W61" s="87"/>
    </row>
    <row r="62" spans="1:23">
      <c r="A62" s="87"/>
      <c r="B62" s="87"/>
      <c r="C62" s="87"/>
      <c r="D62" s="87"/>
      <c r="E62" s="371"/>
      <c r="F62" s="1875" t="str">
        <f>"+ Công nhân trực tiếp thi công: "&amp;IF(MAX(Tb_Thoitiet!$H$5:$H$600)&gt;0,MAX(Tb_Thoitiet!$H$5:$H$600),"      ")&amp;" người"</f>
        <v>+ Công nhân trực tiếp thi công:        người</v>
      </c>
      <c r="G62" s="1875"/>
      <c r="H62" s="1875"/>
      <c r="I62" s="1875"/>
      <c r="J62" s="1875"/>
      <c r="K62" s="1875"/>
      <c r="L62" s="1875"/>
      <c r="M62" s="1875"/>
      <c r="N62" s="1875"/>
      <c r="O62" s="1875"/>
      <c r="P62" s="1875"/>
      <c r="Q62" s="87"/>
      <c r="R62" s="87"/>
      <c r="S62" s="87"/>
      <c r="T62" s="87"/>
      <c r="U62" s="87"/>
      <c r="V62" s="87"/>
      <c r="W62" s="87"/>
    </row>
    <row r="63" spans="1:23" ht="17.25">
      <c r="A63" s="87"/>
      <c r="B63" s="87"/>
      <c r="C63" s="87"/>
      <c r="D63" s="87"/>
      <c r="E63" s="1872" t="s">
        <v>4235</v>
      </c>
      <c r="F63" s="1872"/>
      <c r="G63" s="1872"/>
      <c r="H63" s="1872"/>
      <c r="I63" s="1872"/>
      <c r="J63" s="1872"/>
      <c r="K63" s="1872"/>
      <c r="L63" s="1872"/>
      <c r="M63" s="1872"/>
      <c r="N63" s="1872"/>
      <c r="O63" s="1872"/>
      <c r="P63" s="1872"/>
      <c r="Q63" s="87"/>
      <c r="R63" s="87"/>
      <c r="S63" s="87"/>
      <c r="T63" s="87"/>
      <c r="U63" s="87"/>
      <c r="V63" s="87"/>
      <c r="W63" s="87"/>
    </row>
    <row r="64" spans="1:23" ht="16.5" customHeight="1">
      <c r="A64" s="87"/>
      <c r="B64" s="87"/>
      <c r="C64" s="87"/>
      <c r="D64" s="87"/>
      <c r="E64" s="1873" t="s">
        <v>279</v>
      </c>
      <c r="F64" s="1873"/>
      <c r="G64" s="1873"/>
      <c r="H64" s="1873"/>
      <c r="I64" s="1873"/>
      <c r="J64" s="1873"/>
      <c r="K64" s="1873"/>
      <c r="L64" s="1873"/>
      <c r="M64" s="1873"/>
      <c r="N64" s="1873"/>
      <c r="O64" s="1873"/>
      <c r="P64" s="1873"/>
      <c r="Q64" s="87"/>
      <c r="R64" s="87"/>
      <c r="S64" s="87"/>
      <c r="T64" s="87"/>
      <c r="U64" s="87"/>
      <c r="V64" s="87"/>
      <c r="W64" s="87"/>
    </row>
    <row r="65" spans="1:23" ht="16.5" customHeight="1">
      <c r="A65" s="87"/>
      <c r="B65" s="87"/>
      <c r="C65" s="87"/>
      <c r="D65" s="87"/>
      <c r="E65" s="330"/>
      <c r="F65" s="372" t="s">
        <v>277</v>
      </c>
      <c r="G65" s="330"/>
      <c r="H65" s="330"/>
      <c r="I65" s="330"/>
      <c r="J65" s="330"/>
      <c r="K65" s="330"/>
      <c r="L65" s="330"/>
      <c r="M65" s="330"/>
      <c r="N65" s="330"/>
      <c r="O65" s="330"/>
      <c r="P65" s="330"/>
      <c r="Q65" s="87"/>
      <c r="R65" s="87"/>
      <c r="S65" s="87"/>
      <c r="T65" s="87"/>
      <c r="U65" s="87"/>
      <c r="V65" s="87"/>
      <c r="W65" s="87"/>
    </row>
    <row r="66" spans="1:23">
      <c r="A66" s="87"/>
      <c r="B66" s="87"/>
      <c r="C66" s="87"/>
      <c r="D66" s="87"/>
      <c r="E66" s="331"/>
      <c r="F66" s="333" t="s">
        <v>278</v>
      </c>
      <c r="G66" s="364"/>
      <c r="H66" s="331"/>
      <c r="I66" s="331"/>
      <c r="J66" s="331"/>
      <c r="K66" s="331"/>
      <c r="L66" s="331"/>
      <c r="M66" s="331"/>
      <c r="N66" s="331"/>
      <c r="O66" s="331"/>
      <c r="P66" s="331"/>
      <c r="Q66" s="87"/>
      <c r="R66" s="87"/>
      <c r="S66" s="87"/>
      <c r="T66" s="87"/>
      <c r="U66" s="87"/>
      <c r="V66" s="87"/>
      <c r="W66" s="87"/>
    </row>
    <row r="67" spans="1:23">
      <c r="A67" s="87"/>
      <c r="B67" s="87"/>
      <c r="C67" s="87"/>
      <c r="D67" s="87"/>
      <c r="E67" s="1847" t="s">
        <v>261</v>
      </c>
      <c r="F67" s="1847"/>
      <c r="G67" s="1847"/>
      <c r="H67" s="1847"/>
      <c r="I67" s="1847"/>
      <c r="J67" s="1847"/>
      <c r="K67" s="1847" t="s">
        <v>262</v>
      </c>
      <c r="L67" s="1847"/>
      <c r="M67" s="1847"/>
      <c r="N67" s="1847"/>
      <c r="O67" s="1847"/>
      <c r="P67" s="1847"/>
      <c r="Q67" s="87"/>
      <c r="R67" s="87"/>
      <c r="S67" s="87"/>
      <c r="T67" s="87"/>
      <c r="U67" s="87"/>
      <c r="V67" s="87"/>
      <c r="W67" s="87"/>
    </row>
    <row r="68" spans="1:23">
      <c r="A68" s="87"/>
      <c r="B68" s="87"/>
      <c r="C68" s="87"/>
      <c r="D68" s="87"/>
      <c r="E68" s="331"/>
      <c r="F68" s="331"/>
      <c r="G68" s="365"/>
      <c r="H68" s="331"/>
      <c r="I68" s="331"/>
      <c r="J68" s="331"/>
      <c r="K68" s="331"/>
      <c r="L68" s="365"/>
      <c r="M68" s="331"/>
      <c r="N68" s="331"/>
      <c r="O68" s="331"/>
      <c r="P68" s="331"/>
      <c r="Q68" s="87"/>
      <c r="R68" s="87"/>
      <c r="S68" s="87"/>
      <c r="T68" s="87"/>
      <c r="U68" s="87"/>
      <c r="V68" s="87"/>
      <c r="W68" s="87"/>
    </row>
    <row r="69" spans="1:23">
      <c r="A69" s="87"/>
      <c r="B69" s="87"/>
      <c r="C69" s="87"/>
      <c r="D69" s="87"/>
      <c r="E69" s="331"/>
      <c r="F69" s="331"/>
      <c r="G69" s="365"/>
      <c r="H69" s="331"/>
      <c r="I69" s="331"/>
      <c r="J69" s="331"/>
      <c r="K69" s="331"/>
      <c r="L69" s="365"/>
      <c r="M69" s="331"/>
      <c r="N69" s="331"/>
      <c r="O69" s="331"/>
      <c r="P69" s="331"/>
      <c r="Q69" s="87"/>
      <c r="R69" s="87"/>
      <c r="S69" s="87"/>
      <c r="T69" s="87"/>
      <c r="U69" s="87"/>
      <c r="V69" s="87"/>
      <c r="W69" s="87"/>
    </row>
    <row r="70" spans="1:23">
      <c r="A70" s="87"/>
      <c r="B70" s="87"/>
      <c r="C70" s="87"/>
      <c r="D70" s="87"/>
      <c r="E70" s="331"/>
      <c r="F70" s="331"/>
      <c r="G70" s="331"/>
      <c r="H70" s="331"/>
      <c r="I70" s="331"/>
      <c r="J70" s="331"/>
      <c r="K70" s="331"/>
      <c r="L70" s="331"/>
      <c r="M70" s="331"/>
      <c r="N70" s="331"/>
      <c r="O70" s="331"/>
      <c r="P70" s="331"/>
      <c r="Q70" s="87"/>
      <c r="R70" s="87"/>
      <c r="S70" s="87"/>
      <c r="T70" s="87"/>
      <c r="U70" s="87"/>
      <c r="V70" s="87"/>
      <c r="W70" s="87"/>
    </row>
    <row r="71" spans="1:23">
      <c r="A71" s="87"/>
      <c r="B71" s="87"/>
      <c r="C71" s="87"/>
      <c r="D71" s="87"/>
      <c r="E71" s="331"/>
      <c r="F71" s="331"/>
      <c r="G71" s="331"/>
      <c r="H71" s="331"/>
      <c r="I71" s="331"/>
      <c r="J71" s="331"/>
      <c r="K71" s="331"/>
      <c r="L71" s="331"/>
      <c r="M71" s="331"/>
      <c r="N71" s="331"/>
      <c r="O71" s="331"/>
      <c r="P71" s="331"/>
      <c r="Q71" s="87"/>
      <c r="R71" s="87"/>
      <c r="S71" s="87"/>
      <c r="T71" s="87"/>
      <c r="U71" s="87"/>
      <c r="V71" s="87"/>
      <c r="W71" s="87"/>
    </row>
    <row r="72" spans="1:23">
      <c r="A72" s="87"/>
      <c r="B72" s="87"/>
      <c r="C72" s="87"/>
      <c r="D72" s="87"/>
      <c r="E72" s="331"/>
      <c r="F72" s="331"/>
      <c r="G72" s="331"/>
      <c r="H72" s="331"/>
      <c r="I72" s="331"/>
      <c r="J72" s="331"/>
      <c r="K72" s="331"/>
      <c r="L72" s="331"/>
      <c r="M72" s="331"/>
      <c r="N72" s="331"/>
      <c r="O72" s="331"/>
      <c r="P72" s="331"/>
      <c r="Q72" s="87"/>
      <c r="R72" s="87"/>
      <c r="S72" s="87"/>
      <c r="T72" s="87"/>
      <c r="U72" s="87"/>
      <c r="V72" s="87"/>
      <c r="W72" s="87"/>
    </row>
    <row r="73" spans="1:23">
      <c r="A73" s="87"/>
      <c r="B73" s="87"/>
      <c r="C73" s="87"/>
      <c r="D73" s="87"/>
      <c r="E73" s="1799" t="str">
        <f>CBGS1</f>
        <v>Trần Trọng Liêm</v>
      </c>
      <c r="F73" s="1799"/>
      <c r="G73" s="1799"/>
      <c r="H73" s="1799"/>
      <c r="I73" s="1799"/>
      <c r="J73" s="1799"/>
      <c r="K73" s="1799" t="str">
        <f>CBKT1</f>
        <v>Hoàng Đình Tảng</v>
      </c>
      <c r="L73" s="1799"/>
      <c r="M73" s="1799"/>
      <c r="N73" s="1799"/>
      <c r="O73" s="1799"/>
      <c r="P73" s="1799"/>
      <c r="Q73" s="87"/>
      <c r="R73" s="87"/>
      <c r="S73" s="87"/>
      <c r="T73" s="87"/>
      <c r="U73" s="87"/>
      <c r="V73" s="87"/>
      <c r="W73" s="87"/>
    </row>
    <row r="74" spans="1:23">
      <c r="A74" s="87"/>
      <c r="B74" s="87"/>
      <c r="C74" s="87"/>
      <c r="D74" s="87"/>
      <c r="E74" s="87"/>
      <c r="F74" s="87"/>
      <c r="G74" s="87"/>
      <c r="H74" s="87"/>
      <c r="I74" s="87"/>
      <c r="J74" s="87"/>
      <c r="K74" s="87"/>
      <c r="L74" s="87"/>
      <c r="M74" s="87"/>
      <c r="N74" s="87"/>
      <c r="O74" s="87"/>
      <c r="P74" s="87"/>
      <c r="Q74" s="87"/>
      <c r="R74" s="87"/>
      <c r="S74" s="87"/>
      <c r="T74" s="87"/>
      <c r="U74" s="87"/>
      <c r="V74" s="87"/>
      <c r="W74" s="87"/>
    </row>
    <row r="75" spans="1:23">
      <c r="A75" s="87"/>
      <c r="B75" s="87"/>
      <c r="C75" s="87"/>
      <c r="D75" s="87"/>
      <c r="E75" s="87"/>
      <c r="F75" s="87"/>
      <c r="G75" s="87"/>
      <c r="H75" s="87"/>
      <c r="I75" s="87"/>
      <c r="J75" s="87"/>
      <c r="K75" s="87"/>
      <c r="L75" s="87"/>
      <c r="M75" s="87"/>
      <c r="N75" s="87"/>
      <c r="O75" s="87"/>
      <c r="P75" s="87"/>
      <c r="Q75" s="87"/>
      <c r="R75" s="87"/>
      <c r="S75" s="87"/>
      <c r="T75" s="87"/>
      <c r="U75" s="87"/>
      <c r="V75" s="87"/>
      <c r="W75" s="87"/>
    </row>
    <row r="76" spans="1:23">
      <c r="A76" s="87"/>
      <c r="B76" s="87"/>
      <c r="C76" s="87"/>
      <c r="D76" s="87"/>
      <c r="E76" s="87"/>
      <c r="F76" s="87"/>
      <c r="G76" s="87"/>
      <c r="H76" s="87"/>
      <c r="I76" s="87"/>
      <c r="J76" s="87"/>
      <c r="K76" s="87"/>
      <c r="L76" s="87"/>
      <c r="M76" s="87"/>
      <c r="N76" s="87"/>
      <c r="O76" s="87"/>
      <c r="P76" s="87"/>
      <c r="Q76" s="87"/>
      <c r="R76" s="87"/>
      <c r="S76" s="87"/>
      <c r="T76" s="87"/>
      <c r="U76" s="87"/>
      <c r="V76" s="87"/>
      <c r="W76" s="87"/>
    </row>
    <row r="77" spans="1:23">
      <c r="A77" s="87"/>
      <c r="B77" s="87"/>
      <c r="C77" s="87"/>
      <c r="D77" s="87"/>
      <c r="E77" s="87"/>
      <c r="F77" s="87"/>
      <c r="G77" s="87"/>
      <c r="H77" s="87"/>
      <c r="I77" s="87"/>
      <c r="J77" s="87"/>
      <c r="K77" s="87"/>
      <c r="L77" s="87"/>
      <c r="M77" s="87"/>
      <c r="N77" s="87"/>
      <c r="O77" s="87"/>
      <c r="P77" s="87"/>
      <c r="Q77" s="87"/>
      <c r="R77" s="87"/>
      <c r="S77" s="87"/>
      <c r="T77" s="87"/>
      <c r="U77" s="87"/>
      <c r="V77" s="87"/>
      <c r="W77" s="87"/>
    </row>
    <row r="78" spans="1:23">
      <c r="A78" s="87"/>
      <c r="B78" s="87"/>
      <c r="C78" s="87"/>
      <c r="D78" s="87"/>
      <c r="E78" s="87"/>
      <c r="F78" s="87"/>
      <c r="G78" s="87"/>
      <c r="H78" s="87"/>
      <c r="I78" s="87"/>
      <c r="J78" s="87"/>
      <c r="K78" s="87"/>
      <c r="L78" s="87"/>
      <c r="M78" s="87"/>
      <c r="N78" s="87"/>
      <c r="O78" s="87"/>
      <c r="P78" s="87"/>
      <c r="Q78" s="87"/>
      <c r="R78" s="87"/>
      <c r="S78" s="87"/>
      <c r="T78" s="87"/>
      <c r="U78" s="87"/>
      <c r="V78" s="87"/>
      <c r="W78" s="87"/>
    </row>
  </sheetData>
  <mergeCells count="97">
    <mergeCell ref="E15:O15"/>
    <mergeCell ref="E1:P1"/>
    <mergeCell ref="E2:P2"/>
    <mergeCell ref="E3:P3"/>
    <mergeCell ref="E5:P5"/>
    <mergeCell ref="E6:P6"/>
    <mergeCell ref="E7:P7"/>
    <mergeCell ref="E8:P8"/>
    <mergeCell ref="E10:P10"/>
    <mergeCell ref="E11:P11"/>
    <mergeCell ref="E13:O13"/>
    <mergeCell ref="E14:O14"/>
    <mergeCell ref="E40:P40"/>
    <mergeCell ref="E16:O16"/>
    <mergeCell ref="E18:P18"/>
    <mergeCell ref="E20:P20"/>
    <mergeCell ref="E23:P23"/>
    <mergeCell ref="E30:P30"/>
    <mergeCell ref="E32:P32"/>
    <mergeCell ref="E33:P33"/>
    <mergeCell ref="E34:P34"/>
    <mergeCell ref="E35:P35"/>
    <mergeCell ref="E36:P36"/>
    <mergeCell ref="E39:P39"/>
    <mergeCell ref="E29:P29"/>
    <mergeCell ref="L24:P24"/>
    <mergeCell ref="E41:P41"/>
    <mergeCell ref="E42:P42"/>
    <mergeCell ref="F43:H43"/>
    <mergeCell ref="I43:K43"/>
    <mergeCell ref="M43:N43"/>
    <mergeCell ref="O43:P43"/>
    <mergeCell ref="F44:H44"/>
    <mergeCell ref="I44:K44"/>
    <mergeCell ref="M44:N44"/>
    <mergeCell ref="O44:P44"/>
    <mergeCell ref="F45:H45"/>
    <mergeCell ref="I45:K45"/>
    <mergeCell ref="M45:N45"/>
    <mergeCell ref="O45:P45"/>
    <mergeCell ref="F46:H46"/>
    <mergeCell ref="I46:K46"/>
    <mergeCell ref="M46:N46"/>
    <mergeCell ref="O46:P46"/>
    <mergeCell ref="F47:H47"/>
    <mergeCell ref="I47:K47"/>
    <mergeCell ref="M47:N47"/>
    <mergeCell ref="O47:P47"/>
    <mergeCell ref="F48:H48"/>
    <mergeCell ref="I48:K48"/>
    <mergeCell ref="M48:N48"/>
    <mergeCell ref="O48:P48"/>
    <mergeCell ref="F49:H49"/>
    <mergeCell ref="I49:K49"/>
    <mergeCell ref="M49:N49"/>
    <mergeCell ref="O49:P49"/>
    <mergeCell ref="M58:P58"/>
    <mergeCell ref="F50:H50"/>
    <mergeCell ref="I50:K50"/>
    <mergeCell ref="M50:N50"/>
    <mergeCell ref="O50:P50"/>
    <mergeCell ref="F51:H51"/>
    <mergeCell ref="I51:K51"/>
    <mergeCell ref="M51:N51"/>
    <mergeCell ref="O51:P51"/>
    <mergeCell ref="K67:P67"/>
    <mergeCell ref="E60:P60"/>
    <mergeCell ref="F61:P61"/>
    <mergeCell ref="F62:P62"/>
    <mergeCell ref="E52:P52"/>
    <mergeCell ref="F53:I53"/>
    <mergeCell ref="J53:L53"/>
    <mergeCell ref="M53:P53"/>
    <mergeCell ref="F54:I54"/>
    <mergeCell ref="J54:L54"/>
    <mergeCell ref="M54:P54"/>
    <mergeCell ref="F57:I57"/>
    <mergeCell ref="J57:L57"/>
    <mergeCell ref="M57:P57"/>
    <mergeCell ref="F58:I58"/>
    <mergeCell ref="J58:L58"/>
    <mergeCell ref="E73:J73"/>
    <mergeCell ref="K73:P73"/>
    <mergeCell ref="E37:P37"/>
    <mergeCell ref="E38:P38"/>
    <mergeCell ref="F55:I55"/>
    <mergeCell ref="J55:L55"/>
    <mergeCell ref="M55:P55"/>
    <mergeCell ref="F56:I56"/>
    <mergeCell ref="J56:L56"/>
    <mergeCell ref="M56:P56"/>
    <mergeCell ref="F59:I59"/>
    <mergeCell ref="J59:L59"/>
    <mergeCell ref="M59:P59"/>
    <mergeCell ref="E63:P63"/>
    <mergeCell ref="E64:P64"/>
    <mergeCell ref="E67:J67"/>
  </mergeCells>
  <pageMargins left="0.70866141732283472" right="0.39" top="0.33" bottom="0.31"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6">
    <tabColor rgb="FF00B050"/>
  </sheetPr>
  <dimension ref="A1:W71"/>
  <sheetViews>
    <sheetView showGridLines="0" zoomScaleNormal="100" workbookViewId="0">
      <pane xSplit="20" ySplit="4" topLeftCell="U23" activePane="bottomRight" state="frozen"/>
      <selection pane="topRight" activeCell="U1" sqref="U1"/>
      <selection pane="bottomLeft" activeCell="A5" sqref="A5"/>
      <selection pane="bottomRight" activeCell="F25" sqref="F25"/>
    </sheetView>
  </sheetViews>
  <sheetFormatPr defaultRowHeight="16.5" zeroHeight="1"/>
  <cols>
    <col min="1" max="2" width="8.88671875" style="29"/>
    <col min="3" max="3" width="7.109375" style="29" customWidth="1"/>
    <col min="4" max="4" width="8.88671875" style="29"/>
    <col min="5" max="5" width="6.77734375" style="29" customWidth="1"/>
    <col min="6" max="6" width="4.88671875" style="29" customWidth="1"/>
    <col min="7" max="9" width="6.77734375" style="29" customWidth="1"/>
    <col min="10" max="10" width="5.109375" style="29" customWidth="1"/>
    <col min="11" max="11" width="9" style="29" customWidth="1"/>
    <col min="12" max="16" width="6.77734375" style="29" customWidth="1"/>
    <col min="17" max="16384" width="8.88671875" style="29"/>
  </cols>
  <sheetData>
    <row r="1" spans="1:23" ht="27.75" customHeight="1">
      <c r="A1" s="90" t="s">
        <v>5833</v>
      </c>
      <c r="B1" s="87"/>
      <c r="C1" s="87"/>
      <c r="D1" s="87"/>
      <c r="E1" s="1846" t="str">
        <f>E11</f>
        <v>NGHIỆM THU HỆ THỐNG MỐC MẠNG PHỤC VỤ THI CÔNG</v>
      </c>
      <c r="F1" s="1846"/>
      <c r="G1" s="1846"/>
      <c r="H1" s="1846"/>
      <c r="I1" s="1846"/>
      <c r="J1" s="1846"/>
      <c r="K1" s="1846"/>
      <c r="L1" s="1846"/>
      <c r="M1" s="1846"/>
      <c r="N1" s="1846"/>
      <c r="O1" s="1846"/>
      <c r="P1" s="1846"/>
      <c r="Q1" s="87"/>
      <c r="R1" s="87"/>
      <c r="S1" s="87"/>
      <c r="T1" s="87"/>
      <c r="U1" s="87"/>
      <c r="V1" s="87"/>
      <c r="W1" s="87"/>
    </row>
    <row r="2" spans="1:23">
      <c r="A2" s="87"/>
      <c r="B2" s="87"/>
      <c r="C2" s="87"/>
      <c r="D2" s="87"/>
      <c r="E2" s="1785" t="str">
        <f>Nhanluc!E2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Nhanluc!E3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5.25" customHeight="1">
      <c r="A4" s="87"/>
      <c r="B4" s="87"/>
      <c r="C4" s="87"/>
      <c r="D4" s="87"/>
      <c r="E4" s="87"/>
      <c r="F4" s="87"/>
      <c r="G4" s="87"/>
      <c r="H4" s="87"/>
      <c r="I4" s="87"/>
      <c r="J4" s="87"/>
      <c r="K4" s="87"/>
      <c r="L4" s="87"/>
      <c r="M4" s="87"/>
      <c r="N4" s="87"/>
      <c r="O4" s="87"/>
      <c r="P4" s="87"/>
      <c r="Q4" s="87"/>
      <c r="R4" s="87"/>
      <c r="S4" s="87"/>
      <c r="T4" s="87"/>
      <c r="U4" s="87"/>
      <c r="V4" s="87"/>
      <c r="W4" s="87"/>
    </row>
    <row r="5" spans="1:23" ht="18.75" customHeight="1">
      <c r="A5" s="87"/>
      <c r="B5" s="87"/>
      <c r="C5" s="87"/>
      <c r="D5" s="87"/>
      <c r="E5" s="1888" t="s">
        <v>158</v>
      </c>
      <c r="F5" s="1888"/>
      <c r="G5" s="1888"/>
      <c r="H5" s="1888"/>
      <c r="I5" s="1888"/>
      <c r="J5" s="1888"/>
      <c r="K5" s="1888"/>
      <c r="L5" s="1888"/>
      <c r="M5" s="1888"/>
      <c r="N5" s="1888"/>
      <c r="O5" s="1888"/>
      <c r="P5" s="1888"/>
      <c r="Q5" s="87"/>
      <c r="R5" s="87"/>
      <c r="S5" s="87"/>
      <c r="T5" s="87"/>
      <c r="U5" s="87"/>
      <c r="V5" s="87"/>
      <c r="W5" s="87"/>
    </row>
    <row r="6" spans="1:23" ht="16.5" customHeight="1">
      <c r="A6" s="87"/>
      <c r="B6" s="87"/>
      <c r="C6" s="87"/>
      <c r="D6" s="87"/>
      <c r="E6" s="1847" t="s">
        <v>251</v>
      </c>
      <c r="F6" s="1847"/>
      <c r="G6" s="1847"/>
      <c r="H6" s="1847"/>
      <c r="I6" s="1847"/>
      <c r="J6" s="1847"/>
      <c r="K6" s="1847"/>
      <c r="L6" s="1847"/>
      <c r="M6" s="1847"/>
      <c r="N6" s="1847"/>
      <c r="O6" s="1847"/>
      <c r="P6" s="1847"/>
      <c r="Q6" s="87"/>
      <c r="R6" s="87"/>
      <c r="S6" s="87"/>
      <c r="T6" s="87"/>
      <c r="U6" s="87"/>
      <c r="V6" s="87"/>
      <c r="W6" s="87"/>
    </row>
    <row r="7" spans="1:23">
      <c r="A7" s="87"/>
      <c r="B7" s="87"/>
      <c r="C7" s="87"/>
      <c r="D7" s="87"/>
      <c r="E7" s="1837"/>
      <c r="F7" s="1837"/>
      <c r="G7" s="1837"/>
      <c r="H7" s="1837"/>
      <c r="I7" s="1837"/>
      <c r="J7" s="1837"/>
      <c r="K7" s="1837"/>
      <c r="L7" s="1837"/>
      <c r="M7" s="1837"/>
      <c r="N7" s="1837"/>
      <c r="O7" s="1837"/>
      <c r="P7" s="1837"/>
      <c r="Q7" s="87"/>
      <c r="R7" s="87"/>
      <c r="S7" s="87"/>
      <c r="T7" s="87"/>
      <c r="U7" s="87"/>
      <c r="V7" s="87"/>
      <c r="W7" s="87"/>
    </row>
    <row r="8" spans="1:23" ht="17.25" customHeight="1">
      <c r="A8" s="87"/>
      <c r="B8" s="87"/>
      <c r="C8" s="87"/>
      <c r="D8" s="87"/>
      <c r="E8" s="1848" t="str">
        <f>Diadanh&amp;", ngày  "&amp;DAY(Nhattrinh!K14)&amp;" tháng  "&amp;MONTH(Nhattrinh!K14 )&amp;"  năm "&amp;YEAR(Nhattrinh!K14 )</f>
        <v>Ninh Hải, ngày  7 tháng  5  năm 2020</v>
      </c>
      <c r="F8" s="1848"/>
      <c r="G8" s="1848"/>
      <c r="H8" s="1848"/>
      <c r="I8" s="1848"/>
      <c r="J8" s="1848"/>
      <c r="K8" s="1848"/>
      <c r="L8" s="1848"/>
      <c r="M8" s="1848"/>
      <c r="N8" s="1848"/>
      <c r="O8" s="1848"/>
      <c r="P8" s="1848"/>
      <c r="Q8" s="87"/>
      <c r="R8" s="87"/>
      <c r="S8" s="87"/>
      <c r="T8" s="87"/>
      <c r="U8" s="87"/>
      <c r="V8" s="87"/>
      <c r="W8" s="87"/>
    </row>
    <row r="9" spans="1:23">
      <c r="A9" s="87"/>
      <c r="B9" s="87"/>
      <c r="C9" s="87"/>
      <c r="D9" s="87"/>
      <c r="E9" s="331"/>
      <c r="F9" s="331"/>
      <c r="G9" s="354"/>
      <c r="H9" s="331"/>
      <c r="I9" s="331"/>
      <c r="J9" s="331"/>
      <c r="K9" s="331"/>
      <c r="L9" s="331"/>
      <c r="M9" s="331"/>
      <c r="N9" s="331"/>
      <c r="O9" s="331"/>
      <c r="P9" s="331"/>
      <c r="Q9" s="87"/>
      <c r="R9" s="87"/>
      <c r="S9" s="87"/>
      <c r="T9" s="87"/>
      <c r="U9" s="87"/>
      <c r="V9" s="87"/>
      <c r="W9" s="87"/>
    </row>
    <row r="10" spans="1:23" ht="16.5" customHeight="1">
      <c r="A10" s="87"/>
      <c r="B10" s="87"/>
      <c r="C10" s="87"/>
      <c r="D10" s="87"/>
      <c r="E10" s="1889" t="s">
        <v>281</v>
      </c>
      <c r="F10" s="1889"/>
      <c r="G10" s="1889"/>
      <c r="H10" s="1889"/>
      <c r="I10" s="1889"/>
      <c r="J10" s="1889"/>
      <c r="K10" s="1889"/>
      <c r="L10" s="1889"/>
      <c r="M10" s="1889"/>
      <c r="N10" s="1889"/>
      <c r="O10" s="1889"/>
      <c r="P10" s="1889"/>
      <c r="Q10" s="87"/>
      <c r="R10" s="87"/>
      <c r="S10" s="87"/>
      <c r="T10" s="87"/>
      <c r="U10" s="87"/>
      <c r="V10" s="87"/>
      <c r="W10" s="87"/>
    </row>
    <row r="11" spans="1:23" ht="22.5">
      <c r="A11" s="87"/>
      <c r="B11" s="87"/>
      <c r="C11" s="87"/>
      <c r="D11" s="87"/>
      <c r="E11" s="1890" t="s">
        <v>280</v>
      </c>
      <c r="F11" s="1890"/>
      <c r="G11" s="1890"/>
      <c r="H11" s="1890"/>
      <c r="I11" s="1890"/>
      <c r="J11" s="1890"/>
      <c r="K11" s="1890"/>
      <c r="L11" s="1890"/>
      <c r="M11" s="1890"/>
      <c r="N11" s="1890"/>
      <c r="O11" s="1890"/>
      <c r="P11" s="1890"/>
      <c r="Q11" s="87"/>
      <c r="R11" s="87"/>
      <c r="S11" s="87"/>
      <c r="T11" s="87"/>
      <c r="U11" s="87"/>
      <c r="V11" s="87"/>
      <c r="W11" s="87"/>
    </row>
    <row r="12" spans="1:23">
      <c r="A12" s="87"/>
      <c r="B12" s="87"/>
      <c r="C12" s="87"/>
      <c r="D12" s="87"/>
      <c r="E12" s="331"/>
      <c r="F12" s="331"/>
      <c r="G12" s="354"/>
      <c r="H12" s="331"/>
      <c r="I12" s="331"/>
      <c r="J12" s="331"/>
      <c r="K12" s="331"/>
      <c r="L12" s="331"/>
      <c r="M12" s="331"/>
      <c r="N12" s="331"/>
      <c r="O12" s="331"/>
      <c r="P12" s="331"/>
      <c r="Q12" s="87"/>
      <c r="R12" s="87"/>
      <c r="S12" s="87"/>
      <c r="T12" s="87"/>
      <c r="U12" s="87"/>
      <c r="V12" s="87"/>
      <c r="W12" s="87"/>
    </row>
    <row r="13" spans="1:23" ht="36.6" customHeight="1">
      <c r="A13" s="87"/>
      <c r="B13" s="87"/>
      <c r="C13" s="87"/>
      <c r="D13" s="87"/>
      <c r="E13" s="1604" t="str">
        <f>Tieude1&amp;": "&amp;NDtieude1</f>
        <v>Công trình: Gia cố nâng cấp kênh Bà Xoài từ K0+300÷K0+600 - Hệ thống thủy lợi Nha Trinh, huyện Ninh Hải, tỉnh Ninh Thuận</v>
      </c>
      <c r="F13" s="1604"/>
      <c r="G13" s="1604"/>
      <c r="H13" s="1604"/>
      <c r="I13" s="1604"/>
      <c r="J13" s="1604"/>
      <c r="K13" s="1604"/>
      <c r="L13" s="1604"/>
      <c r="M13" s="1604"/>
      <c r="N13" s="1604"/>
      <c r="O13" s="1604"/>
      <c r="P13" s="331"/>
      <c r="Q13" s="87"/>
      <c r="R13" s="87"/>
      <c r="S13" s="87"/>
      <c r="T13" s="87"/>
      <c r="U13" s="87">
        <f>ROW()</f>
        <v>13</v>
      </c>
      <c r="V13" s="87"/>
      <c r="W13" s="87"/>
    </row>
    <row r="14" spans="1:23" ht="20.100000000000001" customHeight="1">
      <c r="A14" s="87"/>
      <c r="B14" s="87"/>
      <c r="C14" s="87"/>
      <c r="D14" s="87"/>
      <c r="E14" s="1843" t="str">
        <f>Tieude2&amp;": "&amp;NDtieude2</f>
        <v xml:space="preserve">Gói thầu 05: </v>
      </c>
      <c r="F14" s="1843"/>
      <c r="G14" s="1843"/>
      <c r="H14" s="1843"/>
      <c r="I14" s="1843"/>
      <c r="J14" s="1843"/>
      <c r="K14" s="1843"/>
      <c r="L14" s="1843"/>
      <c r="M14" s="1843"/>
      <c r="N14" s="1843"/>
      <c r="O14" s="1843"/>
      <c r="P14" s="331"/>
      <c r="Q14" s="87"/>
      <c r="R14" s="87"/>
      <c r="S14" s="87"/>
      <c r="T14" s="87"/>
      <c r="U14" s="87">
        <f>ROW()</f>
        <v>14</v>
      </c>
      <c r="V14" s="87"/>
      <c r="W14" s="87"/>
    </row>
    <row r="15" spans="1:23" ht="20.100000000000001" customHeight="1">
      <c r="A15" s="87"/>
      <c r="B15" s="87"/>
      <c r="C15" s="87"/>
      <c r="D15" s="87"/>
      <c r="E15" s="1843" t="str">
        <f>Tieude3&amp;": "&amp;NDtieude3</f>
        <v>Hạng mục: Kênh và Công trình trên kênh</v>
      </c>
      <c r="F15" s="1843"/>
      <c r="G15" s="1843"/>
      <c r="H15" s="1843"/>
      <c r="I15" s="1843"/>
      <c r="J15" s="1843"/>
      <c r="K15" s="1843"/>
      <c r="L15" s="1843"/>
      <c r="M15" s="1843"/>
      <c r="N15" s="1843"/>
      <c r="O15" s="1843"/>
      <c r="P15" s="331"/>
      <c r="Q15" s="87"/>
      <c r="R15" s="87"/>
      <c r="S15" s="87"/>
      <c r="T15" s="87"/>
      <c r="U15" s="87">
        <f>ROW()</f>
        <v>15</v>
      </c>
      <c r="V15" s="87"/>
      <c r="W15" s="87"/>
    </row>
    <row r="16" spans="1:23" ht="20.100000000000001" customHeight="1">
      <c r="A16" s="87"/>
      <c r="B16" s="87"/>
      <c r="C16" s="87"/>
      <c r="D16" s="87"/>
      <c r="E16" s="1473" t="str">
        <f>"Địa điểm xây dựng : "&amp;DDXD</f>
        <v>Địa điểm xây dựng : Huyện Ninh Hải - Tỉnh Ninh Thuận</v>
      </c>
      <c r="F16" s="1473"/>
      <c r="G16" s="1473"/>
      <c r="H16" s="1473"/>
      <c r="I16" s="1473"/>
      <c r="J16" s="1473"/>
      <c r="K16" s="1473"/>
      <c r="L16" s="1473"/>
      <c r="M16" s="1473"/>
      <c r="N16" s="1473"/>
      <c r="O16" s="1473"/>
      <c r="P16" s="331"/>
      <c r="Q16" s="87"/>
      <c r="R16" s="87"/>
      <c r="S16" s="87"/>
      <c r="T16" s="87"/>
      <c r="U16" s="87">
        <f>ROW()</f>
        <v>16</v>
      </c>
      <c r="V16" s="87"/>
      <c r="W16" s="87"/>
    </row>
    <row r="17" spans="1:23">
      <c r="A17" s="87"/>
      <c r="B17" s="87"/>
      <c r="C17" s="87"/>
      <c r="D17" s="87"/>
      <c r="E17" s="331"/>
      <c r="F17" s="331"/>
      <c r="G17" s="355"/>
      <c r="H17" s="331"/>
      <c r="I17" s="331"/>
      <c r="J17" s="331"/>
      <c r="K17" s="331"/>
      <c r="L17" s="331"/>
      <c r="M17" s="331"/>
      <c r="N17" s="331"/>
      <c r="O17" s="331"/>
      <c r="P17" s="331"/>
      <c r="Q17" s="87"/>
      <c r="R17" s="87"/>
      <c r="S17" s="87"/>
      <c r="T17" s="87"/>
      <c r="U17" s="87"/>
      <c r="V17" s="87"/>
      <c r="W17" s="87"/>
    </row>
    <row r="18" spans="1:23">
      <c r="A18" s="87"/>
      <c r="B18" s="87"/>
      <c r="C18" s="87"/>
      <c r="D18" s="87"/>
      <c r="E18" s="1873" t="s">
        <v>4236</v>
      </c>
      <c r="F18" s="1873"/>
      <c r="G18" s="1873"/>
      <c r="H18" s="1873"/>
      <c r="I18" s="1873"/>
      <c r="J18" s="1873"/>
      <c r="K18" s="1873"/>
      <c r="L18" s="1873"/>
      <c r="M18" s="1873"/>
      <c r="N18" s="1873"/>
      <c r="O18" s="1873"/>
      <c r="P18" s="1873"/>
      <c r="Q18" s="87"/>
      <c r="R18" s="87"/>
      <c r="S18" s="87"/>
      <c r="T18" s="87"/>
      <c r="U18" s="87"/>
      <c r="V18" s="87"/>
      <c r="W18" s="87"/>
    </row>
    <row r="19" spans="1:23">
      <c r="A19" s="87"/>
      <c r="B19" s="87"/>
      <c r="C19" s="87"/>
      <c r="D19" s="87"/>
      <c r="E19" s="237" t="s">
        <v>198</v>
      </c>
      <c r="F19" s="238"/>
      <c r="G19" s="238"/>
      <c r="H19" s="238"/>
      <c r="I19" s="238"/>
      <c r="J19" s="236"/>
      <c r="K19" s="236"/>
      <c r="L19" s="236"/>
      <c r="M19" s="238"/>
      <c r="N19" s="238"/>
      <c r="O19" s="238"/>
      <c r="P19" s="238"/>
      <c r="Q19" s="87"/>
      <c r="R19" s="87"/>
      <c r="S19" s="87"/>
      <c r="T19" s="87"/>
      <c r="U19" s="87"/>
      <c r="V19" s="87"/>
      <c r="W19" s="87"/>
    </row>
    <row r="20" spans="1:23" ht="17.25" customHeight="1">
      <c r="A20" s="87"/>
      <c r="B20" s="87"/>
      <c r="C20" s="87"/>
      <c r="D20" s="87"/>
      <c r="E20" s="1881" t="str">
        <f>"a. Đại diện TVGS thi công XD: "&amp;DVGS</f>
        <v>a. Đại diện TVGS thi công XD: Công ty TNHH Tư vấn Đầu tư Xây dựng Huy Đạt</v>
      </c>
      <c r="F20" s="1526"/>
      <c r="G20" s="1526"/>
      <c r="H20" s="1526"/>
      <c r="I20" s="1526"/>
      <c r="J20" s="1526"/>
      <c r="K20" s="1526"/>
      <c r="L20" s="1526"/>
      <c r="M20" s="1526"/>
      <c r="N20" s="1526"/>
      <c r="O20" s="1526"/>
      <c r="P20" s="1526"/>
      <c r="Q20" s="87"/>
      <c r="R20" s="87"/>
      <c r="S20" s="87"/>
      <c r="T20" s="87"/>
      <c r="U20" s="87">
        <f>ROW()</f>
        <v>20</v>
      </c>
      <c r="V20" s="87"/>
      <c r="W20" s="87"/>
    </row>
    <row r="21" spans="1:23">
      <c r="A21" s="87"/>
      <c r="B21" s="87"/>
      <c r="C21" s="87"/>
      <c r="D21" s="87"/>
      <c r="E21" s="356"/>
      <c r="F21" s="240" t="str">
        <f>GT_GS1</f>
        <v xml:space="preserve">Ông: </v>
      </c>
      <c r="G21" s="241" t="str">
        <f>CBGS1</f>
        <v>Trần Trọng Liêm</v>
      </c>
      <c r="H21" s="242"/>
      <c r="I21" s="242"/>
      <c r="J21" s="240"/>
      <c r="K21" s="357" t="s">
        <v>15</v>
      </c>
      <c r="L21" s="241" t="str">
        <f>CV_CBGS1</f>
        <v>Giám sát trưởng</v>
      </c>
      <c r="M21" s="331"/>
      <c r="N21" s="242"/>
      <c r="O21" s="244"/>
      <c r="P21" s="244"/>
      <c r="Q21" s="87"/>
      <c r="R21" s="87"/>
      <c r="S21" s="87"/>
      <c r="T21" s="87"/>
      <c r="U21" s="87"/>
      <c r="V21" s="87"/>
      <c r="W21" s="87"/>
    </row>
    <row r="22" spans="1:23">
      <c r="A22" s="87"/>
      <c r="B22" s="87"/>
      <c r="C22" s="87"/>
      <c r="D22" s="87"/>
      <c r="E22" s="356"/>
      <c r="F22" s="240" t="str">
        <f>GT_GS2</f>
        <v xml:space="preserve">Bà  : </v>
      </c>
      <c r="G22" s="241" t="str">
        <f>CBGS2</f>
        <v>Nguyễn Thị Minh</v>
      </c>
      <c r="H22" s="242"/>
      <c r="I22" s="242"/>
      <c r="J22" s="240"/>
      <c r="K22" s="357" t="s">
        <v>15</v>
      </c>
      <c r="L22" s="241" t="str">
        <f>CV_CBGS2</f>
        <v>Giám sát viên</v>
      </c>
      <c r="M22" s="242"/>
      <c r="N22" s="242"/>
      <c r="O22" s="244"/>
      <c r="P22" s="244"/>
      <c r="Q22" s="87"/>
      <c r="R22" s="87"/>
      <c r="S22" s="87"/>
      <c r="T22" s="87"/>
      <c r="U22" s="87"/>
      <c r="V22" s="87"/>
      <c r="W22" s="87"/>
    </row>
    <row r="23" spans="1:23" ht="17.25" customHeight="1">
      <c r="A23" s="87"/>
      <c r="B23" s="87"/>
      <c r="C23" s="87"/>
      <c r="D23" s="87"/>
      <c r="E23" s="1882" t="str">
        <f>"b. Đại diện đơn vị thi công:  "&amp;DVTC</f>
        <v>b. Đại diện đơn vị thi công:  Công ty TNHH Xây dựng Thịnh Dũng</v>
      </c>
      <c r="F23" s="1615"/>
      <c r="G23" s="1615"/>
      <c r="H23" s="1615"/>
      <c r="I23" s="1615"/>
      <c r="J23" s="1615"/>
      <c r="K23" s="1615"/>
      <c r="L23" s="1615"/>
      <c r="M23" s="1615"/>
      <c r="N23" s="1615"/>
      <c r="O23" s="1615"/>
      <c r="P23" s="1615"/>
      <c r="Q23" s="87"/>
      <c r="R23" s="87"/>
      <c r="S23" s="87"/>
      <c r="T23" s="87"/>
      <c r="U23" s="87">
        <f>ROW()</f>
        <v>23</v>
      </c>
      <c r="V23" s="87"/>
      <c r="W23" s="87"/>
    </row>
    <row r="24" spans="1:23">
      <c r="A24" s="87"/>
      <c r="B24" s="87"/>
      <c r="C24" s="87"/>
      <c r="D24" s="87"/>
      <c r="E24" s="245"/>
      <c r="F24" s="240" t="str">
        <f>GT_CBKT1</f>
        <v xml:space="preserve">Ông: </v>
      </c>
      <c r="G24" s="246" t="str">
        <f>CBKT1</f>
        <v>Hoàng Đình Tảng</v>
      </c>
      <c r="H24" s="235"/>
      <c r="I24" s="235"/>
      <c r="J24" s="235"/>
      <c r="K24" s="357" t="s">
        <v>15</v>
      </c>
      <c r="L24" s="41" t="str">
        <f>CV_CBKT1</f>
        <v>Chỉ huy công trường</v>
      </c>
      <c r="M24" s="238"/>
      <c r="N24" s="236"/>
      <c r="O24" s="247"/>
      <c r="P24" s="247"/>
      <c r="Q24" s="87"/>
      <c r="R24" s="87"/>
      <c r="S24" s="87"/>
      <c r="T24" s="87"/>
      <c r="U24" s="87"/>
      <c r="V24" s="87"/>
      <c r="W24" s="87"/>
    </row>
    <row r="25" spans="1:23">
      <c r="A25" s="87"/>
      <c r="B25" s="87"/>
      <c r="C25" s="87"/>
      <c r="D25" s="87"/>
      <c r="E25" s="245"/>
      <c r="F25" s="240" t="str">
        <f>GT_CBKT2</f>
        <v xml:space="preserve">Ông: </v>
      </c>
      <c r="G25" s="246" t="str">
        <f>CBKT2</f>
        <v>Lê Thiên Phương</v>
      </c>
      <c r="H25" s="235"/>
      <c r="I25" s="235"/>
      <c r="J25" s="235"/>
      <c r="K25" s="357" t="s">
        <v>15</v>
      </c>
      <c r="L25" s="41" t="str">
        <f>CV_CBKT2</f>
        <v>Kỹ thuật thi công</v>
      </c>
      <c r="M25" s="238"/>
      <c r="N25" s="238"/>
      <c r="O25" s="238"/>
      <c r="P25" s="238"/>
      <c r="Q25" s="87"/>
      <c r="R25" s="87"/>
      <c r="S25" s="87"/>
      <c r="T25" s="87"/>
      <c r="U25" s="87"/>
      <c r="V25" s="87"/>
      <c r="W25" s="87"/>
    </row>
    <row r="26" spans="1:23">
      <c r="A26" s="87"/>
      <c r="B26" s="87"/>
      <c r="C26" s="87"/>
      <c r="D26" s="87"/>
      <c r="E26" s="237" t="s">
        <v>163</v>
      </c>
      <c r="F26" s="238"/>
      <c r="G26" s="238"/>
      <c r="H26" s="238"/>
      <c r="I26" s="238"/>
      <c r="J26" s="238"/>
      <c r="K26" s="248"/>
      <c r="L26" s="248"/>
      <c r="M26" s="238"/>
      <c r="N26" s="238"/>
      <c r="O26" s="244"/>
      <c r="P26" s="244"/>
      <c r="Q26" s="87"/>
      <c r="R26" s="87"/>
      <c r="S26" s="87"/>
      <c r="T26" s="87"/>
      <c r="U26" s="87"/>
      <c r="V26" s="87"/>
      <c r="W26" s="87"/>
    </row>
    <row r="27" spans="1:23">
      <c r="A27" s="87"/>
      <c r="B27" s="87"/>
      <c r="C27" s="87"/>
      <c r="D27" s="87"/>
      <c r="E27" s="249"/>
      <c r="F27" s="250" t="str">
        <f>"- Bắt đầu: ...... giờ ...... phút "&amp;", ngày  "&amp;DAY(Nhattrinh!K14)&amp;" tháng  "&amp;MONTH(Nhattrinh!K14 )&amp;"  năm "&amp;YEAR(Nhattrinh!K14 )</f>
        <v>- Bắt đầu: ...... giờ ...... phút , ngày  7 tháng  5  năm 2020</v>
      </c>
      <c r="G27" s="331"/>
      <c r="H27" s="251"/>
      <c r="I27" s="251"/>
      <c r="J27" s="252"/>
      <c r="K27" s="252"/>
      <c r="L27" s="252"/>
      <c r="M27" s="252"/>
      <c r="N27" s="252"/>
      <c r="O27" s="252"/>
      <c r="P27" s="249"/>
      <c r="Q27" s="87"/>
      <c r="R27" s="87"/>
      <c r="S27" s="87"/>
      <c r="T27" s="87"/>
      <c r="U27" s="87"/>
      <c r="V27" s="87"/>
      <c r="W27" s="87"/>
    </row>
    <row r="28" spans="1:23">
      <c r="A28" s="87"/>
      <c r="B28" s="87"/>
      <c r="C28" s="87"/>
      <c r="D28" s="87"/>
      <c r="E28" s="249"/>
      <c r="F28" s="250" t="str">
        <f>"- Kết thúc: ...... giờ ...... Phút"&amp;", ngày  "&amp;DAY(Nhattrinh!K14)&amp;" tháng  "&amp;MONTH(Nhattrinh!K14 )&amp;"  năm "&amp;YEAR(Nhattrinh!K14 )</f>
        <v>- Kết thúc: ...... giờ ...... Phút, ngày  7 tháng  5  năm 2020</v>
      </c>
      <c r="G28" s="331"/>
      <c r="H28" s="251"/>
      <c r="I28" s="251"/>
      <c r="J28" s="252"/>
      <c r="K28" s="252"/>
      <c r="L28" s="252"/>
      <c r="M28" s="252"/>
      <c r="N28" s="252"/>
      <c r="O28" s="252"/>
      <c r="P28" s="249"/>
      <c r="Q28" s="87"/>
      <c r="R28" s="87"/>
      <c r="S28" s="87"/>
      <c r="T28" s="87"/>
      <c r="U28" s="87"/>
      <c r="V28" s="87"/>
      <c r="W28" s="87"/>
    </row>
    <row r="29" spans="1:23" ht="36.6" customHeight="1">
      <c r="A29" s="87"/>
      <c r="B29" s="87"/>
      <c r="C29" s="87"/>
      <c r="D29" s="87"/>
      <c r="E29" s="1902" t="str">
        <f>"- Vị trí: Tại công trường "&amp;" - "&amp;NDtieude1</f>
        <v>- Vị trí: Tại công trường  - Gia cố nâng cấp kênh Bà Xoài từ K0+300÷K0+600 - Hệ thống thủy lợi Nha Trinh, huyện Ninh Hải, tỉnh Ninh Thuận</v>
      </c>
      <c r="F29" s="1902"/>
      <c r="G29" s="1902"/>
      <c r="H29" s="1902"/>
      <c r="I29" s="1902"/>
      <c r="J29" s="1902"/>
      <c r="K29" s="1902"/>
      <c r="L29" s="1902"/>
      <c r="M29" s="1902"/>
      <c r="N29" s="1902"/>
      <c r="O29" s="1902"/>
      <c r="P29" s="1902"/>
      <c r="Q29" s="87"/>
      <c r="R29" s="87"/>
      <c r="S29" s="87"/>
      <c r="T29" s="87"/>
      <c r="U29" s="87">
        <f>ROW()</f>
        <v>29</v>
      </c>
      <c r="V29" s="87"/>
      <c r="W29" s="87"/>
    </row>
    <row r="30" spans="1:23">
      <c r="A30" s="87"/>
      <c r="B30" s="87"/>
      <c r="C30" s="87"/>
      <c r="D30" s="87"/>
      <c r="E30" s="1883" t="s">
        <v>252</v>
      </c>
      <c r="F30" s="1883"/>
      <c r="G30" s="1883"/>
      <c r="H30" s="1883"/>
      <c r="I30" s="1883"/>
      <c r="J30" s="1883"/>
      <c r="K30" s="1883"/>
      <c r="L30" s="1883"/>
      <c r="M30" s="1883"/>
      <c r="N30" s="1883"/>
      <c r="O30" s="1883"/>
      <c r="P30" s="1883"/>
      <c r="Q30" s="87"/>
      <c r="R30" s="87"/>
      <c r="S30" s="87"/>
      <c r="T30" s="87"/>
      <c r="U30" s="87"/>
      <c r="V30" s="87"/>
      <c r="W30" s="87"/>
    </row>
    <row r="31" spans="1:23" ht="17.25">
      <c r="A31" s="87"/>
      <c r="B31" s="87"/>
      <c r="C31" s="87"/>
      <c r="D31" s="87"/>
      <c r="E31" s="358" t="s">
        <v>265</v>
      </c>
      <c r="F31" s="359"/>
      <c r="G31" s="359"/>
      <c r="H31" s="359"/>
      <c r="I31" s="359"/>
      <c r="J31" s="359"/>
      <c r="K31" s="359"/>
      <c r="L31" s="359"/>
      <c r="M31" s="359"/>
      <c r="N31" s="359"/>
      <c r="O31" s="359"/>
      <c r="P31" s="359"/>
      <c r="Q31" s="87"/>
      <c r="R31" s="87"/>
      <c r="S31" s="87"/>
      <c r="T31" s="87"/>
      <c r="U31" s="87"/>
      <c r="V31" s="87"/>
      <c r="W31" s="87"/>
    </row>
    <row r="32" spans="1:23" ht="35.25" customHeight="1">
      <c r="A32" s="87"/>
      <c r="B32" s="87"/>
      <c r="C32" s="87"/>
      <c r="D32" s="87"/>
      <c r="E32" s="1833" t="s">
        <v>283</v>
      </c>
      <c r="F32" s="1827"/>
      <c r="G32" s="1827"/>
      <c r="H32" s="1827"/>
      <c r="I32" s="1827"/>
      <c r="J32" s="1827"/>
      <c r="K32" s="1827"/>
      <c r="L32" s="1827"/>
      <c r="M32" s="1827"/>
      <c r="N32" s="1827"/>
      <c r="O32" s="1827"/>
      <c r="P32" s="1827"/>
      <c r="Q32" s="87"/>
      <c r="R32" s="87"/>
      <c r="S32" s="87"/>
      <c r="T32" s="87"/>
      <c r="U32" s="87"/>
      <c r="V32" s="87"/>
      <c r="W32" s="87"/>
    </row>
    <row r="33" spans="1:23">
      <c r="A33" s="87"/>
      <c r="B33" s="87"/>
      <c r="C33" s="87"/>
      <c r="D33" s="87"/>
      <c r="E33" s="1900" t="s">
        <v>284</v>
      </c>
      <c r="F33" s="1901"/>
      <c r="G33" s="1901"/>
      <c r="H33" s="1901"/>
      <c r="I33" s="1901"/>
      <c r="J33" s="1901"/>
      <c r="K33" s="1901"/>
      <c r="L33" s="1901"/>
      <c r="M33" s="1901"/>
      <c r="N33" s="1901"/>
      <c r="O33" s="1901"/>
      <c r="P33" s="1901"/>
      <c r="Q33" s="87"/>
      <c r="R33" s="87"/>
      <c r="S33" s="87"/>
      <c r="T33" s="87"/>
      <c r="U33" s="87"/>
      <c r="V33" s="87"/>
      <c r="W33" s="87"/>
    </row>
    <row r="34" spans="1:23">
      <c r="A34" s="87"/>
      <c r="B34" s="87"/>
      <c r="C34" s="87"/>
      <c r="D34" s="87"/>
      <c r="E34" s="1900" t="s">
        <v>285</v>
      </c>
      <c r="F34" s="1901"/>
      <c r="G34" s="1901"/>
      <c r="H34" s="1901"/>
      <c r="I34" s="1901"/>
      <c r="J34" s="1901"/>
      <c r="K34" s="1901"/>
      <c r="L34" s="1901"/>
      <c r="M34" s="1901"/>
      <c r="N34" s="1901"/>
      <c r="O34" s="1901"/>
      <c r="P34" s="1901"/>
      <c r="Q34" s="87"/>
      <c r="R34" s="87"/>
      <c r="S34" s="87"/>
      <c r="T34" s="87"/>
      <c r="U34" s="87"/>
      <c r="V34" s="87"/>
      <c r="W34" s="87"/>
    </row>
    <row r="35" spans="1:23">
      <c r="A35" s="87"/>
      <c r="B35" s="87"/>
      <c r="C35" s="87"/>
      <c r="D35" s="87"/>
      <c r="E35" s="1833" t="s">
        <v>286</v>
      </c>
      <c r="F35" s="1827"/>
      <c r="G35" s="1827"/>
      <c r="H35" s="1827"/>
      <c r="I35" s="1827"/>
      <c r="J35" s="1827"/>
      <c r="K35" s="1827"/>
      <c r="L35" s="1827"/>
      <c r="M35" s="1827"/>
      <c r="N35" s="1827"/>
      <c r="O35" s="1827"/>
      <c r="P35" s="1827"/>
      <c r="Q35" s="87"/>
      <c r="R35" s="87"/>
      <c r="S35" s="87"/>
      <c r="T35" s="87"/>
      <c r="U35" s="87"/>
      <c r="V35" s="87"/>
      <c r="W35" s="87"/>
    </row>
    <row r="36" spans="1:23" ht="34.5" customHeight="1">
      <c r="A36" s="87"/>
      <c r="B36" s="87"/>
      <c r="C36" s="87"/>
      <c r="D36" s="87"/>
      <c r="E36" s="1833" t="s">
        <v>287</v>
      </c>
      <c r="F36" s="1827"/>
      <c r="G36" s="1827"/>
      <c r="H36" s="1827"/>
      <c r="I36" s="1827"/>
      <c r="J36" s="1827"/>
      <c r="K36" s="1827"/>
      <c r="L36" s="1827"/>
      <c r="M36" s="1827"/>
      <c r="N36" s="1827"/>
      <c r="O36" s="1827"/>
      <c r="P36" s="1827"/>
      <c r="Q36" s="87"/>
      <c r="R36" s="87"/>
      <c r="S36" s="87"/>
      <c r="T36" s="87"/>
      <c r="U36" s="87"/>
      <c r="V36" s="87"/>
      <c r="W36" s="87"/>
    </row>
    <row r="37" spans="1:23">
      <c r="A37" s="87"/>
      <c r="B37" s="87"/>
      <c r="C37" s="87"/>
      <c r="D37" s="87"/>
      <c r="E37" s="1833" t="s">
        <v>288</v>
      </c>
      <c r="F37" s="1827"/>
      <c r="G37" s="1827"/>
      <c r="H37" s="1827"/>
      <c r="I37" s="1827"/>
      <c r="J37" s="1827"/>
      <c r="K37" s="1827"/>
      <c r="L37" s="1827"/>
      <c r="M37" s="1827"/>
      <c r="N37" s="1827"/>
      <c r="O37" s="1827"/>
      <c r="P37" s="1827"/>
      <c r="Q37" s="87"/>
      <c r="R37" s="87"/>
      <c r="S37" s="87"/>
      <c r="T37" s="87"/>
      <c r="U37" s="87"/>
      <c r="V37" s="87"/>
      <c r="W37" s="87"/>
    </row>
    <row r="38" spans="1:23">
      <c r="A38" s="87"/>
      <c r="B38" s="87"/>
      <c r="C38" s="87"/>
      <c r="D38" s="87"/>
      <c r="E38" s="366" t="s">
        <v>289</v>
      </c>
      <c r="F38" s="367"/>
      <c r="G38" s="367"/>
      <c r="H38" s="367"/>
      <c r="I38" s="367"/>
      <c r="J38" s="367"/>
      <c r="K38" s="367"/>
      <c r="L38" s="367"/>
      <c r="M38" s="367"/>
      <c r="N38" s="367"/>
      <c r="O38" s="367"/>
      <c r="P38" s="367"/>
      <c r="Q38" s="87"/>
      <c r="R38" s="87"/>
      <c r="S38" s="87"/>
      <c r="T38" s="87"/>
      <c r="U38" s="87"/>
      <c r="V38" s="87"/>
      <c r="W38" s="87"/>
    </row>
    <row r="39" spans="1:23">
      <c r="A39" s="87"/>
      <c r="B39" s="87"/>
      <c r="C39" s="87"/>
      <c r="D39" s="87"/>
      <c r="E39" s="1833" t="s">
        <v>290</v>
      </c>
      <c r="F39" s="1827"/>
      <c r="G39" s="1827"/>
      <c r="H39" s="1827"/>
      <c r="I39" s="1827"/>
      <c r="J39" s="1827"/>
      <c r="K39" s="1827"/>
      <c r="L39" s="1827"/>
      <c r="M39" s="1827"/>
      <c r="N39" s="1827"/>
      <c r="O39" s="1827"/>
      <c r="P39" s="1827"/>
      <c r="Q39" s="87"/>
      <c r="R39" s="87"/>
      <c r="S39" s="87"/>
      <c r="T39" s="87"/>
      <c r="U39" s="87"/>
      <c r="V39" s="87"/>
      <c r="W39" s="87"/>
    </row>
    <row r="40" spans="1:23">
      <c r="A40" s="87"/>
      <c r="B40" s="87"/>
      <c r="C40" s="87"/>
      <c r="D40" s="87"/>
      <c r="E40" s="1868" t="s">
        <v>4234</v>
      </c>
      <c r="F40" s="1868"/>
      <c r="G40" s="1868"/>
      <c r="H40" s="1868"/>
      <c r="I40" s="1868"/>
      <c r="J40" s="1868"/>
      <c r="K40" s="1868"/>
      <c r="L40" s="1868"/>
      <c r="M40" s="1868"/>
      <c r="N40" s="1868"/>
      <c r="O40" s="1868"/>
      <c r="P40" s="1868"/>
      <c r="Q40" s="87"/>
      <c r="R40" s="87"/>
      <c r="S40" s="87"/>
      <c r="T40" s="87"/>
      <c r="U40" s="87"/>
      <c r="V40" s="87"/>
      <c r="W40" s="87"/>
    </row>
    <row r="41" spans="1:23">
      <c r="A41" s="87"/>
      <c r="B41" s="87"/>
      <c r="C41" s="87"/>
      <c r="D41" s="87"/>
      <c r="E41" s="1833" t="s">
        <v>291</v>
      </c>
      <c r="F41" s="1827"/>
      <c r="G41" s="1827"/>
      <c r="H41" s="1827"/>
      <c r="I41" s="1827"/>
      <c r="J41" s="1827"/>
      <c r="K41" s="1827"/>
      <c r="L41" s="1827"/>
      <c r="M41" s="1827"/>
      <c r="N41" s="1827"/>
      <c r="O41" s="1827"/>
      <c r="P41" s="1827"/>
      <c r="Q41" s="87"/>
      <c r="R41" s="87"/>
      <c r="S41" s="87"/>
      <c r="T41" s="87"/>
      <c r="U41" s="87"/>
      <c r="V41" s="87"/>
      <c r="W41" s="87"/>
    </row>
    <row r="42" spans="1:23" ht="16.5" customHeight="1">
      <c r="A42" s="87"/>
      <c r="B42" s="87"/>
      <c r="C42" s="87"/>
      <c r="D42" s="87"/>
      <c r="E42" s="1880" t="s">
        <v>292</v>
      </c>
      <c r="F42" s="1880"/>
      <c r="G42" s="1880"/>
      <c r="H42" s="1880"/>
      <c r="I42" s="1880"/>
      <c r="J42" s="1880"/>
      <c r="K42" s="1880"/>
      <c r="L42" s="1880"/>
      <c r="M42" s="1880"/>
      <c r="N42" s="1880"/>
      <c r="O42" s="1880"/>
      <c r="P42" s="1880"/>
      <c r="Q42" s="87"/>
      <c r="R42" s="87"/>
      <c r="S42" s="87"/>
      <c r="T42" s="87"/>
      <c r="U42" s="87"/>
      <c r="V42" s="87"/>
      <c r="W42" s="87"/>
    </row>
    <row r="43" spans="1:23" ht="16.5" customHeight="1">
      <c r="A43" s="87"/>
      <c r="B43" s="87"/>
      <c r="C43" s="87"/>
      <c r="D43" s="87"/>
      <c r="E43" s="1898" t="s">
        <v>293</v>
      </c>
      <c r="F43" s="1899"/>
      <c r="G43" s="1899"/>
      <c r="H43" s="1899"/>
      <c r="I43" s="1899"/>
      <c r="J43" s="1899"/>
      <c r="K43" s="1899"/>
      <c r="L43" s="1899"/>
      <c r="M43" s="1899"/>
      <c r="N43" s="1899"/>
      <c r="O43" s="1899"/>
      <c r="P43" s="1899"/>
      <c r="Q43" s="87"/>
      <c r="R43" s="87"/>
      <c r="S43" s="87"/>
      <c r="T43" s="87"/>
      <c r="U43" s="87"/>
      <c r="V43" s="87"/>
      <c r="W43" s="87"/>
    </row>
    <row r="44" spans="1:23" ht="16.5" customHeight="1">
      <c r="A44" s="87"/>
      <c r="B44" s="87"/>
      <c r="C44" s="87"/>
      <c r="D44" s="87"/>
      <c r="E44" s="368" t="s">
        <v>294</v>
      </c>
      <c r="F44" s="369"/>
      <c r="G44" s="369"/>
      <c r="H44" s="369"/>
      <c r="I44" s="369"/>
      <c r="J44" s="369"/>
      <c r="K44" s="369"/>
      <c r="L44" s="369"/>
      <c r="M44" s="369"/>
      <c r="N44" s="369"/>
      <c r="O44" s="331"/>
      <c r="P44" s="369"/>
      <c r="Q44" s="87"/>
      <c r="R44" s="87"/>
      <c r="S44" s="87"/>
      <c r="T44" s="87"/>
      <c r="U44" s="87"/>
      <c r="V44" s="87"/>
      <c r="W44" s="87"/>
    </row>
    <row r="45" spans="1:23" ht="33" customHeight="1">
      <c r="A45" s="87"/>
      <c r="B45" s="87"/>
      <c r="C45" s="87"/>
      <c r="D45" s="87"/>
      <c r="E45" s="370" t="s">
        <v>254</v>
      </c>
      <c r="F45" s="1891" t="s">
        <v>295</v>
      </c>
      <c r="G45" s="1891"/>
      <c r="H45" s="1891"/>
      <c r="I45" s="1891" t="s">
        <v>159</v>
      </c>
      <c r="J45" s="1891"/>
      <c r="K45" s="1891"/>
      <c r="L45" s="1891" t="s">
        <v>296</v>
      </c>
      <c r="M45" s="1891"/>
      <c r="N45" s="1891"/>
      <c r="O45" s="1891" t="s">
        <v>297</v>
      </c>
      <c r="P45" s="1891"/>
      <c r="Q45" s="87"/>
      <c r="R45" s="87"/>
      <c r="S45" s="87"/>
      <c r="T45" s="87"/>
      <c r="U45" s="87"/>
      <c r="V45" s="87"/>
      <c r="W45" s="87"/>
    </row>
    <row r="46" spans="1:23" ht="16.5" customHeight="1">
      <c r="A46" s="87"/>
      <c r="B46" s="87"/>
      <c r="C46" s="87"/>
      <c r="D46" s="87"/>
      <c r="E46" s="1896">
        <v>1</v>
      </c>
      <c r="F46" s="1896" t="s">
        <v>298</v>
      </c>
      <c r="G46" s="1896"/>
      <c r="H46" s="1896"/>
      <c r="I46" s="1897" t="s">
        <v>299</v>
      </c>
      <c r="J46" s="1897"/>
      <c r="K46" s="1897"/>
      <c r="L46" s="1897" t="s">
        <v>299</v>
      </c>
      <c r="M46" s="1897"/>
      <c r="N46" s="1897"/>
      <c r="O46" s="1896"/>
      <c r="P46" s="1896"/>
      <c r="Q46" s="87"/>
      <c r="R46" s="87"/>
      <c r="S46" s="87"/>
      <c r="T46" s="87"/>
      <c r="U46" s="87"/>
      <c r="V46" s="87"/>
      <c r="W46" s="87"/>
    </row>
    <row r="47" spans="1:23" ht="16.5" customHeight="1">
      <c r="A47" s="87"/>
      <c r="B47" s="87"/>
      <c r="C47" s="87"/>
      <c r="D47" s="87"/>
      <c r="E47" s="1892"/>
      <c r="F47" s="1892"/>
      <c r="G47" s="1892"/>
      <c r="H47" s="1892"/>
      <c r="I47" s="1894" t="s">
        <v>300</v>
      </c>
      <c r="J47" s="1894"/>
      <c r="K47" s="1894"/>
      <c r="L47" s="1894" t="s">
        <v>300</v>
      </c>
      <c r="M47" s="1894"/>
      <c r="N47" s="1894"/>
      <c r="O47" s="1892"/>
      <c r="P47" s="1892"/>
      <c r="Q47" s="87"/>
      <c r="R47" s="87"/>
      <c r="S47" s="87"/>
      <c r="T47" s="87"/>
      <c r="U47" s="87"/>
      <c r="V47" s="87"/>
      <c r="W47" s="87"/>
    </row>
    <row r="48" spans="1:23" ht="16.5" customHeight="1">
      <c r="A48" s="87"/>
      <c r="B48" s="87"/>
      <c r="C48" s="87"/>
      <c r="D48" s="87"/>
      <c r="E48" s="1892"/>
      <c r="F48" s="1892"/>
      <c r="G48" s="1892"/>
      <c r="H48" s="1892"/>
      <c r="I48" s="1894" t="s">
        <v>301</v>
      </c>
      <c r="J48" s="1894"/>
      <c r="K48" s="1894"/>
      <c r="L48" s="1894" t="s">
        <v>301</v>
      </c>
      <c r="M48" s="1894"/>
      <c r="N48" s="1894"/>
      <c r="O48" s="1892"/>
      <c r="P48" s="1892"/>
      <c r="Q48" s="87"/>
      <c r="R48" s="87"/>
      <c r="S48" s="87"/>
      <c r="T48" s="87"/>
      <c r="U48" s="87"/>
      <c r="V48" s="87"/>
      <c r="W48" s="87"/>
    </row>
    <row r="49" spans="1:23" ht="16.5" customHeight="1">
      <c r="A49" s="87"/>
      <c r="B49" s="87"/>
      <c r="C49" s="87"/>
      <c r="D49" s="87"/>
      <c r="E49" s="1892">
        <v>2</v>
      </c>
      <c r="F49" s="1892" t="s">
        <v>302</v>
      </c>
      <c r="G49" s="1892"/>
      <c r="H49" s="1892"/>
      <c r="I49" s="1894" t="s">
        <v>299</v>
      </c>
      <c r="J49" s="1894"/>
      <c r="K49" s="1894"/>
      <c r="L49" s="1894" t="s">
        <v>299</v>
      </c>
      <c r="M49" s="1894"/>
      <c r="N49" s="1894"/>
      <c r="O49" s="1892"/>
      <c r="P49" s="1892"/>
      <c r="Q49" s="87"/>
      <c r="R49" s="87"/>
      <c r="S49" s="87"/>
      <c r="T49" s="87"/>
      <c r="U49" s="87"/>
      <c r="V49" s="87"/>
      <c r="W49" s="87"/>
    </row>
    <row r="50" spans="1:23" ht="16.5" customHeight="1">
      <c r="A50" s="87"/>
      <c r="B50" s="87"/>
      <c r="C50" s="87"/>
      <c r="D50" s="87"/>
      <c r="E50" s="1892"/>
      <c r="F50" s="1892"/>
      <c r="G50" s="1892"/>
      <c r="H50" s="1892"/>
      <c r="I50" s="1894" t="s">
        <v>300</v>
      </c>
      <c r="J50" s="1894"/>
      <c r="K50" s="1894"/>
      <c r="L50" s="1894" t="s">
        <v>300</v>
      </c>
      <c r="M50" s="1894"/>
      <c r="N50" s="1894"/>
      <c r="O50" s="1892"/>
      <c r="P50" s="1892"/>
      <c r="Q50" s="87"/>
      <c r="R50" s="87"/>
      <c r="S50" s="87"/>
      <c r="T50" s="87"/>
      <c r="U50" s="87"/>
      <c r="V50" s="87"/>
      <c r="W50" s="87"/>
    </row>
    <row r="51" spans="1:23" ht="16.5" customHeight="1">
      <c r="A51" s="87"/>
      <c r="B51" s="87"/>
      <c r="C51" s="87"/>
      <c r="D51" s="87"/>
      <c r="E51" s="1893"/>
      <c r="F51" s="1893"/>
      <c r="G51" s="1893"/>
      <c r="H51" s="1893"/>
      <c r="I51" s="1895" t="s">
        <v>301</v>
      </c>
      <c r="J51" s="1895"/>
      <c r="K51" s="1895"/>
      <c r="L51" s="1895" t="s">
        <v>301</v>
      </c>
      <c r="M51" s="1895"/>
      <c r="N51" s="1895"/>
      <c r="O51" s="1893"/>
      <c r="P51" s="1893"/>
      <c r="Q51" s="87"/>
      <c r="R51" s="87"/>
      <c r="S51" s="87"/>
      <c r="T51" s="87"/>
      <c r="U51" s="87"/>
      <c r="V51" s="87"/>
      <c r="W51" s="87"/>
    </row>
    <row r="52" spans="1:23" ht="16.5" customHeight="1">
      <c r="A52" s="87"/>
      <c r="B52" s="87"/>
      <c r="C52" s="87"/>
      <c r="D52" s="87"/>
      <c r="E52" s="1892">
        <v>3</v>
      </c>
      <c r="F52" s="1892" t="s">
        <v>303</v>
      </c>
      <c r="G52" s="1892"/>
      <c r="H52" s="1892"/>
      <c r="I52" s="1894" t="s">
        <v>299</v>
      </c>
      <c r="J52" s="1894"/>
      <c r="K52" s="1894"/>
      <c r="L52" s="1894" t="s">
        <v>299</v>
      </c>
      <c r="M52" s="1894"/>
      <c r="N52" s="1894"/>
      <c r="O52" s="1892"/>
      <c r="P52" s="1892"/>
      <c r="Q52" s="87"/>
      <c r="R52" s="87"/>
      <c r="S52" s="87"/>
      <c r="T52" s="87"/>
      <c r="U52" s="87"/>
      <c r="V52" s="87"/>
      <c r="W52" s="87"/>
    </row>
    <row r="53" spans="1:23" ht="16.5" customHeight="1">
      <c r="A53" s="87"/>
      <c r="B53" s="87"/>
      <c r="C53" s="87"/>
      <c r="D53" s="87"/>
      <c r="E53" s="1892"/>
      <c r="F53" s="1892"/>
      <c r="G53" s="1892"/>
      <c r="H53" s="1892"/>
      <c r="I53" s="1894" t="s">
        <v>300</v>
      </c>
      <c r="J53" s="1894"/>
      <c r="K53" s="1894"/>
      <c r="L53" s="1894" t="s">
        <v>300</v>
      </c>
      <c r="M53" s="1894"/>
      <c r="N53" s="1894"/>
      <c r="O53" s="1892"/>
      <c r="P53" s="1892"/>
      <c r="Q53" s="87"/>
      <c r="R53" s="87"/>
      <c r="S53" s="87"/>
      <c r="T53" s="87"/>
      <c r="U53" s="87"/>
      <c r="V53" s="87"/>
      <c r="W53" s="87"/>
    </row>
    <row r="54" spans="1:23" ht="16.5" customHeight="1">
      <c r="A54" s="87"/>
      <c r="B54" s="87"/>
      <c r="C54" s="87"/>
      <c r="D54" s="87"/>
      <c r="E54" s="1893"/>
      <c r="F54" s="1893"/>
      <c r="G54" s="1893"/>
      <c r="H54" s="1893"/>
      <c r="I54" s="1895" t="s">
        <v>301</v>
      </c>
      <c r="J54" s="1895"/>
      <c r="K54" s="1895"/>
      <c r="L54" s="1895" t="s">
        <v>301</v>
      </c>
      <c r="M54" s="1895"/>
      <c r="N54" s="1895"/>
      <c r="O54" s="1893"/>
      <c r="P54" s="1893"/>
      <c r="Q54" s="87"/>
      <c r="R54" s="87"/>
      <c r="S54" s="87"/>
      <c r="T54" s="87"/>
      <c r="U54" s="87"/>
      <c r="V54" s="87"/>
      <c r="W54" s="87"/>
    </row>
    <row r="55" spans="1:23" ht="16.5" customHeight="1">
      <c r="A55" s="87"/>
      <c r="B55" s="87"/>
      <c r="C55" s="87"/>
      <c r="D55" s="87"/>
      <c r="E55" s="1892">
        <v>4</v>
      </c>
      <c r="F55" s="1892" t="s">
        <v>304</v>
      </c>
      <c r="G55" s="1892"/>
      <c r="H55" s="1892"/>
      <c r="I55" s="1894" t="s">
        <v>299</v>
      </c>
      <c r="J55" s="1894"/>
      <c r="K55" s="1894"/>
      <c r="L55" s="1894" t="s">
        <v>299</v>
      </c>
      <c r="M55" s="1894"/>
      <c r="N55" s="1894"/>
      <c r="O55" s="1892"/>
      <c r="P55" s="1892"/>
      <c r="Q55" s="87"/>
      <c r="R55" s="87"/>
      <c r="S55" s="87"/>
      <c r="T55" s="87"/>
      <c r="U55" s="87"/>
      <c r="V55" s="87"/>
      <c r="W55" s="87"/>
    </row>
    <row r="56" spans="1:23" ht="16.5" customHeight="1">
      <c r="A56" s="87"/>
      <c r="B56" s="87"/>
      <c r="C56" s="87"/>
      <c r="D56" s="87"/>
      <c r="E56" s="1892"/>
      <c r="F56" s="1892"/>
      <c r="G56" s="1892"/>
      <c r="H56" s="1892"/>
      <c r="I56" s="1894" t="s">
        <v>300</v>
      </c>
      <c r="J56" s="1894"/>
      <c r="K56" s="1894"/>
      <c r="L56" s="1894" t="s">
        <v>300</v>
      </c>
      <c r="M56" s="1894"/>
      <c r="N56" s="1894"/>
      <c r="O56" s="1892"/>
      <c r="P56" s="1892"/>
      <c r="Q56" s="87"/>
      <c r="R56" s="87"/>
      <c r="S56" s="87"/>
      <c r="T56" s="87"/>
      <c r="U56" s="87"/>
      <c r="V56" s="87"/>
      <c r="W56" s="87"/>
    </row>
    <row r="57" spans="1:23" ht="16.5" customHeight="1">
      <c r="A57" s="87"/>
      <c r="B57" s="87"/>
      <c r="C57" s="87"/>
      <c r="D57" s="87"/>
      <c r="E57" s="1893"/>
      <c r="F57" s="1893"/>
      <c r="G57" s="1893"/>
      <c r="H57" s="1893"/>
      <c r="I57" s="1895" t="s">
        <v>301</v>
      </c>
      <c r="J57" s="1895"/>
      <c r="K57" s="1895"/>
      <c r="L57" s="1895" t="s">
        <v>301</v>
      </c>
      <c r="M57" s="1895"/>
      <c r="N57" s="1895"/>
      <c r="O57" s="1893"/>
      <c r="P57" s="1893"/>
      <c r="Q57" s="87"/>
      <c r="R57" s="87"/>
      <c r="S57" s="87"/>
      <c r="T57" s="87"/>
      <c r="U57" s="87"/>
      <c r="V57" s="87"/>
      <c r="W57" s="87"/>
    </row>
    <row r="58" spans="1:23" ht="17.25">
      <c r="A58" s="87"/>
      <c r="B58" s="87"/>
      <c r="C58" s="87"/>
      <c r="D58" s="87"/>
      <c r="E58" s="1872" t="s">
        <v>4237</v>
      </c>
      <c r="F58" s="1872"/>
      <c r="G58" s="1872"/>
      <c r="H58" s="1872"/>
      <c r="I58" s="1872"/>
      <c r="J58" s="1872"/>
      <c r="K58" s="1872"/>
      <c r="L58" s="1872"/>
      <c r="M58" s="1872"/>
      <c r="N58" s="1872"/>
      <c r="O58" s="1872"/>
      <c r="P58" s="1872"/>
      <c r="Q58" s="87"/>
      <c r="R58" s="87"/>
      <c r="S58" s="87"/>
      <c r="T58" s="87"/>
      <c r="U58" s="87"/>
      <c r="V58" s="87"/>
      <c r="W58" s="87"/>
    </row>
    <row r="59" spans="1:23" ht="16.5" customHeight="1">
      <c r="A59" s="87"/>
      <c r="B59" s="87"/>
      <c r="C59" s="87"/>
      <c r="D59" s="87"/>
      <c r="E59" s="1873" t="s">
        <v>4238</v>
      </c>
      <c r="F59" s="1873"/>
      <c r="G59" s="1873"/>
      <c r="H59" s="1873"/>
      <c r="I59" s="1873"/>
      <c r="J59" s="1873"/>
      <c r="K59" s="1873"/>
      <c r="L59" s="1873"/>
      <c r="M59" s="1873"/>
      <c r="N59" s="1873"/>
      <c r="O59" s="1873"/>
      <c r="P59" s="1873"/>
      <c r="Q59" s="87"/>
      <c r="R59" s="87"/>
      <c r="S59" s="87"/>
      <c r="T59" s="87"/>
      <c r="U59" s="87"/>
      <c r="V59" s="87"/>
      <c r="W59" s="87"/>
    </row>
    <row r="60" spans="1:23">
      <c r="A60" s="87"/>
      <c r="B60" s="87"/>
      <c r="C60" s="87"/>
      <c r="D60" s="87"/>
      <c r="E60" s="1847" t="s">
        <v>261</v>
      </c>
      <c r="F60" s="1847"/>
      <c r="G60" s="1847"/>
      <c r="H60" s="1847"/>
      <c r="I60" s="1847"/>
      <c r="J60" s="1847"/>
      <c r="K60" s="1847" t="s">
        <v>262</v>
      </c>
      <c r="L60" s="1847"/>
      <c r="M60" s="1847"/>
      <c r="N60" s="1847"/>
      <c r="O60" s="1847"/>
      <c r="P60" s="1847"/>
      <c r="Q60" s="87"/>
      <c r="R60" s="87"/>
      <c r="S60" s="87"/>
      <c r="T60" s="87"/>
      <c r="U60" s="87"/>
      <c r="V60" s="87"/>
      <c r="W60" s="87"/>
    </row>
    <row r="61" spans="1:23">
      <c r="A61" s="87"/>
      <c r="B61" s="87"/>
      <c r="C61" s="87"/>
      <c r="D61" s="87"/>
      <c r="E61" s="331"/>
      <c r="F61" s="331"/>
      <c r="G61" s="365"/>
      <c r="H61" s="331"/>
      <c r="I61" s="331"/>
      <c r="J61" s="331"/>
      <c r="K61" s="331"/>
      <c r="L61" s="365"/>
      <c r="M61" s="331"/>
      <c r="N61" s="331"/>
      <c r="O61" s="331"/>
      <c r="P61" s="331"/>
      <c r="Q61" s="87"/>
      <c r="R61" s="87"/>
      <c r="S61" s="87"/>
      <c r="T61" s="87"/>
      <c r="U61" s="87"/>
      <c r="V61" s="87"/>
      <c r="W61" s="87"/>
    </row>
    <row r="62" spans="1:23">
      <c r="A62" s="87"/>
      <c r="B62" s="87"/>
      <c r="C62" s="87"/>
      <c r="D62" s="87"/>
      <c r="E62" s="331"/>
      <c r="F62" s="331"/>
      <c r="G62" s="365"/>
      <c r="H62" s="331"/>
      <c r="I62" s="331"/>
      <c r="J62" s="331"/>
      <c r="K62" s="331"/>
      <c r="L62" s="365"/>
      <c r="M62" s="331"/>
      <c r="N62" s="331"/>
      <c r="O62" s="331"/>
      <c r="P62" s="331"/>
      <c r="Q62" s="87"/>
      <c r="R62" s="87"/>
      <c r="S62" s="87"/>
      <c r="T62" s="87"/>
      <c r="U62" s="87"/>
      <c r="V62" s="87"/>
      <c r="W62" s="87"/>
    </row>
    <row r="63" spans="1:23">
      <c r="A63" s="87"/>
      <c r="B63" s="87"/>
      <c r="C63" s="87"/>
      <c r="D63" s="87"/>
      <c r="E63" s="331"/>
      <c r="F63" s="331"/>
      <c r="G63" s="331"/>
      <c r="H63" s="331"/>
      <c r="I63" s="331"/>
      <c r="J63" s="331"/>
      <c r="K63" s="331"/>
      <c r="L63" s="331"/>
      <c r="M63" s="331"/>
      <c r="N63" s="331"/>
      <c r="O63" s="331"/>
      <c r="P63" s="331"/>
      <c r="Q63" s="87"/>
      <c r="R63" s="87"/>
      <c r="S63" s="87"/>
      <c r="T63" s="87"/>
      <c r="U63" s="87"/>
      <c r="V63" s="87"/>
      <c r="W63" s="87"/>
    </row>
    <row r="64" spans="1:23">
      <c r="A64" s="87"/>
      <c r="B64" s="87"/>
      <c r="C64" s="87"/>
      <c r="D64" s="87"/>
      <c r="E64" s="331"/>
      <c r="F64" s="331"/>
      <c r="G64" s="331"/>
      <c r="H64" s="331"/>
      <c r="I64" s="331"/>
      <c r="J64" s="331"/>
      <c r="K64" s="331"/>
      <c r="L64" s="331"/>
      <c r="M64" s="331"/>
      <c r="N64" s="331"/>
      <c r="O64" s="331"/>
      <c r="P64" s="331"/>
      <c r="Q64" s="87"/>
      <c r="R64" s="87"/>
      <c r="S64" s="87"/>
      <c r="T64" s="87"/>
      <c r="U64" s="87"/>
      <c r="V64" s="87"/>
      <c r="W64" s="87"/>
    </row>
    <row r="65" spans="1:23">
      <c r="A65" s="87"/>
      <c r="B65" s="87"/>
      <c r="C65" s="87"/>
      <c r="D65" s="87"/>
      <c r="E65" s="331"/>
      <c r="F65" s="331"/>
      <c r="G65" s="331"/>
      <c r="H65" s="331"/>
      <c r="I65" s="331"/>
      <c r="J65" s="331"/>
      <c r="K65" s="331"/>
      <c r="L65" s="331"/>
      <c r="M65" s="331"/>
      <c r="N65" s="331"/>
      <c r="O65" s="331"/>
      <c r="P65" s="331"/>
      <c r="Q65" s="87"/>
      <c r="R65" s="87"/>
      <c r="S65" s="87"/>
      <c r="T65" s="87"/>
      <c r="U65" s="87"/>
      <c r="V65" s="87"/>
      <c r="W65" s="87"/>
    </row>
    <row r="66" spans="1:23">
      <c r="A66" s="87"/>
      <c r="B66" s="87"/>
      <c r="C66" s="87"/>
      <c r="D66" s="87"/>
      <c r="E66" s="1799" t="str">
        <f>CBGS1</f>
        <v>Trần Trọng Liêm</v>
      </c>
      <c r="F66" s="1799"/>
      <c r="G66" s="1799"/>
      <c r="H66" s="1799"/>
      <c r="I66" s="1799"/>
      <c r="J66" s="1799"/>
      <c r="K66" s="1799" t="str">
        <f>CBKT1</f>
        <v>Hoàng Đình Tảng</v>
      </c>
      <c r="L66" s="1799"/>
      <c r="M66" s="1799"/>
      <c r="N66" s="1799"/>
      <c r="O66" s="1799"/>
      <c r="P66" s="1799"/>
      <c r="Q66" s="87"/>
      <c r="R66" s="87"/>
      <c r="S66" s="87"/>
      <c r="T66" s="87"/>
      <c r="U66" s="87"/>
      <c r="V66" s="87"/>
      <c r="W66" s="87"/>
    </row>
    <row r="67" spans="1:23">
      <c r="A67" s="87"/>
      <c r="B67" s="87"/>
      <c r="C67" s="87"/>
      <c r="D67" s="87"/>
      <c r="E67" s="87"/>
      <c r="F67" s="87"/>
      <c r="G67" s="87"/>
      <c r="H67" s="87"/>
      <c r="I67" s="87"/>
      <c r="J67" s="87"/>
      <c r="K67" s="87"/>
      <c r="L67" s="87"/>
      <c r="M67" s="87"/>
      <c r="N67" s="87"/>
      <c r="O67" s="87"/>
      <c r="P67" s="87"/>
      <c r="Q67" s="87"/>
      <c r="R67" s="87"/>
      <c r="S67" s="87"/>
      <c r="T67" s="87"/>
      <c r="U67" s="87"/>
      <c r="V67" s="87"/>
      <c r="W67" s="87"/>
    </row>
    <row r="68" spans="1:23">
      <c r="A68" s="87"/>
      <c r="B68" s="87"/>
      <c r="C68" s="87"/>
      <c r="D68" s="87"/>
      <c r="E68" s="87"/>
      <c r="F68" s="87"/>
      <c r="G68" s="87"/>
      <c r="H68" s="87"/>
      <c r="I68" s="87"/>
      <c r="J68" s="87"/>
      <c r="K68" s="87"/>
      <c r="L68" s="87"/>
      <c r="M68" s="87"/>
      <c r="N68" s="87"/>
      <c r="O68" s="87"/>
      <c r="P68" s="87"/>
      <c r="Q68" s="87"/>
      <c r="R68" s="87"/>
      <c r="S68" s="87"/>
      <c r="T68" s="87"/>
      <c r="U68" s="87"/>
      <c r="V68" s="87"/>
      <c r="W68" s="87"/>
    </row>
    <row r="69" spans="1:23">
      <c r="A69" s="87"/>
      <c r="B69" s="87"/>
      <c r="C69" s="87"/>
      <c r="D69" s="87"/>
      <c r="E69" s="87"/>
      <c r="F69" s="87"/>
      <c r="G69" s="87"/>
      <c r="H69" s="87"/>
      <c r="I69" s="87"/>
      <c r="J69" s="87"/>
      <c r="K69" s="87"/>
      <c r="L69" s="87"/>
      <c r="M69" s="87"/>
      <c r="N69" s="87"/>
      <c r="O69" s="87"/>
      <c r="P69" s="87"/>
      <c r="Q69" s="87"/>
      <c r="R69" s="87"/>
      <c r="S69" s="87"/>
      <c r="T69" s="87"/>
      <c r="U69" s="87"/>
      <c r="V69" s="87"/>
      <c r="W69" s="87"/>
    </row>
    <row r="70" spans="1:23">
      <c r="A70" s="87"/>
      <c r="B70" s="87"/>
      <c r="C70" s="87"/>
      <c r="D70" s="87"/>
      <c r="E70" s="87"/>
      <c r="F70" s="87"/>
      <c r="G70" s="87"/>
      <c r="H70" s="87"/>
      <c r="I70" s="87"/>
      <c r="J70" s="87"/>
      <c r="K70" s="87"/>
      <c r="L70" s="87"/>
      <c r="M70" s="87"/>
      <c r="N70" s="87"/>
      <c r="O70" s="87"/>
      <c r="P70" s="87"/>
      <c r="Q70" s="87"/>
      <c r="R70" s="87"/>
      <c r="S70" s="87"/>
      <c r="T70" s="87"/>
      <c r="U70" s="87"/>
      <c r="V70" s="87"/>
      <c r="W70" s="87"/>
    </row>
    <row r="71" spans="1:23">
      <c r="A71" s="87"/>
      <c r="B71" s="87"/>
      <c r="C71" s="87"/>
      <c r="D71" s="87"/>
      <c r="E71" s="87"/>
      <c r="F71" s="87"/>
      <c r="G71" s="87"/>
      <c r="H71" s="87"/>
      <c r="I71" s="87"/>
      <c r="J71" s="87"/>
      <c r="K71" s="87"/>
      <c r="L71" s="87"/>
      <c r="M71" s="87"/>
      <c r="N71" s="87"/>
      <c r="O71" s="87"/>
      <c r="P71" s="87"/>
      <c r="Q71" s="87"/>
      <c r="R71" s="87"/>
      <c r="S71" s="87"/>
      <c r="T71" s="87"/>
      <c r="U71" s="87"/>
      <c r="V71" s="87"/>
      <c r="W71" s="87"/>
    </row>
  </sheetData>
  <mergeCells count="83">
    <mergeCell ref="E7:P7"/>
    <mergeCell ref="E1:P1"/>
    <mergeCell ref="E2:P2"/>
    <mergeCell ref="E3:P3"/>
    <mergeCell ref="E5:P5"/>
    <mergeCell ref="E6:P6"/>
    <mergeCell ref="E32:P32"/>
    <mergeCell ref="E8:P8"/>
    <mergeCell ref="E10:P10"/>
    <mergeCell ref="E11:P11"/>
    <mergeCell ref="E13:O13"/>
    <mergeCell ref="E14:O14"/>
    <mergeCell ref="E15:O15"/>
    <mergeCell ref="E16:O16"/>
    <mergeCell ref="E18:P18"/>
    <mergeCell ref="E20:P20"/>
    <mergeCell ref="E23:P23"/>
    <mergeCell ref="E30:P30"/>
    <mergeCell ref="E29:P29"/>
    <mergeCell ref="E40:P40"/>
    <mergeCell ref="E42:P42"/>
    <mergeCell ref="E43:P43"/>
    <mergeCell ref="E41:P41"/>
    <mergeCell ref="E33:P33"/>
    <mergeCell ref="E34:P34"/>
    <mergeCell ref="E35:P35"/>
    <mergeCell ref="E36:P36"/>
    <mergeCell ref="E37:P37"/>
    <mergeCell ref="E39:P39"/>
    <mergeCell ref="O48:P48"/>
    <mergeCell ref="I49:K49"/>
    <mergeCell ref="O49:P49"/>
    <mergeCell ref="I46:K46"/>
    <mergeCell ref="O46:P46"/>
    <mergeCell ref="I47:K47"/>
    <mergeCell ref="O47:P47"/>
    <mergeCell ref="E55:E57"/>
    <mergeCell ref="I56:K56"/>
    <mergeCell ref="I52:K52"/>
    <mergeCell ref="O52:P52"/>
    <mergeCell ref="I53:K53"/>
    <mergeCell ref="O53:P53"/>
    <mergeCell ref="F55:H57"/>
    <mergeCell ref="I55:K55"/>
    <mergeCell ref="L55:N55"/>
    <mergeCell ref="O55:P55"/>
    <mergeCell ref="O54:P54"/>
    <mergeCell ref="L56:N56"/>
    <mergeCell ref="O56:P56"/>
    <mergeCell ref="I57:K57"/>
    <mergeCell ref="L57:N57"/>
    <mergeCell ref="O57:P57"/>
    <mergeCell ref="E58:P58"/>
    <mergeCell ref="E59:P59"/>
    <mergeCell ref="E60:J60"/>
    <mergeCell ref="K60:P60"/>
    <mergeCell ref="E66:J66"/>
    <mergeCell ref="K66:P66"/>
    <mergeCell ref="O45:P45"/>
    <mergeCell ref="I45:K45"/>
    <mergeCell ref="F45:H45"/>
    <mergeCell ref="F46:H48"/>
    <mergeCell ref="F49:H51"/>
    <mergeCell ref="L46:N46"/>
    <mergeCell ref="L47:N47"/>
    <mergeCell ref="L48:N48"/>
    <mergeCell ref="L49:N49"/>
    <mergeCell ref="I50:K50"/>
    <mergeCell ref="O50:P50"/>
    <mergeCell ref="I51:K51"/>
    <mergeCell ref="O51:P51"/>
    <mergeCell ref="L50:N50"/>
    <mergeCell ref="L51:N51"/>
    <mergeCell ref="I48:K48"/>
    <mergeCell ref="L45:N45"/>
    <mergeCell ref="E52:E54"/>
    <mergeCell ref="F52:H54"/>
    <mergeCell ref="L52:N52"/>
    <mergeCell ref="L53:N53"/>
    <mergeCell ref="I54:K54"/>
    <mergeCell ref="L54:N54"/>
    <mergeCell ref="E46:E48"/>
    <mergeCell ref="E49:E51"/>
  </mergeCells>
  <pageMargins left="0.70866141732283472" right="0.31496062992125984" top="0.31496062992125984" bottom="0.31496062992125984"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7">
    <tabColor rgb="FF00B050"/>
  </sheetPr>
  <dimension ref="A1:W104"/>
  <sheetViews>
    <sheetView showGridLines="0" zoomScaleNormal="100" workbookViewId="0">
      <pane xSplit="23" ySplit="4" topLeftCell="X47" activePane="bottomRight" state="frozen"/>
      <selection pane="topRight" activeCell="X1" sqref="X1"/>
      <selection pane="bottomLeft" activeCell="A5" sqref="A5"/>
      <selection pane="bottomRight" activeCell="F48" sqref="F48:M48"/>
    </sheetView>
  </sheetViews>
  <sheetFormatPr defaultRowHeight="16.5" zeroHeight="1"/>
  <cols>
    <col min="1" max="2" width="8.88671875" style="29"/>
    <col min="3" max="3" width="7.109375" style="29" customWidth="1"/>
    <col min="4" max="4" width="8.88671875" style="29"/>
    <col min="5" max="5" width="6.77734375" style="29" customWidth="1"/>
    <col min="6" max="6" width="4.88671875" style="29" customWidth="1"/>
    <col min="7" max="9" width="6.77734375" style="29" customWidth="1"/>
    <col min="10" max="10" width="5.109375" style="29" customWidth="1"/>
    <col min="11" max="11" width="6.21875" style="29" customWidth="1"/>
    <col min="12" max="13" width="6.77734375" style="29" customWidth="1"/>
    <col min="14" max="14" width="7.21875" style="29" customWidth="1"/>
    <col min="15" max="15" width="6.77734375" style="29" customWidth="1"/>
    <col min="16" max="16" width="8.88671875" style="29" customWidth="1"/>
    <col min="17" max="16384" width="8.88671875" style="29"/>
  </cols>
  <sheetData>
    <row r="1" spans="1:23" ht="27.75" customHeight="1">
      <c r="A1" s="90" t="s">
        <v>5834</v>
      </c>
      <c r="B1" s="87"/>
      <c r="C1" s="87"/>
      <c r="D1" s="87"/>
      <c r="E1" s="1846" t="str">
        <f>E11</f>
        <v>KIỂM TRA ĐIỀU KIỆN TRƯỚC KHI THI CÔNG</v>
      </c>
      <c r="F1" s="1846"/>
      <c r="G1" s="1846"/>
      <c r="H1" s="1846"/>
      <c r="I1" s="1846"/>
      <c r="J1" s="1846"/>
      <c r="K1" s="1846"/>
      <c r="L1" s="1846"/>
      <c r="M1" s="1846"/>
      <c r="N1" s="1846"/>
      <c r="O1" s="1846"/>
      <c r="P1" s="1846"/>
      <c r="Q1" s="87"/>
      <c r="R1" s="87"/>
      <c r="S1" s="87"/>
      <c r="T1" s="87"/>
      <c r="U1" s="87"/>
      <c r="V1" s="87"/>
      <c r="W1" s="87"/>
    </row>
    <row r="2" spans="1:23">
      <c r="A2" s="87"/>
      <c r="B2" s="87"/>
      <c r="C2" s="87"/>
      <c r="D2" s="87"/>
      <c r="E2" s="1785" t="str">
        <f>N.thuMoc!E2</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N.thuMoc!E3</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2.25" customHeight="1">
      <c r="A4" s="87"/>
      <c r="B4" s="87"/>
      <c r="C4" s="87"/>
      <c r="D4" s="87"/>
      <c r="E4" s="87"/>
      <c r="F4" s="87"/>
      <c r="G4" s="87"/>
      <c r="H4" s="87"/>
      <c r="I4" s="87"/>
      <c r="J4" s="87"/>
      <c r="K4" s="87"/>
      <c r="L4" s="87"/>
      <c r="M4" s="87"/>
      <c r="N4" s="87"/>
      <c r="O4" s="87"/>
      <c r="P4" s="87"/>
      <c r="Q4" s="87"/>
      <c r="R4" s="87"/>
      <c r="S4" s="87"/>
      <c r="T4" s="87"/>
      <c r="U4" s="87"/>
      <c r="V4" s="87"/>
      <c r="W4" s="87"/>
    </row>
    <row r="5" spans="1:23" ht="18.75" customHeight="1">
      <c r="A5" s="87"/>
      <c r="B5" s="87"/>
      <c r="C5" s="87"/>
      <c r="D5" s="87"/>
      <c r="E5" s="1888" t="s">
        <v>158</v>
      </c>
      <c r="F5" s="1888"/>
      <c r="G5" s="1888"/>
      <c r="H5" s="1888"/>
      <c r="I5" s="1888"/>
      <c r="J5" s="1888"/>
      <c r="K5" s="1888"/>
      <c r="L5" s="1888"/>
      <c r="M5" s="1888"/>
      <c r="N5" s="1888"/>
      <c r="O5" s="1888"/>
      <c r="P5" s="1888"/>
      <c r="Q5" s="87"/>
      <c r="R5" s="87"/>
      <c r="S5" s="87"/>
      <c r="T5" s="87"/>
      <c r="U5" s="87"/>
      <c r="V5" s="87"/>
      <c r="W5" s="87"/>
    </row>
    <row r="6" spans="1:23" ht="16.5" customHeight="1">
      <c r="A6" s="87"/>
      <c r="B6" s="87"/>
      <c r="C6" s="87"/>
      <c r="D6" s="87"/>
      <c r="E6" s="1847" t="s">
        <v>251</v>
      </c>
      <c r="F6" s="1847"/>
      <c r="G6" s="1847"/>
      <c r="H6" s="1847"/>
      <c r="I6" s="1847"/>
      <c r="J6" s="1847"/>
      <c r="K6" s="1847"/>
      <c r="L6" s="1847"/>
      <c r="M6" s="1847"/>
      <c r="N6" s="1847"/>
      <c r="O6" s="1847"/>
      <c r="P6" s="1847"/>
      <c r="Q6" s="87"/>
      <c r="R6" s="87"/>
      <c r="S6" s="87"/>
      <c r="T6" s="87"/>
      <c r="U6" s="87"/>
      <c r="V6" s="87"/>
      <c r="W6" s="87"/>
    </row>
    <row r="7" spans="1:23">
      <c r="A7" s="87"/>
      <c r="B7" s="87"/>
      <c r="C7" s="87"/>
      <c r="D7" s="87"/>
      <c r="E7" s="1837"/>
      <c r="F7" s="1837"/>
      <c r="G7" s="1837"/>
      <c r="H7" s="1837"/>
      <c r="I7" s="1837"/>
      <c r="J7" s="1837"/>
      <c r="K7" s="1837"/>
      <c r="L7" s="1837"/>
      <c r="M7" s="1837"/>
      <c r="N7" s="1837"/>
      <c r="O7" s="1837"/>
      <c r="P7" s="1837"/>
      <c r="Q7" s="87"/>
      <c r="R7" s="87"/>
      <c r="S7" s="87"/>
      <c r="T7" s="87"/>
      <c r="U7" s="87"/>
      <c r="V7" s="87"/>
      <c r="W7" s="87"/>
    </row>
    <row r="8" spans="1:23" ht="17.25" customHeight="1">
      <c r="A8" s="87"/>
      <c r="B8" s="87"/>
      <c r="C8" s="87"/>
      <c r="D8" s="87"/>
      <c r="E8" s="1848" t="str">
        <f>Diadanh&amp;", ngày  "&amp;DAY(Nhattrinh!K12)&amp;" tháng  "&amp;MONTH(Nhattrinh!K12 )&amp;"  năm "&amp;YEAR(Nhattrinh!K12 )</f>
        <v>Ninh Hải, ngày  6 tháng  5  năm 2020</v>
      </c>
      <c r="F8" s="1848"/>
      <c r="G8" s="1848"/>
      <c r="H8" s="1848"/>
      <c r="I8" s="1848"/>
      <c r="J8" s="1848"/>
      <c r="K8" s="1848"/>
      <c r="L8" s="1848"/>
      <c r="M8" s="1848"/>
      <c r="N8" s="1848"/>
      <c r="O8" s="1848"/>
      <c r="P8" s="1848"/>
      <c r="Q8" s="87"/>
      <c r="R8" s="87"/>
      <c r="S8" s="87"/>
      <c r="T8" s="87"/>
      <c r="U8" s="87"/>
      <c r="V8" s="87"/>
      <c r="W8" s="87"/>
    </row>
    <row r="9" spans="1:23">
      <c r="A9" s="87"/>
      <c r="B9" s="87"/>
      <c r="C9" s="87"/>
      <c r="D9" s="87"/>
      <c r="E9" s="331"/>
      <c r="F9" s="331"/>
      <c r="G9" s="354"/>
      <c r="H9" s="331"/>
      <c r="I9" s="331"/>
      <c r="J9" s="331"/>
      <c r="K9" s="331"/>
      <c r="L9" s="331"/>
      <c r="M9" s="331"/>
      <c r="N9" s="331"/>
      <c r="O9" s="331"/>
      <c r="P9" s="331"/>
      <c r="Q9" s="87"/>
      <c r="R9" s="87"/>
      <c r="S9" s="87"/>
      <c r="T9" s="87"/>
      <c r="U9" s="87"/>
      <c r="V9" s="87"/>
      <c r="W9" s="87"/>
    </row>
    <row r="10" spans="1:23" ht="21.75" customHeight="1">
      <c r="A10" s="87"/>
      <c r="B10" s="87"/>
      <c r="C10" s="87"/>
      <c r="D10" s="87"/>
      <c r="E10" s="1889" t="s">
        <v>281</v>
      </c>
      <c r="F10" s="1889"/>
      <c r="G10" s="1889"/>
      <c r="H10" s="1889"/>
      <c r="I10" s="1889"/>
      <c r="J10" s="1889"/>
      <c r="K10" s="1889"/>
      <c r="L10" s="1889"/>
      <c r="M10" s="1889"/>
      <c r="N10" s="1889"/>
      <c r="O10" s="1889"/>
      <c r="P10" s="1889"/>
      <c r="Q10" s="87"/>
      <c r="R10" s="87"/>
      <c r="S10" s="87"/>
      <c r="T10" s="87"/>
      <c r="U10" s="87"/>
      <c r="V10" s="87"/>
      <c r="W10" s="87"/>
    </row>
    <row r="11" spans="1:23" ht="22.5">
      <c r="A11" s="87"/>
      <c r="B11" s="87"/>
      <c r="C11" s="87"/>
      <c r="D11" s="87"/>
      <c r="E11" s="1890" t="s">
        <v>305</v>
      </c>
      <c r="F11" s="1890"/>
      <c r="G11" s="1890"/>
      <c r="H11" s="1890"/>
      <c r="I11" s="1890"/>
      <c r="J11" s="1890"/>
      <c r="K11" s="1890"/>
      <c r="L11" s="1890"/>
      <c r="M11" s="1890"/>
      <c r="N11" s="1890"/>
      <c r="O11" s="1890"/>
      <c r="P11" s="1890"/>
      <c r="Q11" s="87"/>
      <c r="R11" s="87"/>
      <c r="S11" s="87"/>
      <c r="T11" s="87"/>
      <c r="U11" s="87"/>
      <c r="V11" s="87"/>
      <c r="W11" s="87"/>
    </row>
    <row r="12" spans="1:23">
      <c r="A12" s="87"/>
      <c r="B12" s="87"/>
      <c r="C12" s="87"/>
      <c r="D12" s="87"/>
      <c r="E12" s="331"/>
      <c r="F12" s="331"/>
      <c r="G12" s="354"/>
      <c r="H12" s="331"/>
      <c r="I12" s="331"/>
      <c r="J12" s="331"/>
      <c r="K12" s="331"/>
      <c r="L12" s="331"/>
      <c r="M12" s="331"/>
      <c r="N12" s="331"/>
      <c r="O12" s="331"/>
      <c r="P12" s="331"/>
      <c r="Q12" s="87"/>
      <c r="R12" s="87"/>
      <c r="S12" s="87"/>
      <c r="T12" s="87"/>
      <c r="U12" s="87"/>
      <c r="V12" s="87"/>
      <c r="W12" s="87"/>
    </row>
    <row r="13" spans="1:23" ht="36.6" customHeight="1">
      <c r="A13" s="87"/>
      <c r="B13" s="87"/>
      <c r="C13" s="87"/>
      <c r="D13" s="87"/>
      <c r="E13" s="1464" t="str">
        <f>Tieude1&amp;": "&amp;NDtieude1</f>
        <v>Công trình: Gia cố nâng cấp kênh Bà Xoài từ K0+300÷K0+600 - Hệ thống thủy lợi Nha Trinh, huyện Ninh Hải, tỉnh Ninh Thuận</v>
      </c>
      <c r="F13" s="1464"/>
      <c r="G13" s="1464"/>
      <c r="H13" s="1464"/>
      <c r="I13" s="1464"/>
      <c r="J13" s="1464"/>
      <c r="K13" s="1464"/>
      <c r="L13" s="1464"/>
      <c r="M13" s="1464"/>
      <c r="N13" s="1464"/>
      <c r="O13" s="1464"/>
      <c r="P13" s="1464"/>
      <c r="Q13" s="87"/>
      <c r="R13" s="87"/>
      <c r="S13" s="87"/>
      <c r="T13" s="87"/>
      <c r="U13" s="87">
        <f>ROW()</f>
        <v>13</v>
      </c>
      <c r="V13" s="87"/>
      <c r="W13" s="87"/>
    </row>
    <row r="14" spans="1:23" ht="20.100000000000001" customHeight="1">
      <c r="A14" s="87"/>
      <c r="B14" s="87"/>
      <c r="C14" s="87"/>
      <c r="D14" s="87"/>
      <c r="E14" s="1464" t="str">
        <f>Tieude2&amp;": "&amp;NDtieude2</f>
        <v xml:space="preserve">Gói thầu 05: </v>
      </c>
      <c r="F14" s="1464"/>
      <c r="G14" s="1464"/>
      <c r="H14" s="1464"/>
      <c r="I14" s="1464"/>
      <c r="J14" s="1464"/>
      <c r="K14" s="1464"/>
      <c r="L14" s="1464"/>
      <c r="M14" s="1464"/>
      <c r="N14" s="1464"/>
      <c r="O14" s="1464"/>
      <c r="P14" s="1464"/>
      <c r="Q14" s="87"/>
      <c r="R14" s="87"/>
      <c r="S14" s="87"/>
      <c r="T14" s="87"/>
      <c r="U14" s="87">
        <f>ROW()</f>
        <v>14</v>
      </c>
      <c r="V14" s="87"/>
      <c r="W14" s="87"/>
    </row>
    <row r="15" spans="1:23" ht="20.100000000000001" customHeight="1">
      <c r="A15" s="87"/>
      <c r="B15" s="87"/>
      <c r="C15" s="87"/>
      <c r="D15" s="87"/>
      <c r="E15" s="1464" t="str">
        <f>Tieude3&amp;": "&amp;NDtieude3</f>
        <v>Hạng mục: Kênh và Công trình trên kênh</v>
      </c>
      <c r="F15" s="1464"/>
      <c r="G15" s="1464"/>
      <c r="H15" s="1464"/>
      <c r="I15" s="1464"/>
      <c r="J15" s="1464"/>
      <c r="K15" s="1464"/>
      <c r="L15" s="1464"/>
      <c r="M15" s="1464"/>
      <c r="N15" s="1464"/>
      <c r="O15" s="1464"/>
      <c r="P15" s="1464"/>
      <c r="Q15" s="87"/>
      <c r="R15" s="87"/>
      <c r="S15" s="87"/>
      <c r="T15" s="87"/>
      <c r="U15" s="87">
        <f>ROW()</f>
        <v>15</v>
      </c>
      <c r="V15" s="87"/>
      <c r="W15" s="87"/>
    </row>
    <row r="16" spans="1:23" ht="20.100000000000001" customHeight="1">
      <c r="A16" s="87"/>
      <c r="B16" s="87"/>
      <c r="C16" s="87"/>
      <c r="D16" s="87"/>
      <c r="E16" s="1558" t="str">
        <f>"Địa điểm xây dựng : "&amp;DDXD</f>
        <v>Địa điểm xây dựng : Huyện Ninh Hải - Tỉnh Ninh Thuận</v>
      </c>
      <c r="F16" s="1558"/>
      <c r="G16" s="1558"/>
      <c r="H16" s="1558"/>
      <c r="I16" s="1558"/>
      <c r="J16" s="1558"/>
      <c r="K16" s="1558"/>
      <c r="L16" s="1558"/>
      <c r="M16" s="1558"/>
      <c r="N16" s="1558"/>
      <c r="O16" s="1558"/>
      <c r="P16" s="1558"/>
      <c r="Q16" s="87"/>
      <c r="R16" s="87"/>
      <c r="S16" s="87"/>
      <c r="T16" s="87"/>
      <c r="U16" s="87">
        <f>ROW()</f>
        <v>16</v>
      </c>
      <c r="V16" s="87"/>
      <c r="W16" s="87"/>
    </row>
    <row r="17" spans="1:23">
      <c r="A17" s="87"/>
      <c r="B17" s="87"/>
      <c r="C17" s="87"/>
      <c r="D17" s="87"/>
      <c r="E17" s="331"/>
      <c r="F17" s="331"/>
      <c r="G17" s="355"/>
      <c r="H17" s="331"/>
      <c r="I17" s="331"/>
      <c r="J17" s="331"/>
      <c r="K17" s="331"/>
      <c r="L17" s="331"/>
      <c r="M17" s="331"/>
      <c r="N17" s="331"/>
      <c r="O17" s="331"/>
      <c r="P17" s="331"/>
      <c r="Q17" s="87"/>
      <c r="R17" s="87"/>
      <c r="S17" s="87"/>
      <c r="T17" s="87"/>
      <c r="U17" s="87"/>
      <c r="V17" s="87"/>
      <c r="W17" s="87"/>
    </row>
    <row r="18" spans="1:23">
      <c r="A18" s="87"/>
      <c r="B18" s="87"/>
      <c r="C18" s="87"/>
      <c r="D18" s="87"/>
      <c r="E18" s="1873" t="s">
        <v>4236</v>
      </c>
      <c r="F18" s="1873"/>
      <c r="G18" s="1873"/>
      <c r="H18" s="1873"/>
      <c r="I18" s="1873"/>
      <c r="J18" s="1873"/>
      <c r="K18" s="1873"/>
      <c r="L18" s="1873"/>
      <c r="M18" s="1873"/>
      <c r="N18" s="1873"/>
      <c r="O18" s="1873"/>
      <c r="P18" s="1873"/>
      <c r="Q18" s="87"/>
      <c r="R18" s="87"/>
      <c r="S18" s="87"/>
      <c r="T18" s="87"/>
      <c r="U18" s="87"/>
      <c r="V18" s="87"/>
      <c r="W18" s="87"/>
    </row>
    <row r="19" spans="1:23">
      <c r="A19" s="87"/>
      <c r="B19" s="87"/>
      <c r="C19" s="87"/>
      <c r="D19" s="87"/>
      <c r="E19" s="237" t="s">
        <v>198</v>
      </c>
      <c r="F19" s="238"/>
      <c r="G19" s="238"/>
      <c r="H19" s="238"/>
      <c r="I19" s="238"/>
      <c r="J19" s="236"/>
      <c r="K19" s="236"/>
      <c r="L19" s="236"/>
      <c r="M19" s="238"/>
      <c r="N19" s="238"/>
      <c r="O19" s="238"/>
      <c r="P19" s="238"/>
      <c r="Q19" s="87"/>
      <c r="R19" s="87"/>
      <c r="S19" s="87"/>
      <c r="T19" s="87"/>
      <c r="U19" s="87"/>
      <c r="V19" s="87"/>
      <c r="W19" s="87"/>
    </row>
    <row r="20" spans="1:23" ht="17.25" customHeight="1">
      <c r="A20" s="87"/>
      <c r="B20" s="87"/>
      <c r="C20" s="87"/>
      <c r="D20" s="87"/>
      <c r="E20" s="1881" t="str">
        <f>"a. Đại diện TVGS thi công XD: "&amp;DVGS</f>
        <v>a. Đại diện TVGS thi công XD: Công ty TNHH Tư vấn Đầu tư Xây dựng Huy Đạt</v>
      </c>
      <c r="F20" s="1526"/>
      <c r="G20" s="1526"/>
      <c r="H20" s="1526"/>
      <c r="I20" s="1526"/>
      <c r="J20" s="1526"/>
      <c r="K20" s="1526"/>
      <c r="L20" s="1526"/>
      <c r="M20" s="1526"/>
      <c r="N20" s="1526"/>
      <c r="O20" s="1526"/>
      <c r="P20" s="1526"/>
      <c r="Q20" s="87"/>
      <c r="R20" s="87"/>
      <c r="S20" s="87"/>
      <c r="T20" s="87"/>
      <c r="U20" s="87">
        <f>ROW()</f>
        <v>20</v>
      </c>
      <c r="V20" s="87"/>
      <c r="W20" s="87"/>
    </row>
    <row r="21" spans="1:23">
      <c r="A21" s="87"/>
      <c r="B21" s="87"/>
      <c r="C21" s="87"/>
      <c r="D21" s="87"/>
      <c r="E21" s="356"/>
      <c r="F21" s="240" t="str">
        <f>GT_GS1</f>
        <v xml:space="preserve">Ông: </v>
      </c>
      <c r="G21" s="241" t="str">
        <f>CBGS1</f>
        <v>Trần Trọng Liêm</v>
      </c>
      <c r="H21" s="242"/>
      <c r="I21" s="242"/>
      <c r="J21" s="240"/>
      <c r="K21" s="357" t="str">
        <f>"Chức vụ: "&amp;CV_CBGS1</f>
        <v>Chức vụ: Giám sát trưởng</v>
      </c>
      <c r="L21" s="241"/>
      <c r="M21" s="331"/>
      <c r="N21" s="242"/>
      <c r="O21" s="244"/>
      <c r="P21" s="244"/>
      <c r="Q21" s="87"/>
      <c r="R21" s="87"/>
      <c r="S21" s="87"/>
      <c r="T21" s="87"/>
      <c r="U21" s="87"/>
      <c r="V21" s="87"/>
      <c r="W21" s="87"/>
    </row>
    <row r="22" spans="1:23">
      <c r="A22" s="87"/>
      <c r="B22" s="87"/>
      <c r="C22" s="87"/>
      <c r="D22" s="87"/>
      <c r="E22" s="356"/>
      <c r="F22" s="240" t="str">
        <f>GT_GS2</f>
        <v xml:space="preserve">Bà  : </v>
      </c>
      <c r="G22" s="241" t="str">
        <f>CBGS2</f>
        <v>Nguyễn Thị Minh</v>
      </c>
      <c r="H22" s="242"/>
      <c r="I22" s="242"/>
      <c r="J22" s="240"/>
      <c r="K22" s="357" t="str">
        <f>"Chức vụ: "&amp;CV_CBGS2</f>
        <v>Chức vụ: Giám sát viên</v>
      </c>
      <c r="L22" s="241"/>
      <c r="M22" s="242"/>
      <c r="N22" s="242"/>
      <c r="O22" s="244"/>
      <c r="P22" s="244"/>
      <c r="Q22" s="87"/>
      <c r="R22" s="87"/>
      <c r="S22" s="87"/>
      <c r="T22" s="87"/>
      <c r="U22" s="87"/>
      <c r="V22" s="87"/>
      <c r="W22" s="87"/>
    </row>
    <row r="23" spans="1:23" ht="17.25" customHeight="1">
      <c r="A23" s="87"/>
      <c r="B23" s="87"/>
      <c r="C23" s="87"/>
      <c r="D23" s="87"/>
      <c r="E23" s="1882" t="str">
        <f>"b. Đại diện đơn vị thi công:  "&amp;DVTC</f>
        <v>b. Đại diện đơn vị thi công:  Công ty TNHH Xây dựng Thịnh Dũng</v>
      </c>
      <c r="F23" s="1615"/>
      <c r="G23" s="1615"/>
      <c r="H23" s="1615"/>
      <c r="I23" s="1615"/>
      <c r="J23" s="1615"/>
      <c r="K23" s="1615"/>
      <c r="L23" s="1615"/>
      <c r="M23" s="1615"/>
      <c r="N23" s="1615"/>
      <c r="O23" s="1615"/>
      <c r="P23" s="1615"/>
      <c r="Q23" s="87"/>
      <c r="R23" s="87"/>
      <c r="S23" s="87"/>
      <c r="T23" s="87"/>
      <c r="U23" s="87">
        <f>ROW()</f>
        <v>23</v>
      </c>
      <c r="V23" s="87"/>
      <c r="W23" s="87"/>
    </row>
    <row r="24" spans="1:23">
      <c r="A24" s="87"/>
      <c r="B24" s="87"/>
      <c r="C24" s="87"/>
      <c r="D24" s="87"/>
      <c r="E24" s="245"/>
      <c r="F24" s="240" t="str">
        <f>GT_CBKT1</f>
        <v xml:space="preserve">Ông: </v>
      </c>
      <c r="G24" s="246" t="str">
        <f>CBKT1</f>
        <v>Hoàng Đình Tảng</v>
      </c>
      <c r="H24" s="235"/>
      <c r="I24" s="235"/>
      <c r="J24" s="235"/>
      <c r="K24" s="357" t="str">
        <f>"Chức vụ: "&amp;CV_CBKT1</f>
        <v>Chức vụ: Chỉ huy công trường</v>
      </c>
      <c r="L24" s="41"/>
      <c r="M24" s="238"/>
      <c r="N24" s="236"/>
      <c r="O24" s="247"/>
      <c r="P24" s="247"/>
      <c r="Q24" s="87"/>
      <c r="R24" s="87"/>
      <c r="S24" s="87"/>
      <c r="T24" s="87"/>
      <c r="U24" s="87"/>
      <c r="V24" s="87"/>
      <c r="W24" s="87"/>
    </row>
    <row r="25" spans="1:23">
      <c r="A25" s="87"/>
      <c r="B25" s="87"/>
      <c r="C25" s="87"/>
      <c r="D25" s="87"/>
      <c r="E25" s="245"/>
      <c r="F25" s="240" t="str">
        <f>GT_CBKT2</f>
        <v xml:space="preserve">Ông: </v>
      </c>
      <c r="G25" s="246" t="str">
        <f>CBKT2</f>
        <v>Lê Thiên Phương</v>
      </c>
      <c r="H25" s="235"/>
      <c r="I25" s="235"/>
      <c r="J25" s="235"/>
      <c r="K25" s="357" t="str">
        <f>"Chức vụ: "&amp;CV_CBKT2</f>
        <v>Chức vụ: Kỹ thuật thi công</v>
      </c>
      <c r="L25" s="41"/>
      <c r="M25" s="238"/>
      <c r="N25" s="238"/>
      <c r="O25" s="238"/>
      <c r="P25" s="238"/>
      <c r="Q25" s="87"/>
      <c r="R25" s="87"/>
      <c r="S25" s="87"/>
      <c r="T25" s="87"/>
      <c r="U25" s="87"/>
      <c r="V25" s="87"/>
      <c r="W25" s="87"/>
    </row>
    <row r="26" spans="1:23">
      <c r="A26" s="87"/>
      <c r="B26" s="87"/>
      <c r="C26" s="87"/>
      <c r="D26" s="87"/>
      <c r="E26" s="237" t="s">
        <v>163</v>
      </c>
      <c r="F26" s="238"/>
      <c r="G26" s="238"/>
      <c r="H26" s="238"/>
      <c r="I26" s="238"/>
      <c r="J26" s="238"/>
      <c r="K26" s="248"/>
      <c r="L26" s="248"/>
      <c r="M26" s="238"/>
      <c r="N26" s="238"/>
      <c r="O26" s="244"/>
      <c r="P26" s="244"/>
      <c r="Q26" s="87"/>
      <c r="R26" s="87"/>
      <c r="S26" s="87"/>
      <c r="T26" s="87"/>
      <c r="U26" s="87"/>
      <c r="V26" s="87"/>
      <c r="W26" s="87"/>
    </row>
    <row r="27" spans="1:23">
      <c r="A27" s="87"/>
      <c r="B27" s="87"/>
      <c r="C27" s="87"/>
      <c r="D27" s="87"/>
      <c r="E27" s="249"/>
      <c r="F27" s="250" t="str">
        <f>"- Bắt đầu: ...... giờ ...... phút "&amp;", ngày  "&amp;DAY(Nhattrinh!K12)&amp;" tháng  "&amp;MONTH(Nhattrinh!K12 )&amp;"  năm "&amp;YEAR(Nhattrinh!K12 )</f>
        <v>- Bắt đầu: ...... giờ ...... phút , ngày  6 tháng  5  năm 2020</v>
      </c>
      <c r="G27" s="331"/>
      <c r="H27" s="251"/>
      <c r="I27" s="251"/>
      <c r="J27" s="252"/>
      <c r="K27" s="252"/>
      <c r="L27" s="252"/>
      <c r="M27" s="252"/>
      <c r="N27" s="252"/>
      <c r="O27" s="252"/>
      <c r="P27" s="249"/>
      <c r="Q27" s="87"/>
      <c r="R27" s="87"/>
      <c r="S27" s="87"/>
      <c r="T27" s="87"/>
      <c r="U27" s="87"/>
      <c r="V27" s="87"/>
      <c r="W27" s="87"/>
    </row>
    <row r="28" spans="1:23">
      <c r="A28" s="87"/>
      <c r="B28" s="87"/>
      <c r="C28" s="87"/>
      <c r="D28" s="87"/>
      <c r="E28" s="249"/>
      <c r="F28" s="250" t="str">
        <f>"- Kết thúc: ...... giờ ...... Phút"&amp;", ngày  "&amp;DAY(Nhattrinh!K12)&amp;" tháng  "&amp;MONTH(Nhattrinh!K12 )&amp;"  năm "&amp;YEAR(Nhattrinh!K12 )</f>
        <v>- Kết thúc: ...... giờ ...... Phút, ngày  6 tháng  5  năm 2020</v>
      </c>
      <c r="G28" s="331"/>
      <c r="H28" s="251"/>
      <c r="I28" s="251"/>
      <c r="J28" s="252"/>
      <c r="K28" s="252"/>
      <c r="L28" s="252"/>
      <c r="M28" s="252"/>
      <c r="N28" s="252"/>
      <c r="O28" s="252"/>
      <c r="P28" s="249"/>
      <c r="Q28" s="87"/>
      <c r="R28" s="87"/>
      <c r="S28" s="87"/>
      <c r="T28" s="87"/>
      <c r="U28" s="87"/>
      <c r="V28" s="87"/>
      <c r="W28" s="87"/>
    </row>
    <row r="29" spans="1:23" ht="36.6" customHeight="1">
      <c r="A29" s="87"/>
      <c r="B29" s="87"/>
      <c r="C29" s="87"/>
      <c r="D29" s="87"/>
      <c r="E29" s="1902" t="str">
        <f>"- Vị trí: Tại công trường: "&amp;NDtieude1</f>
        <v>- Vị trí: Tại công trường: Gia cố nâng cấp kênh Bà Xoài từ K0+300÷K0+600 - Hệ thống thủy lợi Nha Trinh, huyện Ninh Hải, tỉnh Ninh Thuận</v>
      </c>
      <c r="F29" s="1902"/>
      <c r="G29" s="1902"/>
      <c r="H29" s="1902"/>
      <c r="I29" s="1902"/>
      <c r="J29" s="1902"/>
      <c r="K29" s="1902"/>
      <c r="L29" s="1902"/>
      <c r="M29" s="1902"/>
      <c r="N29" s="1902"/>
      <c r="O29" s="1902"/>
      <c r="P29" s="1902"/>
      <c r="Q29" s="87"/>
      <c r="R29" s="87"/>
      <c r="S29" s="87"/>
      <c r="T29" s="87"/>
      <c r="U29" s="87">
        <f>ROW()</f>
        <v>29</v>
      </c>
      <c r="V29" s="87"/>
      <c r="W29" s="87"/>
    </row>
    <row r="30" spans="1:23">
      <c r="A30" s="87"/>
      <c r="B30" s="87"/>
      <c r="C30" s="87"/>
      <c r="D30" s="87"/>
      <c r="E30" s="1883" t="s">
        <v>252</v>
      </c>
      <c r="F30" s="1883"/>
      <c r="G30" s="1883"/>
      <c r="H30" s="1883"/>
      <c r="I30" s="1883"/>
      <c r="J30" s="1883"/>
      <c r="K30" s="1883"/>
      <c r="L30" s="1883"/>
      <c r="M30" s="1883"/>
      <c r="N30" s="1883"/>
      <c r="O30" s="1883"/>
      <c r="P30" s="1883"/>
      <c r="Q30" s="87"/>
      <c r="R30" s="87"/>
      <c r="S30" s="87"/>
      <c r="T30" s="87"/>
      <c r="U30" s="87"/>
      <c r="V30" s="87"/>
      <c r="W30" s="87"/>
    </row>
    <row r="31" spans="1:23" ht="17.25">
      <c r="A31" s="87"/>
      <c r="B31" s="87"/>
      <c r="C31" s="87"/>
      <c r="D31" s="87"/>
      <c r="E31" s="358" t="s">
        <v>265</v>
      </c>
      <c r="F31" s="359"/>
      <c r="G31" s="359"/>
      <c r="H31" s="359"/>
      <c r="I31" s="359"/>
      <c r="J31" s="359"/>
      <c r="K31" s="359"/>
      <c r="L31" s="359"/>
      <c r="M31" s="359"/>
      <c r="N31" s="359"/>
      <c r="O31" s="359"/>
      <c r="P31" s="359"/>
      <c r="Q31" s="87"/>
      <c r="R31" s="87"/>
      <c r="S31" s="87"/>
      <c r="T31" s="87"/>
      <c r="U31" s="87"/>
      <c r="V31" s="87"/>
      <c r="W31" s="87"/>
    </row>
    <row r="32" spans="1:23">
      <c r="A32" s="87"/>
      <c r="B32" s="87"/>
      <c r="C32" s="87"/>
      <c r="D32" s="87"/>
      <c r="E32" s="1833" t="s">
        <v>307</v>
      </c>
      <c r="F32" s="1827"/>
      <c r="G32" s="1827"/>
      <c r="H32" s="1827"/>
      <c r="I32" s="1827"/>
      <c r="J32" s="1827"/>
      <c r="K32" s="1827"/>
      <c r="L32" s="1827"/>
      <c r="M32" s="1827"/>
      <c r="N32" s="1827"/>
      <c r="O32" s="1827"/>
      <c r="P32" s="1827"/>
      <c r="Q32" s="87"/>
      <c r="R32" s="87"/>
      <c r="S32" s="87"/>
      <c r="T32" s="87"/>
      <c r="U32" s="87"/>
      <c r="V32" s="87"/>
      <c r="W32" s="87"/>
    </row>
    <row r="33" spans="1:23">
      <c r="A33" s="87"/>
      <c r="B33" s="87"/>
      <c r="C33" s="87"/>
      <c r="D33" s="87"/>
      <c r="E33" s="1905" t="s">
        <v>306</v>
      </c>
      <c r="F33" s="1455"/>
      <c r="G33" s="1455"/>
      <c r="H33" s="1455"/>
      <c r="I33" s="1455"/>
      <c r="J33" s="1455"/>
      <c r="K33" s="1455"/>
      <c r="L33" s="1455"/>
      <c r="M33" s="1455"/>
      <c r="N33" s="1455"/>
      <c r="O33" s="1455"/>
      <c r="P33" s="1455"/>
      <c r="Q33" s="87"/>
      <c r="R33" s="87"/>
      <c r="S33" s="87"/>
      <c r="T33" s="87"/>
      <c r="U33" s="87"/>
      <c r="V33" s="87"/>
      <c r="W33" s="87"/>
    </row>
    <row r="34" spans="1:23">
      <c r="A34" s="87"/>
      <c r="B34" s="87"/>
      <c r="C34" s="87"/>
      <c r="D34" s="87"/>
      <c r="E34" s="1833" t="s">
        <v>309</v>
      </c>
      <c r="F34" s="1827"/>
      <c r="G34" s="1827"/>
      <c r="H34" s="1827"/>
      <c r="I34" s="1827"/>
      <c r="J34" s="1827"/>
      <c r="K34" s="1827"/>
      <c r="L34" s="1827"/>
      <c r="M34" s="1827"/>
      <c r="N34" s="1827"/>
      <c r="O34" s="1827"/>
      <c r="P34" s="1827"/>
      <c r="Q34" s="87"/>
      <c r="R34" s="87"/>
      <c r="S34" s="87"/>
      <c r="T34" s="87"/>
      <c r="U34" s="87"/>
      <c r="V34" s="87"/>
      <c r="W34" s="87"/>
    </row>
    <row r="35" spans="1:23">
      <c r="A35" s="87"/>
      <c r="B35" s="87"/>
      <c r="C35" s="87"/>
      <c r="D35" s="87"/>
      <c r="E35" s="1833" t="s">
        <v>310</v>
      </c>
      <c r="F35" s="1827"/>
      <c r="G35" s="1827"/>
      <c r="H35" s="1827"/>
      <c r="I35" s="1827"/>
      <c r="J35" s="1827"/>
      <c r="K35" s="1827"/>
      <c r="L35" s="1827"/>
      <c r="M35" s="1827"/>
      <c r="N35" s="1827"/>
      <c r="O35" s="1827"/>
      <c r="P35" s="1827"/>
      <c r="Q35" s="87"/>
      <c r="R35" s="87"/>
      <c r="S35" s="87"/>
      <c r="T35" s="87"/>
      <c r="U35" s="87"/>
      <c r="V35" s="87"/>
      <c r="W35" s="87"/>
    </row>
    <row r="36" spans="1:23">
      <c r="A36" s="87"/>
      <c r="B36" s="87"/>
      <c r="C36" s="87"/>
      <c r="D36" s="87"/>
      <c r="E36" s="1906" t="s">
        <v>5286</v>
      </c>
      <c r="F36" s="1906"/>
      <c r="G36" s="1906"/>
      <c r="H36" s="1906"/>
      <c r="I36" s="1906"/>
      <c r="J36" s="1906"/>
      <c r="K36" s="1906"/>
      <c r="L36" s="1906"/>
      <c r="M36" s="1906"/>
      <c r="N36" s="1906"/>
      <c r="O36" s="1906"/>
      <c r="P36" s="1906"/>
      <c r="Q36" s="87"/>
      <c r="R36" s="87"/>
      <c r="S36" s="87"/>
      <c r="T36" s="87"/>
      <c r="U36" s="87"/>
      <c r="V36" s="87"/>
      <c r="W36" s="87"/>
    </row>
    <row r="37" spans="1:23" ht="16.5" customHeight="1">
      <c r="A37" s="87"/>
      <c r="B37" s="87"/>
      <c r="C37" s="87"/>
      <c r="D37" s="87"/>
      <c r="E37" s="1880" t="s">
        <v>308</v>
      </c>
      <c r="F37" s="1880"/>
      <c r="G37" s="1880"/>
      <c r="H37" s="1880"/>
      <c r="I37" s="1880"/>
      <c r="J37" s="1880"/>
      <c r="K37" s="1880"/>
      <c r="L37" s="1880"/>
      <c r="M37" s="1880"/>
      <c r="N37" s="1880"/>
      <c r="O37" s="1880"/>
      <c r="P37" s="1880"/>
      <c r="Q37" s="87"/>
      <c r="R37" s="87"/>
      <c r="S37" s="87"/>
      <c r="T37" s="87"/>
      <c r="U37" s="87"/>
      <c r="V37" s="87"/>
      <c r="W37" s="87"/>
    </row>
    <row r="38" spans="1:23" ht="16.5" customHeight="1">
      <c r="A38" s="87"/>
      <c r="B38" s="87"/>
      <c r="C38" s="87"/>
      <c r="D38" s="87"/>
      <c r="E38" s="852"/>
      <c r="F38" s="852"/>
      <c r="G38" s="852"/>
      <c r="H38" s="852"/>
      <c r="I38" s="852"/>
      <c r="J38" s="852"/>
      <c r="K38" s="852"/>
      <c r="L38" s="852"/>
      <c r="M38" s="852"/>
      <c r="N38" s="852"/>
      <c r="O38" s="852"/>
      <c r="P38" s="852"/>
      <c r="Q38" s="87"/>
      <c r="R38" s="87"/>
      <c r="S38" s="87"/>
      <c r="T38" s="87"/>
      <c r="U38" s="87"/>
      <c r="V38" s="87"/>
      <c r="W38" s="87"/>
    </row>
    <row r="39" spans="1:23" ht="33" customHeight="1">
      <c r="A39" s="87"/>
      <c r="B39" s="87"/>
      <c r="C39" s="87"/>
      <c r="D39" s="87"/>
      <c r="E39" s="866" t="s">
        <v>21</v>
      </c>
      <c r="F39" s="1904" t="s">
        <v>3897</v>
      </c>
      <c r="G39" s="1904"/>
      <c r="H39" s="1904"/>
      <c r="I39" s="1904"/>
      <c r="J39" s="1904"/>
      <c r="K39" s="1904"/>
      <c r="L39" s="1904"/>
      <c r="M39" s="1904"/>
      <c r="N39" s="1904" t="s">
        <v>3898</v>
      </c>
      <c r="O39" s="1904"/>
      <c r="P39" s="869" t="s">
        <v>20</v>
      </c>
      <c r="Q39" s="87"/>
      <c r="R39" s="87"/>
      <c r="S39" s="87"/>
      <c r="T39" s="87"/>
      <c r="U39" s="87"/>
      <c r="V39" s="87"/>
      <c r="W39" s="87"/>
    </row>
    <row r="40" spans="1:23" ht="36" customHeight="1">
      <c r="A40" s="87"/>
      <c r="B40" s="87"/>
      <c r="C40" s="87"/>
      <c r="D40" s="87"/>
      <c r="E40" s="867">
        <v>1</v>
      </c>
      <c r="F40" s="1903" t="s">
        <v>5287</v>
      </c>
      <c r="G40" s="1903"/>
      <c r="H40" s="1903"/>
      <c r="I40" s="1903"/>
      <c r="J40" s="1903"/>
      <c r="K40" s="1903"/>
      <c r="L40" s="1903"/>
      <c r="M40" s="1903"/>
      <c r="N40" s="868" t="s">
        <v>5288</v>
      </c>
      <c r="O40" s="868"/>
      <c r="P40" s="873"/>
      <c r="Q40" s="87"/>
      <c r="R40" s="87"/>
      <c r="S40" s="87"/>
      <c r="T40" s="87"/>
      <c r="U40" s="87"/>
      <c r="V40" s="87"/>
      <c r="W40" s="87"/>
    </row>
    <row r="41" spans="1:23" ht="36.75" customHeight="1">
      <c r="A41" s="87"/>
      <c r="B41" s="87"/>
      <c r="C41" s="87"/>
      <c r="D41" s="87"/>
      <c r="E41" s="867">
        <v>2</v>
      </c>
      <c r="F41" s="1903" t="s">
        <v>5289</v>
      </c>
      <c r="G41" s="1903"/>
      <c r="H41" s="1903"/>
      <c r="I41" s="1903"/>
      <c r="J41" s="1903"/>
      <c r="K41" s="1903"/>
      <c r="L41" s="1903"/>
      <c r="M41" s="1903"/>
      <c r="N41" s="868" t="s">
        <v>5290</v>
      </c>
      <c r="O41" s="868"/>
      <c r="P41" s="873"/>
      <c r="Q41" s="87"/>
      <c r="R41" s="87"/>
      <c r="S41" s="87"/>
      <c r="T41" s="87"/>
      <c r="U41" s="87"/>
      <c r="V41" s="87"/>
      <c r="W41" s="87"/>
    </row>
    <row r="42" spans="1:23" ht="27.75" customHeight="1">
      <c r="A42" s="87"/>
      <c r="B42" s="87"/>
      <c r="C42" s="87"/>
      <c r="D42" s="87"/>
      <c r="E42" s="867">
        <v>3</v>
      </c>
      <c r="F42" s="1903" t="s">
        <v>5291</v>
      </c>
      <c r="G42" s="1903"/>
      <c r="H42" s="1903"/>
      <c r="I42" s="1903"/>
      <c r="J42" s="1903"/>
      <c r="K42" s="1903"/>
      <c r="L42" s="1903"/>
      <c r="M42" s="1903"/>
      <c r="N42" s="868" t="s">
        <v>5290</v>
      </c>
      <c r="O42" s="868"/>
      <c r="P42" s="873"/>
      <c r="Q42" s="87"/>
      <c r="R42" s="87"/>
      <c r="S42" s="87"/>
      <c r="T42" s="87"/>
      <c r="U42" s="87"/>
      <c r="V42" s="87"/>
      <c r="W42" s="87"/>
    </row>
    <row r="43" spans="1:23" ht="30" customHeight="1">
      <c r="A43" s="87"/>
      <c r="B43" s="87"/>
      <c r="C43" s="87"/>
      <c r="D43" s="87"/>
      <c r="E43" s="867">
        <v>4</v>
      </c>
      <c r="F43" s="1903" t="s">
        <v>5292</v>
      </c>
      <c r="G43" s="1903"/>
      <c r="H43" s="1903"/>
      <c r="I43" s="1903"/>
      <c r="J43" s="1903"/>
      <c r="K43" s="1903"/>
      <c r="L43" s="1903"/>
      <c r="M43" s="1903"/>
      <c r="N43" s="868" t="s">
        <v>5290</v>
      </c>
      <c r="O43" s="868"/>
      <c r="P43" s="873"/>
      <c r="Q43" s="87"/>
      <c r="R43" s="87"/>
      <c r="S43" s="87"/>
      <c r="T43" s="87"/>
      <c r="U43" s="87"/>
      <c r="V43" s="87"/>
      <c r="W43" s="87"/>
    </row>
    <row r="44" spans="1:23" ht="33">
      <c r="A44" s="87"/>
      <c r="B44" s="87"/>
      <c r="C44" s="87"/>
      <c r="D44" s="87"/>
      <c r="E44" s="867">
        <v>5</v>
      </c>
      <c r="F44" s="1903" t="s">
        <v>5293</v>
      </c>
      <c r="G44" s="1903"/>
      <c r="H44" s="1903"/>
      <c r="I44" s="1903"/>
      <c r="J44" s="1903"/>
      <c r="K44" s="1903"/>
      <c r="L44" s="1903"/>
      <c r="M44" s="1903"/>
      <c r="N44" s="868" t="s">
        <v>5294</v>
      </c>
      <c r="O44" s="868"/>
      <c r="P44" s="873"/>
      <c r="Q44" s="87"/>
      <c r="R44" s="87"/>
      <c r="S44" s="87"/>
      <c r="T44" s="87"/>
      <c r="U44" s="87"/>
      <c r="V44" s="87"/>
      <c r="W44" s="87"/>
    </row>
    <row r="45" spans="1:23" ht="39" customHeight="1">
      <c r="A45" s="87"/>
      <c r="B45" s="87"/>
      <c r="C45" s="87"/>
      <c r="D45" s="87"/>
      <c r="E45" s="867">
        <v>6</v>
      </c>
      <c r="F45" s="1903" t="s">
        <v>5295</v>
      </c>
      <c r="G45" s="1903"/>
      <c r="H45" s="1903"/>
      <c r="I45" s="1903"/>
      <c r="J45" s="1903"/>
      <c r="K45" s="1903"/>
      <c r="L45" s="1903"/>
      <c r="M45" s="1903"/>
      <c r="N45" s="868" t="s">
        <v>5294</v>
      </c>
      <c r="O45" s="868"/>
      <c r="P45" s="873"/>
      <c r="Q45" s="87"/>
      <c r="R45" s="87"/>
      <c r="S45" s="87"/>
      <c r="T45" s="87"/>
      <c r="U45" s="87"/>
      <c r="V45" s="87"/>
      <c r="W45" s="87"/>
    </row>
    <row r="46" spans="1:23" ht="27" customHeight="1">
      <c r="A46" s="87"/>
      <c r="B46" s="87"/>
      <c r="C46" s="87"/>
      <c r="D46" s="87"/>
      <c r="E46" s="867">
        <v>7</v>
      </c>
      <c r="F46" s="1903" t="s">
        <v>5296</v>
      </c>
      <c r="G46" s="1903"/>
      <c r="H46" s="1903"/>
      <c r="I46" s="1903"/>
      <c r="J46" s="1903"/>
      <c r="K46" s="1903"/>
      <c r="L46" s="1903"/>
      <c r="M46" s="1903"/>
      <c r="N46" s="868" t="s">
        <v>5290</v>
      </c>
      <c r="O46" s="868"/>
      <c r="P46" s="873"/>
      <c r="Q46" s="87"/>
      <c r="R46" s="87"/>
      <c r="S46" s="87"/>
      <c r="T46" s="87"/>
      <c r="U46" s="87"/>
      <c r="V46" s="87"/>
      <c r="W46" s="87"/>
    </row>
    <row r="47" spans="1:23" ht="36" customHeight="1">
      <c r="A47" s="87"/>
      <c r="B47" s="87"/>
      <c r="C47" s="87"/>
      <c r="D47" s="87"/>
      <c r="E47" s="867">
        <v>8</v>
      </c>
      <c r="F47" s="1903" t="s">
        <v>5297</v>
      </c>
      <c r="G47" s="1903"/>
      <c r="H47" s="1903"/>
      <c r="I47" s="1903"/>
      <c r="J47" s="1903"/>
      <c r="K47" s="1903"/>
      <c r="L47" s="1903"/>
      <c r="M47" s="1903"/>
      <c r="N47" s="868" t="s">
        <v>5294</v>
      </c>
      <c r="O47" s="868"/>
      <c r="P47" s="873"/>
      <c r="Q47" s="87"/>
      <c r="R47" s="87"/>
      <c r="S47" s="87"/>
      <c r="T47" s="87"/>
      <c r="U47" s="87"/>
      <c r="V47" s="87"/>
      <c r="W47" s="87"/>
    </row>
    <row r="48" spans="1:23" ht="21.75" customHeight="1">
      <c r="A48" s="87"/>
      <c r="B48" s="87"/>
      <c r="C48" s="87"/>
      <c r="D48" s="87"/>
      <c r="E48" s="867">
        <v>9</v>
      </c>
      <c r="F48" s="1903" t="s">
        <v>5298</v>
      </c>
      <c r="G48" s="1903"/>
      <c r="H48" s="1903"/>
      <c r="I48" s="1903"/>
      <c r="J48" s="1903"/>
      <c r="K48" s="1903"/>
      <c r="L48" s="1903"/>
      <c r="M48" s="1903"/>
      <c r="N48" s="868" t="s">
        <v>5290</v>
      </c>
      <c r="O48" s="868"/>
      <c r="P48" s="873"/>
      <c r="Q48" s="87"/>
      <c r="R48" s="87"/>
      <c r="S48" s="87"/>
      <c r="T48" s="87"/>
      <c r="U48" s="87"/>
      <c r="V48" s="87"/>
      <c r="W48" s="87"/>
    </row>
    <row r="49" spans="1:23" ht="27.75" customHeight="1">
      <c r="A49" s="87"/>
      <c r="B49" s="87"/>
      <c r="C49" s="87"/>
      <c r="D49" s="87"/>
      <c r="E49" s="867">
        <v>10</v>
      </c>
      <c r="F49" s="1903" t="s">
        <v>5299</v>
      </c>
      <c r="G49" s="1903"/>
      <c r="H49" s="1903"/>
      <c r="I49" s="1903"/>
      <c r="J49" s="1903"/>
      <c r="K49" s="1903"/>
      <c r="L49" s="1903"/>
      <c r="M49" s="1903"/>
      <c r="N49" s="868" t="s">
        <v>5290</v>
      </c>
      <c r="O49" s="868"/>
      <c r="P49" s="873"/>
      <c r="Q49" s="87"/>
      <c r="R49" s="87"/>
      <c r="S49" s="87"/>
      <c r="T49" s="87"/>
      <c r="U49" s="87"/>
      <c r="V49" s="87"/>
      <c r="W49" s="87"/>
    </row>
    <row r="50" spans="1:23" ht="24" customHeight="1">
      <c r="A50" s="87"/>
      <c r="B50" s="87"/>
      <c r="C50" s="87"/>
      <c r="D50" s="87"/>
      <c r="E50" s="867">
        <v>11</v>
      </c>
      <c r="F50" s="1903" t="s">
        <v>5300</v>
      </c>
      <c r="G50" s="1903"/>
      <c r="H50" s="1903"/>
      <c r="I50" s="1903"/>
      <c r="J50" s="1903"/>
      <c r="K50" s="1903"/>
      <c r="L50" s="1903"/>
      <c r="M50" s="1903"/>
      <c r="N50" s="868" t="s">
        <v>5290</v>
      </c>
      <c r="O50" s="868"/>
      <c r="P50" s="873"/>
      <c r="Q50" s="87"/>
      <c r="R50" s="87"/>
      <c r="S50" s="87"/>
      <c r="T50" s="87"/>
      <c r="U50" s="87"/>
      <c r="V50" s="87"/>
      <c r="W50" s="87"/>
    </row>
    <row r="51" spans="1:23" ht="27.75" customHeight="1">
      <c r="A51" s="87"/>
      <c r="B51" s="87"/>
      <c r="C51" s="87"/>
      <c r="D51" s="87"/>
      <c r="E51" s="867">
        <v>12</v>
      </c>
      <c r="F51" s="1903" t="s">
        <v>5301</v>
      </c>
      <c r="G51" s="1903"/>
      <c r="H51" s="1903"/>
      <c r="I51" s="1903"/>
      <c r="J51" s="1903"/>
      <c r="K51" s="1903"/>
      <c r="L51" s="1903"/>
      <c r="M51" s="1903"/>
      <c r="N51" s="868" t="s">
        <v>5290</v>
      </c>
      <c r="O51" s="868"/>
      <c r="P51" s="873"/>
      <c r="Q51" s="87"/>
      <c r="R51" s="87"/>
      <c r="S51" s="87"/>
      <c r="T51" s="87"/>
      <c r="U51" s="87"/>
      <c r="V51" s="87"/>
      <c r="W51" s="87"/>
    </row>
    <row r="52" spans="1:23" ht="24" customHeight="1">
      <c r="A52" s="87"/>
      <c r="B52" s="87"/>
      <c r="C52" s="87"/>
      <c r="D52" s="87"/>
      <c r="E52" s="867">
        <v>13</v>
      </c>
      <c r="F52" s="1903" t="s">
        <v>5302</v>
      </c>
      <c r="G52" s="1903"/>
      <c r="H52" s="1903"/>
      <c r="I52" s="1903"/>
      <c r="J52" s="1903"/>
      <c r="K52" s="1903"/>
      <c r="L52" s="1903"/>
      <c r="M52" s="1903"/>
      <c r="N52" s="868" t="s">
        <v>5303</v>
      </c>
      <c r="O52" s="868"/>
      <c r="P52" s="873"/>
      <c r="Q52" s="87"/>
      <c r="R52" s="87"/>
      <c r="S52" s="87"/>
      <c r="T52" s="87"/>
      <c r="U52" s="87"/>
      <c r="V52" s="87"/>
      <c r="W52" s="87"/>
    </row>
    <row r="53" spans="1:23" ht="36.75" customHeight="1">
      <c r="A53" s="87"/>
      <c r="B53" s="87"/>
      <c r="C53" s="87"/>
      <c r="D53" s="87"/>
      <c r="E53" s="867">
        <v>14</v>
      </c>
      <c r="F53" s="1903" t="s">
        <v>5304</v>
      </c>
      <c r="G53" s="1903"/>
      <c r="H53" s="1903"/>
      <c r="I53" s="1903"/>
      <c r="J53" s="1903"/>
      <c r="K53" s="1903"/>
      <c r="L53" s="1903"/>
      <c r="M53" s="1903"/>
      <c r="N53" s="868" t="s">
        <v>5294</v>
      </c>
      <c r="O53" s="868"/>
      <c r="P53" s="873"/>
      <c r="Q53" s="87"/>
      <c r="R53" s="87"/>
      <c r="S53" s="87"/>
      <c r="T53" s="87"/>
      <c r="U53" s="87"/>
      <c r="V53" s="87"/>
      <c r="W53" s="87"/>
    </row>
    <row r="54" spans="1:23" ht="46.5" customHeight="1">
      <c r="A54" s="87"/>
      <c r="B54" s="87"/>
      <c r="C54" s="87"/>
      <c r="D54" s="87"/>
      <c r="E54" s="867">
        <v>15</v>
      </c>
      <c r="F54" s="1903" t="s">
        <v>5305</v>
      </c>
      <c r="G54" s="1903"/>
      <c r="H54" s="1903"/>
      <c r="I54" s="1903"/>
      <c r="J54" s="1903"/>
      <c r="K54" s="1903"/>
      <c r="L54" s="1903"/>
      <c r="M54" s="1903"/>
      <c r="N54" s="868" t="s">
        <v>5306</v>
      </c>
      <c r="O54" s="868"/>
      <c r="P54" s="873"/>
      <c r="Q54" s="87"/>
      <c r="R54" s="87"/>
      <c r="S54" s="87"/>
      <c r="T54" s="87"/>
      <c r="U54" s="87"/>
      <c r="V54" s="87"/>
      <c r="W54" s="87"/>
    </row>
    <row r="55" spans="1:23" ht="35.25" customHeight="1">
      <c r="A55" s="87"/>
      <c r="B55" s="87"/>
      <c r="C55" s="87"/>
      <c r="D55" s="87"/>
      <c r="E55" s="867">
        <v>16</v>
      </c>
      <c r="F55" s="1903" t="s">
        <v>5307</v>
      </c>
      <c r="G55" s="1903"/>
      <c r="H55" s="1903"/>
      <c r="I55" s="1903"/>
      <c r="J55" s="1903"/>
      <c r="K55" s="1903"/>
      <c r="L55" s="1903"/>
      <c r="M55" s="1903"/>
      <c r="N55" s="868" t="s">
        <v>5290</v>
      </c>
      <c r="O55" s="868"/>
      <c r="P55" s="873"/>
      <c r="Q55" s="87"/>
      <c r="R55" s="87"/>
      <c r="S55" s="87"/>
      <c r="T55" s="87"/>
      <c r="U55" s="87"/>
      <c r="V55" s="87"/>
      <c r="W55" s="87"/>
    </row>
    <row r="56" spans="1:23" ht="16.5" customHeight="1">
      <c r="A56" s="87"/>
      <c r="B56" s="87"/>
      <c r="C56" s="87"/>
      <c r="D56" s="87"/>
      <c r="E56" s="371"/>
      <c r="F56" s="870"/>
      <c r="G56" s="870"/>
      <c r="H56" s="870"/>
      <c r="I56" s="870"/>
      <c r="J56" s="870"/>
      <c r="K56" s="870"/>
      <c r="L56" s="870"/>
      <c r="M56" s="870"/>
      <c r="N56" s="871"/>
      <c r="O56" s="871"/>
      <c r="P56" s="872"/>
      <c r="Q56" s="87"/>
      <c r="R56" s="87"/>
      <c r="S56" s="87"/>
      <c r="T56" s="87"/>
      <c r="U56" s="87"/>
      <c r="V56" s="87"/>
      <c r="W56" s="87"/>
    </row>
    <row r="57" spans="1:23" ht="17.25">
      <c r="A57" s="87"/>
      <c r="B57" s="87"/>
      <c r="C57" s="87"/>
      <c r="D57" s="87"/>
      <c r="E57" s="1872" t="s">
        <v>4235</v>
      </c>
      <c r="F57" s="1872"/>
      <c r="G57" s="1872"/>
      <c r="H57" s="1872"/>
      <c r="I57" s="1872"/>
      <c r="J57" s="1872"/>
      <c r="K57" s="1872"/>
      <c r="L57" s="1872"/>
      <c r="M57" s="1872"/>
      <c r="N57" s="1872"/>
      <c r="O57" s="1872"/>
      <c r="P57" s="1872"/>
      <c r="Q57" s="87"/>
      <c r="R57" s="87"/>
      <c r="S57" s="87"/>
      <c r="T57" s="87"/>
      <c r="U57" s="87"/>
      <c r="V57" s="87"/>
      <c r="W57" s="87"/>
    </row>
    <row r="58" spans="1:23" ht="16.5" customHeight="1">
      <c r="A58" s="87"/>
      <c r="B58" s="87"/>
      <c r="C58" s="87"/>
      <c r="D58" s="87"/>
      <c r="E58" s="1873" t="s">
        <v>4238</v>
      </c>
      <c r="F58" s="1873"/>
      <c r="G58" s="1873"/>
      <c r="H58" s="1873"/>
      <c r="I58" s="1873"/>
      <c r="J58" s="1873"/>
      <c r="K58" s="1873"/>
      <c r="L58" s="1873"/>
      <c r="M58" s="1873"/>
      <c r="N58" s="1873"/>
      <c r="O58" s="1873"/>
      <c r="P58" s="1873"/>
      <c r="Q58" s="87"/>
      <c r="R58" s="87"/>
      <c r="S58" s="87"/>
      <c r="T58" s="87"/>
      <c r="U58" s="87"/>
      <c r="V58" s="87"/>
      <c r="W58" s="87"/>
    </row>
    <row r="59" spans="1:23">
      <c r="A59" s="87"/>
      <c r="B59" s="87"/>
      <c r="C59" s="87"/>
      <c r="D59" s="87"/>
      <c r="E59" s="1847" t="s">
        <v>261</v>
      </c>
      <c r="F59" s="1847"/>
      <c r="G59" s="1847"/>
      <c r="H59" s="1847"/>
      <c r="I59" s="1847"/>
      <c r="J59" s="1847"/>
      <c r="K59" s="1847" t="s">
        <v>262</v>
      </c>
      <c r="L59" s="1847"/>
      <c r="M59" s="1847"/>
      <c r="N59" s="1847"/>
      <c r="O59" s="1847"/>
      <c r="P59" s="1847"/>
      <c r="Q59" s="87"/>
      <c r="R59" s="87"/>
      <c r="S59" s="87"/>
      <c r="T59" s="87"/>
      <c r="U59" s="87"/>
      <c r="V59" s="87"/>
      <c r="W59" s="87"/>
    </row>
    <row r="60" spans="1:23">
      <c r="A60" s="87"/>
      <c r="B60" s="87"/>
      <c r="C60" s="87"/>
      <c r="D60" s="87"/>
      <c r="E60" s="331"/>
      <c r="F60" s="331"/>
      <c r="G60" s="365"/>
      <c r="H60" s="331"/>
      <c r="I60" s="331"/>
      <c r="J60" s="331"/>
      <c r="K60" s="331"/>
      <c r="L60" s="365"/>
      <c r="M60" s="331"/>
      <c r="N60" s="331"/>
      <c r="O60" s="331"/>
      <c r="P60" s="331"/>
      <c r="Q60" s="87"/>
      <c r="R60" s="87"/>
      <c r="S60" s="87"/>
      <c r="T60" s="87"/>
      <c r="U60" s="87"/>
      <c r="V60" s="87"/>
      <c r="W60" s="87"/>
    </row>
    <row r="61" spans="1:23">
      <c r="A61" s="87"/>
      <c r="B61" s="87"/>
      <c r="C61" s="87"/>
      <c r="D61" s="87"/>
      <c r="E61" s="331"/>
      <c r="F61" s="331"/>
      <c r="G61" s="365"/>
      <c r="H61" s="331"/>
      <c r="I61" s="331"/>
      <c r="J61" s="331"/>
      <c r="K61" s="331"/>
      <c r="L61" s="365"/>
      <c r="M61" s="331"/>
      <c r="N61" s="331"/>
      <c r="O61" s="331"/>
      <c r="P61" s="331"/>
      <c r="Q61" s="87"/>
      <c r="R61" s="87"/>
      <c r="S61" s="87"/>
      <c r="T61" s="87"/>
      <c r="U61" s="87"/>
      <c r="V61" s="87"/>
      <c r="W61" s="87"/>
    </row>
    <row r="62" spans="1:23">
      <c r="A62" s="87"/>
      <c r="B62" s="87"/>
      <c r="C62" s="87"/>
      <c r="D62" s="87"/>
      <c r="E62" s="331"/>
      <c r="F62" s="331"/>
      <c r="G62" s="331"/>
      <c r="H62" s="331"/>
      <c r="I62" s="331"/>
      <c r="J62" s="331"/>
      <c r="K62" s="331"/>
      <c r="L62" s="331"/>
      <c r="M62" s="331"/>
      <c r="N62" s="331"/>
      <c r="O62" s="331"/>
      <c r="P62" s="331"/>
      <c r="Q62" s="87"/>
      <c r="R62" s="87"/>
      <c r="S62" s="87"/>
      <c r="T62" s="87"/>
      <c r="U62" s="87"/>
      <c r="V62" s="87"/>
      <c r="W62" s="87"/>
    </row>
    <row r="63" spans="1:23">
      <c r="A63" s="87"/>
      <c r="B63" s="87"/>
      <c r="C63" s="87"/>
      <c r="D63" s="87"/>
      <c r="E63" s="331"/>
      <c r="F63" s="331"/>
      <c r="G63" s="331"/>
      <c r="H63" s="331"/>
      <c r="I63" s="331"/>
      <c r="J63" s="331"/>
      <c r="K63" s="331"/>
      <c r="L63" s="331"/>
      <c r="M63" s="331"/>
      <c r="N63" s="331"/>
      <c r="O63" s="331"/>
      <c r="P63" s="331"/>
      <c r="Q63" s="87"/>
      <c r="R63" s="87"/>
      <c r="S63" s="87"/>
      <c r="T63" s="87"/>
      <c r="U63" s="87"/>
      <c r="V63" s="87"/>
      <c r="W63" s="87"/>
    </row>
    <row r="64" spans="1:23">
      <c r="A64" s="87"/>
      <c r="B64" s="87"/>
      <c r="C64" s="87"/>
      <c r="D64" s="87"/>
      <c r="E64" s="331"/>
      <c r="F64" s="331"/>
      <c r="G64" s="331"/>
      <c r="H64" s="331"/>
      <c r="I64" s="331"/>
      <c r="J64" s="331"/>
      <c r="K64" s="331"/>
      <c r="L64" s="331"/>
      <c r="M64" s="331"/>
      <c r="N64" s="331"/>
      <c r="O64" s="331"/>
      <c r="P64" s="331"/>
      <c r="Q64" s="87"/>
      <c r="R64" s="87"/>
      <c r="S64" s="87"/>
      <c r="T64" s="87"/>
      <c r="U64" s="87"/>
      <c r="V64" s="87"/>
      <c r="W64" s="87"/>
    </row>
    <row r="65" spans="1:23">
      <c r="A65" s="87"/>
      <c r="B65" s="87"/>
      <c r="C65" s="87"/>
      <c r="D65" s="87"/>
      <c r="E65" s="1799" t="str">
        <f>CBGS1</f>
        <v>Trần Trọng Liêm</v>
      </c>
      <c r="F65" s="1799"/>
      <c r="G65" s="1799"/>
      <c r="H65" s="1799"/>
      <c r="I65" s="1799"/>
      <c r="J65" s="1799"/>
      <c r="K65" s="1799" t="str">
        <f>CBKT1</f>
        <v>Hoàng Đình Tảng</v>
      </c>
      <c r="L65" s="1799"/>
      <c r="M65" s="1799"/>
      <c r="N65" s="1799"/>
      <c r="O65" s="1799"/>
      <c r="P65" s="1799"/>
      <c r="Q65" s="87"/>
      <c r="R65" s="87"/>
      <c r="S65" s="87"/>
      <c r="T65" s="87"/>
      <c r="U65" s="87"/>
      <c r="V65" s="87"/>
      <c r="W65" s="87"/>
    </row>
    <row r="66" spans="1:23">
      <c r="A66" s="87"/>
      <c r="B66" s="87"/>
      <c r="C66" s="87"/>
      <c r="D66" s="87"/>
      <c r="E66" s="87"/>
      <c r="F66" s="87"/>
      <c r="G66" s="87"/>
      <c r="H66" s="87"/>
      <c r="I66" s="87"/>
      <c r="J66" s="87"/>
      <c r="K66" s="87"/>
      <c r="L66" s="87"/>
      <c r="M66" s="87"/>
      <c r="N66" s="87"/>
      <c r="O66" s="87"/>
      <c r="P66" s="87"/>
      <c r="Q66" s="87"/>
      <c r="R66" s="87"/>
      <c r="S66" s="87"/>
      <c r="T66" s="87"/>
      <c r="U66" s="87"/>
      <c r="V66" s="87"/>
      <c r="W66" s="87"/>
    </row>
    <row r="67" spans="1:23">
      <c r="A67" s="87"/>
      <c r="B67" s="87"/>
      <c r="C67" s="87"/>
      <c r="D67" s="87"/>
      <c r="E67" s="87"/>
      <c r="F67" s="87"/>
      <c r="G67" s="87"/>
      <c r="H67" s="87"/>
      <c r="I67" s="87"/>
      <c r="J67" s="87"/>
      <c r="K67" s="87"/>
      <c r="L67" s="87"/>
      <c r="M67" s="87"/>
      <c r="N67" s="87"/>
      <c r="O67" s="87"/>
      <c r="P67" s="87"/>
      <c r="Q67" s="87"/>
      <c r="R67" s="87"/>
      <c r="S67" s="87"/>
      <c r="T67" s="87"/>
      <c r="U67" s="87"/>
      <c r="V67" s="87"/>
      <c r="W67" s="87"/>
    </row>
    <row r="68" spans="1:23">
      <c r="A68" s="87"/>
      <c r="B68" s="87"/>
      <c r="C68" s="87"/>
      <c r="D68" s="87"/>
      <c r="E68" s="87"/>
      <c r="F68" s="87"/>
      <c r="G68" s="87"/>
      <c r="H68" s="87"/>
      <c r="I68" s="87"/>
      <c r="J68" s="87"/>
      <c r="K68" s="87"/>
      <c r="L68" s="87"/>
      <c r="M68" s="87"/>
      <c r="N68" s="87"/>
      <c r="O68" s="87"/>
      <c r="P68" s="87"/>
      <c r="Q68" s="87"/>
      <c r="R68" s="87"/>
      <c r="S68" s="87"/>
      <c r="T68" s="87"/>
      <c r="U68" s="87"/>
      <c r="V68" s="87"/>
      <c r="W68" s="87"/>
    </row>
    <row r="69" spans="1:23">
      <c r="A69" s="87"/>
      <c r="B69" s="87"/>
      <c r="C69" s="87"/>
      <c r="D69" s="87"/>
      <c r="E69" s="87"/>
      <c r="F69" s="87"/>
      <c r="G69" s="87"/>
      <c r="H69" s="87"/>
      <c r="I69" s="87"/>
      <c r="J69" s="87"/>
      <c r="K69" s="87"/>
      <c r="L69" s="87"/>
      <c r="M69" s="87"/>
      <c r="N69" s="87"/>
      <c r="O69" s="87"/>
      <c r="P69" s="87"/>
      <c r="Q69" s="87"/>
      <c r="R69" s="87"/>
      <c r="S69" s="87"/>
      <c r="T69" s="87"/>
      <c r="U69" s="87"/>
      <c r="V69" s="87"/>
      <c r="W69" s="87"/>
    </row>
    <row r="70" spans="1:23">
      <c r="A70" s="87"/>
      <c r="B70" s="87"/>
      <c r="C70" s="87"/>
      <c r="D70" s="87"/>
      <c r="E70" s="87"/>
      <c r="F70" s="87"/>
      <c r="G70" s="87"/>
      <c r="H70" s="87"/>
      <c r="I70" s="87"/>
      <c r="J70" s="87"/>
      <c r="K70" s="87"/>
      <c r="L70" s="87"/>
      <c r="M70" s="87"/>
      <c r="N70" s="87"/>
      <c r="O70" s="87"/>
      <c r="P70" s="87"/>
      <c r="Q70" s="87"/>
      <c r="R70" s="87"/>
      <c r="S70" s="87"/>
      <c r="T70" s="87"/>
      <c r="U70" s="87"/>
      <c r="V70" s="87"/>
      <c r="W70" s="87"/>
    </row>
    <row r="71" spans="1:23"/>
    <row r="72" spans="1:23"/>
    <row r="73" spans="1:23"/>
    <row r="74" spans="1:23"/>
    <row r="75" spans="1:23"/>
    <row r="76" spans="1:23"/>
    <row r="77" spans="1:23"/>
    <row r="78" spans="1:23"/>
    <row r="79" spans="1:23"/>
    <row r="80" spans="1:23"/>
    <row r="81"/>
    <row r="82"/>
    <row r="83"/>
    <row r="84"/>
    <row r="85"/>
    <row r="86"/>
    <row r="87"/>
    <row r="88"/>
    <row r="89"/>
    <row r="90"/>
    <row r="91"/>
    <row r="92"/>
    <row r="93"/>
    <row r="94"/>
    <row r="95"/>
    <row r="96"/>
    <row r="97"/>
    <row r="98"/>
    <row r="99"/>
    <row r="100"/>
    <row r="101"/>
    <row r="102"/>
    <row r="103"/>
    <row r="104"/>
  </sheetData>
  <mergeCells count="48">
    <mergeCell ref="E7:P7"/>
    <mergeCell ref="E1:P1"/>
    <mergeCell ref="E2:P2"/>
    <mergeCell ref="E3:P3"/>
    <mergeCell ref="E5:P5"/>
    <mergeCell ref="E6:P6"/>
    <mergeCell ref="E32:P32"/>
    <mergeCell ref="E8:P8"/>
    <mergeCell ref="E10:P10"/>
    <mergeCell ref="E11:P11"/>
    <mergeCell ref="E18:P18"/>
    <mergeCell ref="E20:P20"/>
    <mergeCell ref="E23:P23"/>
    <mergeCell ref="E30:P30"/>
    <mergeCell ref="E13:P13"/>
    <mergeCell ref="E14:P14"/>
    <mergeCell ref="E15:P15"/>
    <mergeCell ref="E16:P16"/>
    <mergeCell ref="E29:P29"/>
    <mergeCell ref="E37:P37"/>
    <mergeCell ref="E33:P33"/>
    <mergeCell ref="E34:P34"/>
    <mergeCell ref="E35:P35"/>
    <mergeCell ref="E36:P36"/>
    <mergeCell ref="N39:O39"/>
    <mergeCell ref="F39:M39"/>
    <mergeCell ref="E59:J59"/>
    <mergeCell ref="K59:P59"/>
    <mergeCell ref="E65:J65"/>
    <mergeCell ref="K65:P65"/>
    <mergeCell ref="E57:P57"/>
    <mergeCell ref="E58:P58"/>
    <mergeCell ref="F40:M40"/>
    <mergeCell ref="F41:M41"/>
    <mergeCell ref="F42:M42"/>
    <mergeCell ref="F43:M43"/>
    <mergeCell ref="F44:M44"/>
    <mergeCell ref="F55:M55"/>
    <mergeCell ref="F50:M50"/>
    <mergeCell ref="F51:M51"/>
    <mergeCell ref="F52:M52"/>
    <mergeCell ref="F53:M53"/>
    <mergeCell ref="F54:M54"/>
    <mergeCell ref="F45:M45"/>
    <mergeCell ref="F46:M46"/>
    <mergeCell ref="F47:M47"/>
    <mergeCell ref="F48:M48"/>
    <mergeCell ref="F49:M49"/>
  </mergeCells>
  <pageMargins left="0.70866141732283472" right="0.23622047244094491" top="0.43307086614173229" bottom="0.43307086614173229" header="0.43307086614173229" footer="0.3937007874015748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V111"/>
  <sheetViews>
    <sheetView showGridLines="0" zoomScaleNormal="100" workbookViewId="0">
      <pane xSplit="22" ySplit="4" topLeftCell="W36" activePane="bottomRight" state="frozen"/>
      <selection pane="topRight" activeCell="W1" sqref="W1"/>
      <selection pane="bottomLeft" activeCell="A5" sqref="A5"/>
      <selection pane="bottomRight" activeCell="E43" sqref="E43:O43"/>
    </sheetView>
  </sheetViews>
  <sheetFormatPr defaultRowHeight="16.5"/>
  <cols>
    <col min="1" max="1" width="12.44140625" bestFit="1" customWidth="1"/>
    <col min="2" max="2" width="10.77734375" customWidth="1"/>
    <col min="4" max="4" width="1.88671875" customWidth="1"/>
    <col min="5" max="5" width="7.21875" customWidth="1"/>
    <col min="6" max="6" width="6.77734375" customWidth="1"/>
    <col min="7" max="7" width="7.33203125" customWidth="1"/>
    <col min="9" max="15" width="5.88671875" customWidth="1"/>
    <col min="16" max="16" width="1.77734375" customWidth="1"/>
  </cols>
  <sheetData>
    <row r="1" spans="1:22" s="29" customFormat="1" ht="20.25">
      <c r="A1" s="87"/>
      <c r="B1" s="87"/>
      <c r="C1" s="87"/>
      <c r="D1" s="1846" t="str">
        <f>E13</f>
        <v>BIÊN BẢN HIỆN TRƯỜNG</v>
      </c>
      <c r="E1" s="1846"/>
      <c r="F1" s="1846"/>
      <c r="G1" s="1846"/>
      <c r="H1" s="1846"/>
      <c r="I1" s="1846"/>
      <c r="J1" s="1846"/>
      <c r="K1" s="1846"/>
      <c r="L1" s="1846"/>
      <c r="M1" s="1846"/>
      <c r="N1" s="1846"/>
      <c r="O1" s="1846"/>
      <c r="P1" s="1846"/>
      <c r="Q1" s="87"/>
      <c r="R1" s="87"/>
      <c r="S1" s="87"/>
      <c r="T1" s="87"/>
      <c r="U1" s="87"/>
      <c r="V1" s="87"/>
    </row>
    <row r="2" spans="1:22" s="29" customFormat="1">
      <c r="A2" s="946" t="s">
        <v>5433</v>
      </c>
      <c r="B2" s="948">
        <f ca="1">TODAY()</f>
        <v>44000</v>
      </c>
      <c r="C2" s="87"/>
      <c r="D2" s="1785" t="str">
        <f>N.thuMoc!E2</f>
        <v xml:space="preserve">     Công trình: Gia cố nâng cấp kênh Bà Xoài từ K0+300÷K0+600 - Hệ thống thủy lợi Nha Trinh, huyện Ninh Hải, tỉnh Ninh Thuận</v>
      </c>
      <c r="E2" s="1785"/>
      <c r="F2" s="1785"/>
      <c r="G2" s="1785"/>
      <c r="H2" s="1785"/>
      <c r="I2" s="1785"/>
      <c r="J2" s="1785"/>
      <c r="K2" s="1785"/>
      <c r="L2" s="1785"/>
      <c r="M2" s="1785"/>
      <c r="N2" s="1785"/>
      <c r="O2" s="1785"/>
      <c r="P2" s="1785"/>
      <c r="Q2" s="87"/>
      <c r="R2" s="87"/>
      <c r="S2" s="87"/>
      <c r="T2" s="87"/>
      <c r="U2" s="87"/>
      <c r="V2" s="87"/>
    </row>
    <row r="3" spans="1:22" s="29" customFormat="1">
      <c r="A3" s="87"/>
      <c r="B3" s="87"/>
      <c r="C3" s="87"/>
      <c r="D3" s="1785" t="str">
        <f>N.thuMoc!E3</f>
        <v xml:space="preserve">     Địa điểm XD: Huyện Ninh Hải - Tỉnh Ninh Thuận</v>
      </c>
      <c r="E3" s="1785"/>
      <c r="F3" s="1785"/>
      <c r="G3" s="1785"/>
      <c r="H3" s="1785"/>
      <c r="I3" s="1785"/>
      <c r="J3" s="1785"/>
      <c r="K3" s="1785"/>
      <c r="L3" s="1785"/>
      <c r="M3" s="1785"/>
      <c r="N3" s="1785"/>
      <c r="O3" s="1785"/>
      <c r="P3" s="1785"/>
      <c r="Q3" s="87"/>
      <c r="R3" s="87"/>
      <c r="S3" s="87"/>
      <c r="T3" s="87"/>
      <c r="U3" s="87"/>
      <c r="V3" s="87"/>
    </row>
    <row r="4" spans="1:22" s="29" customFormat="1">
      <c r="A4" s="87"/>
      <c r="B4" s="87"/>
      <c r="C4" s="87"/>
      <c r="D4" s="87"/>
      <c r="E4" s="87"/>
      <c r="F4" s="87"/>
      <c r="G4" s="87"/>
      <c r="H4" s="87"/>
      <c r="I4" s="87"/>
      <c r="J4" s="87"/>
      <c r="K4" s="87"/>
      <c r="L4" s="87"/>
      <c r="M4" s="87"/>
      <c r="N4" s="87"/>
      <c r="O4" s="87"/>
      <c r="P4" s="87"/>
      <c r="Q4" s="87"/>
      <c r="R4" s="87"/>
      <c r="S4" s="87"/>
      <c r="T4" s="87"/>
      <c r="U4" s="87"/>
      <c r="V4" s="87"/>
    </row>
    <row r="5" spans="1:22" ht="11.25" customHeight="1">
      <c r="A5" s="87"/>
      <c r="B5" s="87"/>
      <c r="C5" s="87"/>
      <c r="D5" s="889"/>
      <c r="E5" s="889"/>
      <c r="F5" s="889"/>
      <c r="G5" s="889"/>
      <c r="H5" s="889"/>
      <c r="I5" s="889"/>
      <c r="J5" s="889"/>
      <c r="K5" s="889"/>
      <c r="L5" s="889"/>
      <c r="M5" s="889"/>
      <c r="N5" s="889"/>
      <c r="O5" s="889"/>
      <c r="P5" s="889"/>
      <c r="Q5" s="87"/>
      <c r="R5" s="87"/>
      <c r="S5" s="87"/>
      <c r="T5" s="87"/>
      <c r="U5" s="87"/>
      <c r="V5" s="87"/>
    </row>
    <row r="6" spans="1:22" ht="16.5" customHeight="1">
      <c r="A6" s="87"/>
      <c r="B6" s="87"/>
      <c r="C6" s="87"/>
      <c r="D6" s="889"/>
      <c r="E6" s="1920" t="s">
        <v>5308</v>
      </c>
      <c r="F6" s="1920"/>
      <c r="G6" s="1920"/>
      <c r="H6" s="1920"/>
      <c r="I6" s="1920"/>
      <c r="J6" s="1920"/>
      <c r="K6" s="1920"/>
      <c r="L6" s="1920"/>
      <c r="M6" s="1920"/>
      <c r="N6" s="1920"/>
      <c r="O6" s="1920"/>
      <c r="P6" s="889"/>
      <c r="Q6" s="87"/>
      <c r="R6" s="87"/>
      <c r="S6" s="87"/>
      <c r="T6" s="87"/>
      <c r="U6" s="87"/>
      <c r="V6" s="87"/>
    </row>
    <row r="7" spans="1:22">
      <c r="A7" s="87"/>
      <c r="B7" s="87"/>
      <c r="C7" s="87"/>
      <c r="D7" s="889"/>
      <c r="E7" s="1920" t="s">
        <v>5309</v>
      </c>
      <c r="F7" s="1920"/>
      <c r="G7" s="1920"/>
      <c r="H7" s="1920"/>
      <c r="I7" s="1920"/>
      <c r="J7" s="1920"/>
      <c r="K7" s="1920"/>
      <c r="L7" s="1920"/>
      <c r="M7" s="1920"/>
      <c r="N7" s="1920"/>
      <c r="O7" s="1920"/>
      <c r="P7" s="889"/>
      <c r="Q7" s="87"/>
      <c r="R7" s="87"/>
      <c r="S7" s="87"/>
      <c r="T7" s="87"/>
      <c r="U7" s="87"/>
      <c r="V7" s="87"/>
    </row>
    <row r="8" spans="1:22">
      <c r="A8" s="87"/>
      <c r="B8" s="87"/>
      <c r="C8" s="87"/>
      <c r="D8" s="889"/>
      <c r="E8" s="1921" t="s">
        <v>5348</v>
      </c>
      <c r="F8" s="1921"/>
      <c r="G8" s="1921"/>
      <c r="H8" s="1921"/>
      <c r="I8" s="1921"/>
      <c r="J8" s="1921"/>
      <c r="K8" s="1921"/>
      <c r="L8" s="1921"/>
      <c r="M8" s="1921"/>
      <c r="N8" s="1921"/>
      <c r="O8" s="1921"/>
      <c r="P8" s="889"/>
      <c r="Q8" s="87"/>
      <c r="R8" s="87"/>
      <c r="S8" s="87"/>
      <c r="T8" s="87"/>
      <c r="U8" s="87"/>
      <c r="V8" s="87"/>
    </row>
    <row r="9" spans="1:22">
      <c r="A9" s="87"/>
      <c r="B9" s="87"/>
      <c r="C9" s="87"/>
      <c r="D9" s="889"/>
      <c r="E9" s="874"/>
      <c r="F9" s="875"/>
      <c r="H9" s="1919" t="str">
        <f ca="1">Diadanh&amp;", ngày "&amp;DAY(B2)&amp;" tháng "&amp;MONTH(B2)&amp;" năm "&amp;YEAR(B2)</f>
        <v>Ninh Hải, ngày 18 tháng 6 năm 2020</v>
      </c>
      <c r="I9" s="1919"/>
      <c r="J9" s="1919"/>
      <c r="K9" s="1919"/>
      <c r="L9" s="1919"/>
      <c r="M9" s="1919"/>
      <c r="N9" s="1919"/>
      <c r="O9" s="1919"/>
      <c r="P9" s="889"/>
      <c r="Q9" s="87"/>
      <c r="R9" s="87"/>
      <c r="S9" s="87"/>
      <c r="T9" s="87"/>
      <c r="U9" s="87"/>
      <c r="V9" s="87"/>
    </row>
    <row r="10" spans="1:22" ht="8.25" customHeight="1">
      <c r="A10" s="87"/>
      <c r="B10" s="87"/>
      <c r="C10" s="87"/>
      <c r="D10" s="889"/>
      <c r="E10" s="874"/>
      <c r="F10" s="918"/>
      <c r="P10" s="889"/>
      <c r="Q10" s="87"/>
      <c r="R10" s="87"/>
      <c r="S10" s="87"/>
      <c r="T10" s="87"/>
      <c r="U10" s="87"/>
      <c r="V10" s="87"/>
    </row>
    <row r="11" spans="1:22" ht="8.25" hidden="1" customHeight="1">
      <c r="A11" s="87"/>
      <c r="B11" s="87"/>
      <c r="C11" s="87"/>
      <c r="D11" s="889"/>
      <c r="E11" s="874"/>
      <c r="F11" s="918"/>
      <c r="P11" s="889"/>
      <c r="Q11" s="87"/>
      <c r="R11" s="87"/>
      <c r="S11" s="87"/>
      <c r="T11" s="87"/>
      <c r="U11" s="87"/>
      <c r="V11" s="87"/>
    </row>
    <row r="12" spans="1:22" ht="10.5" customHeight="1">
      <c r="A12" s="87"/>
      <c r="B12" s="87"/>
      <c r="C12" s="87"/>
      <c r="D12" s="889"/>
      <c r="P12" s="889"/>
      <c r="Q12" s="87"/>
      <c r="R12" s="87"/>
      <c r="S12" s="87"/>
      <c r="T12" s="87"/>
      <c r="U12" s="87"/>
      <c r="V12" s="87"/>
    </row>
    <row r="13" spans="1:22" ht="20.25">
      <c r="A13" s="87"/>
      <c r="B13" s="87"/>
      <c r="C13" s="87"/>
      <c r="D13" s="889"/>
      <c r="E13" s="1889" t="s">
        <v>5310</v>
      </c>
      <c r="F13" s="1889"/>
      <c r="G13" s="1889"/>
      <c r="H13" s="1889"/>
      <c r="I13" s="1889"/>
      <c r="J13" s="1889"/>
      <c r="K13" s="1889"/>
      <c r="L13" s="1889"/>
      <c r="M13" s="1889"/>
      <c r="N13" s="1889"/>
      <c r="O13" s="1889"/>
      <c r="P13" s="889"/>
      <c r="Q13" s="87"/>
      <c r="R13" s="87"/>
      <c r="S13" s="87"/>
      <c r="T13" s="87"/>
      <c r="U13" s="87"/>
      <c r="V13" s="87"/>
    </row>
    <row r="14" spans="1:22" ht="11.25" customHeight="1">
      <c r="A14" s="87"/>
      <c r="B14" s="87"/>
      <c r="C14" s="87"/>
      <c r="D14" s="889"/>
      <c r="E14" s="910"/>
      <c r="F14" s="910"/>
      <c r="G14" s="910"/>
      <c r="H14" s="910"/>
      <c r="I14" s="910"/>
      <c r="J14" s="910"/>
      <c r="K14" s="910"/>
      <c r="L14" s="910"/>
      <c r="M14" s="910"/>
      <c r="N14" s="910"/>
      <c r="O14" s="910"/>
      <c r="P14" s="889"/>
      <c r="Q14" s="87"/>
      <c r="R14" s="87"/>
      <c r="S14" s="87"/>
      <c r="T14" s="87"/>
      <c r="U14" s="87"/>
      <c r="V14" s="87"/>
    </row>
    <row r="15" spans="1:22" ht="36.6" customHeight="1">
      <c r="A15" s="87"/>
      <c r="B15" s="87"/>
      <c r="C15" s="87"/>
      <c r="D15" s="889"/>
      <c r="E15" s="1917" t="str">
        <f>IF(NDtieude1&lt;&gt;"","     - "&amp;Tieude1&amp;": "&amp;NDtieude1,"")</f>
        <v xml:space="preserve">     - Công trình: Gia cố nâng cấp kênh Bà Xoài từ K0+300÷K0+600 - Hệ thống thủy lợi Nha Trinh, huyện Ninh Hải, tỉnh Ninh Thuận</v>
      </c>
      <c r="F15" s="1917"/>
      <c r="G15" s="1917"/>
      <c r="H15" s="1917"/>
      <c r="I15" s="1917"/>
      <c r="J15" s="1917"/>
      <c r="K15" s="1917"/>
      <c r="L15" s="1917"/>
      <c r="M15" s="1917"/>
      <c r="N15" s="1917"/>
      <c r="O15" s="1917"/>
      <c r="P15" s="889"/>
      <c r="Q15" s="87"/>
      <c r="R15" s="87"/>
      <c r="S15" s="87"/>
      <c r="T15" s="87"/>
      <c r="U15" s="87">
        <f>ROW()</f>
        <v>15</v>
      </c>
      <c r="V15" s="87"/>
    </row>
    <row r="16" spans="1:22" ht="20.100000000000001" customHeight="1">
      <c r="A16" s="87"/>
      <c r="B16" s="87"/>
      <c r="C16" s="87"/>
      <c r="D16" s="889"/>
      <c r="E16" s="1917" t="str">
        <f>IF(NDtieude1&lt;&gt;"","     - "&amp;Tieude2&amp;": "&amp;NDtieude2,"")</f>
        <v xml:space="preserve">     - Gói thầu 05: </v>
      </c>
      <c r="F16" s="1917"/>
      <c r="G16" s="1917"/>
      <c r="H16" s="1917"/>
      <c r="I16" s="1917"/>
      <c r="J16" s="1917"/>
      <c r="K16" s="1917"/>
      <c r="L16" s="1917"/>
      <c r="M16" s="1917"/>
      <c r="N16" s="1917"/>
      <c r="O16" s="1917"/>
      <c r="P16" s="889"/>
      <c r="Q16" s="87"/>
      <c r="R16" s="87"/>
      <c r="S16" s="87"/>
      <c r="T16" s="87"/>
      <c r="U16" s="87">
        <f>ROW()</f>
        <v>16</v>
      </c>
      <c r="V16" s="87"/>
    </row>
    <row r="17" spans="1:22" ht="20.100000000000001" customHeight="1">
      <c r="A17" s="87"/>
      <c r="B17" s="87"/>
      <c r="C17" s="87"/>
      <c r="D17" s="889"/>
      <c r="E17" s="1917" t="str">
        <f>IF(NDtieude1&lt;&gt;"","     - "&amp;Tieude3&amp;": "&amp;NDtieude3,"")</f>
        <v xml:space="preserve">     - Hạng mục: Kênh và Công trình trên kênh</v>
      </c>
      <c r="F17" s="1917"/>
      <c r="G17" s="1917"/>
      <c r="H17" s="1917"/>
      <c r="I17" s="1917"/>
      <c r="J17" s="1917"/>
      <c r="K17" s="1917"/>
      <c r="L17" s="1917"/>
      <c r="M17" s="1917"/>
      <c r="N17" s="1917"/>
      <c r="O17" s="1917"/>
      <c r="P17" s="889"/>
      <c r="Q17" s="87"/>
      <c r="R17" s="87"/>
      <c r="S17" s="87"/>
      <c r="T17" s="87"/>
      <c r="U17" s="87">
        <f>ROW()</f>
        <v>17</v>
      </c>
      <c r="V17" s="87"/>
    </row>
    <row r="18" spans="1:22" ht="20.100000000000001" customHeight="1">
      <c r="A18" s="87"/>
      <c r="B18" s="87"/>
      <c r="C18" s="87"/>
      <c r="D18" s="889"/>
      <c r="E18" s="1917" t="str">
        <f>"     - "&amp;"Địa điểm xây dựng"&amp;": "&amp;DDXD</f>
        <v xml:space="preserve">     - Địa điểm xây dựng: Huyện Ninh Hải - Tỉnh Ninh Thuận</v>
      </c>
      <c r="F18" s="1917"/>
      <c r="G18" s="1917"/>
      <c r="H18" s="1917"/>
      <c r="I18" s="1917"/>
      <c r="J18" s="1917"/>
      <c r="K18" s="1917"/>
      <c r="L18" s="1917"/>
      <c r="M18" s="1917"/>
      <c r="N18" s="1917"/>
      <c r="O18" s="1917"/>
      <c r="P18" s="889"/>
      <c r="Q18" s="87"/>
      <c r="R18" s="87"/>
      <c r="S18" s="87"/>
      <c r="T18" s="87"/>
      <c r="U18" s="87">
        <f>ROW()</f>
        <v>18</v>
      </c>
      <c r="V18" s="87"/>
    </row>
    <row r="19" spans="1:22" ht="7.5" customHeight="1">
      <c r="A19" s="87"/>
      <c r="B19" s="87"/>
      <c r="C19" s="87"/>
      <c r="D19" s="889"/>
      <c r="E19" s="919"/>
      <c r="F19" s="919"/>
      <c r="G19" s="919"/>
      <c r="H19" s="919"/>
      <c r="I19" s="919"/>
      <c r="J19" s="919"/>
      <c r="K19" s="919"/>
      <c r="L19" s="919"/>
      <c r="M19" s="919"/>
      <c r="N19" s="919"/>
      <c r="O19" s="919"/>
      <c r="P19" s="889"/>
      <c r="Q19" s="87"/>
      <c r="R19" s="87"/>
      <c r="S19" s="87"/>
      <c r="T19" s="87"/>
      <c r="U19" s="87"/>
      <c r="V19" s="87"/>
    </row>
    <row r="20" spans="1:22">
      <c r="A20" s="87"/>
      <c r="B20" s="87"/>
      <c r="C20" s="87"/>
      <c r="D20" s="889"/>
      <c r="E20" s="1918" t="str">
        <f ca="1">"     Hôm  nay, ngày "&amp;DAY(B2)&amp;" tháng "&amp;MONTH(B2)&amp;" năm "&amp;YEAR(B2)&amp;"  tại hiện trường công trình, chúng tôi gồm có: "</f>
        <v xml:space="preserve">     Hôm  nay, ngày 18 tháng 6 năm 2020  tại hiện trường công trình, chúng tôi gồm có: </v>
      </c>
      <c r="F20" s="1918"/>
      <c r="G20" s="1918"/>
      <c r="H20" s="1918"/>
      <c r="I20" s="1918"/>
      <c r="J20" s="1918"/>
      <c r="K20" s="1918"/>
      <c r="L20" s="1918"/>
      <c r="M20" s="1918"/>
      <c r="N20" s="1918"/>
      <c r="O20" s="1918"/>
      <c r="P20" s="889"/>
      <c r="Q20" s="87"/>
      <c r="R20" s="87"/>
      <c r="S20" s="87"/>
      <c r="T20" s="87"/>
      <c r="U20" s="87"/>
      <c r="V20" s="87"/>
    </row>
    <row r="21" spans="1:22" ht="9" customHeight="1">
      <c r="A21" s="87"/>
      <c r="B21" s="87"/>
      <c r="C21" s="87"/>
      <c r="D21" s="889"/>
      <c r="E21" s="913"/>
      <c r="F21" s="913"/>
      <c r="G21" s="913"/>
      <c r="H21" s="913"/>
      <c r="I21" s="913"/>
      <c r="J21" s="913"/>
      <c r="K21" s="913"/>
      <c r="L21" s="913"/>
      <c r="M21" s="913"/>
      <c r="N21" s="913"/>
      <c r="O21" s="913"/>
      <c r="P21" s="889"/>
      <c r="Q21" s="87"/>
      <c r="R21" s="87"/>
      <c r="S21" s="87"/>
      <c r="T21" s="87"/>
      <c r="U21" s="87"/>
      <c r="V21" s="87"/>
    </row>
    <row r="22" spans="1:22">
      <c r="A22" s="87"/>
      <c r="B22" s="87"/>
      <c r="C22" s="87"/>
      <c r="D22" s="889"/>
      <c r="E22" s="876" t="s">
        <v>5311</v>
      </c>
      <c r="P22" s="889"/>
      <c r="Q22" s="87"/>
      <c r="R22" s="87"/>
      <c r="S22" s="87"/>
      <c r="T22" s="87"/>
      <c r="U22" s="87"/>
      <c r="V22" s="87"/>
    </row>
    <row r="23" spans="1:22" ht="16.5" customHeight="1">
      <c r="A23" s="87"/>
      <c r="B23" s="87"/>
      <c r="C23" s="87"/>
      <c r="D23" s="889"/>
      <c r="E23" s="1916" t="str">
        <f>"1. Chủ đầu tư: "&amp;CĐT</f>
        <v>1. Chủ đầu tư: Công ty TNHH MTV khai thác công trình thủy lợi Ninh Thuận</v>
      </c>
      <c r="F23" s="1580"/>
      <c r="G23" s="1580"/>
      <c r="H23" s="1580"/>
      <c r="I23" s="1580"/>
      <c r="J23" s="1580"/>
      <c r="K23" s="1580"/>
      <c r="L23" s="1580"/>
      <c r="M23" s="1580"/>
      <c r="N23" s="1580"/>
      <c r="P23" s="889"/>
      <c r="Q23" s="87"/>
      <c r="R23" s="87"/>
      <c r="S23" s="87"/>
      <c r="T23" s="87"/>
      <c r="U23" s="87">
        <f>ROW()</f>
        <v>23</v>
      </c>
      <c r="V23" s="87"/>
    </row>
    <row r="24" spans="1:22">
      <c r="A24" s="87"/>
      <c r="B24" s="87"/>
      <c r="C24" s="87"/>
      <c r="D24" s="889"/>
      <c r="E24" s="1908" t="s">
        <v>5312</v>
      </c>
      <c r="F24" s="1908"/>
      <c r="G24" s="1908"/>
      <c r="H24" s="1908"/>
      <c r="I24" s="1908"/>
      <c r="J24" s="1908" t="s">
        <v>5313</v>
      </c>
      <c r="K24" s="1908"/>
      <c r="L24" s="1908"/>
      <c r="M24" s="1908"/>
      <c r="N24" s="1908"/>
      <c r="O24" s="1908"/>
      <c r="P24" s="889"/>
      <c r="Q24" s="87"/>
      <c r="R24" s="87"/>
      <c r="S24" s="87"/>
      <c r="T24" s="87"/>
      <c r="U24" s="87"/>
      <c r="V24" s="87"/>
    </row>
    <row r="25" spans="1:22">
      <c r="A25" s="87"/>
      <c r="B25" s="87"/>
      <c r="C25" s="87"/>
      <c r="D25" s="889"/>
      <c r="E25" s="1908" t="s">
        <v>5312</v>
      </c>
      <c r="F25" s="1908"/>
      <c r="G25" s="1908"/>
      <c r="H25" s="1908"/>
      <c r="I25" s="1908"/>
      <c r="J25" s="1908" t="s">
        <v>5314</v>
      </c>
      <c r="K25" s="1908"/>
      <c r="L25" s="1908"/>
      <c r="M25" s="1908"/>
      <c r="N25" s="1908"/>
      <c r="O25" s="1908"/>
      <c r="P25" s="889"/>
      <c r="Q25" s="87"/>
      <c r="R25" s="87"/>
      <c r="S25" s="87"/>
      <c r="T25" s="87"/>
      <c r="U25" s="87"/>
      <c r="V25" s="87"/>
    </row>
    <row r="26" spans="1:22" ht="16.5" customHeight="1">
      <c r="A26" s="87"/>
      <c r="B26" s="87"/>
      <c r="C26" s="87"/>
      <c r="D26" s="889"/>
      <c r="E26" s="1916" t="s">
        <v>5315</v>
      </c>
      <c r="F26" s="1580"/>
      <c r="G26" s="1580"/>
      <c r="H26" s="1580"/>
      <c r="I26" s="1580"/>
      <c r="J26" s="1580"/>
      <c r="K26" s="1580"/>
      <c r="L26" s="1580"/>
      <c r="M26" s="1580"/>
      <c r="N26" s="1580"/>
      <c r="O26" s="1580"/>
      <c r="P26" s="889"/>
      <c r="Q26" s="87"/>
      <c r="R26" s="87"/>
      <c r="S26" s="87"/>
      <c r="T26" s="87"/>
      <c r="U26" s="87">
        <f>ROW()</f>
        <v>26</v>
      </c>
      <c r="V26" s="87"/>
    </row>
    <row r="27" spans="1:22">
      <c r="A27" s="87"/>
      <c r="B27" s="87"/>
      <c r="C27" s="87"/>
      <c r="D27" s="889"/>
      <c r="E27" s="1908" t="s">
        <v>5316</v>
      </c>
      <c r="F27" s="1908"/>
      <c r="G27" s="1908"/>
      <c r="H27" s="1908"/>
      <c r="I27" s="1908"/>
      <c r="J27" s="1908" t="s">
        <v>5317</v>
      </c>
      <c r="K27" s="1908"/>
      <c r="L27" s="1908"/>
      <c r="M27" s="1908"/>
      <c r="N27" s="1908"/>
      <c r="O27" s="1908"/>
      <c r="P27" s="889"/>
      <c r="Q27" s="87"/>
      <c r="R27" s="87"/>
      <c r="S27" s="87"/>
      <c r="T27" s="87"/>
      <c r="U27" s="87"/>
      <c r="V27" s="87"/>
    </row>
    <row r="28" spans="1:22">
      <c r="A28" s="87"/>
      <c r="B28" s="87"/>
      <c r="C28" s="87"/>
      <c r="D28" s="889"/>
      <c r="E28" s="1908" t="s">
        <v>5318</v>
      </c>
      <c r="F28" s="1908"/>
      <c r="G28" s="1908"/>
      <c r="H28" s="1908"/>
      <c r="I28" s="1908"/>
      <c r="J28" s="1908" t="s">
        <v>5319</v>
      </c>
      <c r="K28" s="1908"/>
      <c r="L28" s="1908"/>
      <c r="M28" s="1908"/>
      <c r="N28" s="1908"/>
      <c r="O28" s="1908"/>
      <c r="P28" s="889"/>
      <c r="Q28" s="87"/>
      <c r="R28" s="87"/>
      <c r="S28" s="87"/>
      <c r="T28" s="87"/>
      <c r="U28" s="87"/>
      <c r="V28" s="87"/>
    </row>
    <row r="29" spans="1:22" ht="16.5" customHeight="1">
      <c r="A29" s="87"/>
      <c r="B29" s="87"/>
      <c r="C29" s="87"/>
      <c r="D29" s="889"/>
      <c r="E29" s="1916" t="str">
        <f>"3. Tư vấn thiết kế : "&amp;DVTK</f>
        <v>3. Tư vấn thiết kế : Công ty TNHH Tư vấn Xây dựng Hưng Thịnh</v>
      </c>
      <c r="F29" s="1580"/>
      <c r="G29" s="1580"/>
      <c r="H29" s="1580"/>
      <c r="I29" s="1580"/>
      <c r="J29" s="1580"/>
      <c r="K29" s="1580"/>
      <c r="L29" s="1580"/>
      <c r="M29" s="1580"/>
      <c r="N29" s="1580"/>
      <c r="O29" s="1580"/>
      <c r="P29" s="889"/>
      <c r="Q29" s="87"/>
      <c r="R29" s="87"/>
      <c r="S29" s="87"/>
      <c r="T29" s="87"/>
      <c r="U29" s="87">
        <f>ROW()</f>
        <v>29</v>
      </c>
      <c r="V29" s="87"/>
    </row>
    <row r="30" spans="1:22">
      <c r="A30" s="87"/>
      <c r="B30" s="87"/>
      <c r="C30" s="87"/>
      <c r="D30" s="889"/>
      <c r="E30" s="1908" t="s">
        <v>5320</v>
      </c>
      <c r="F30" s="1908"/>
      <c r="G30" s="1908"/>
      <c r="H30" s="1908"/>
      <c r="I30" s="1908"/>
      <c r="J30" s="1908" t="s">
        <v>5321</v>
      </c>
      <c r="K30" s="1908"/>
      <c r="L30" s="1908"/>
      <c r="M30" s="1908"/>
      <c r="N30" s="1908"/>
      <c r="O30" s="1908"/>
      <c r="P30" s="889"/>
      <c r="Q30" s="87"/>
      <c r="R30" s="87"/>
      <c r="S30" s="87"/>
      <c r="T30" s="87"/>
      <c r="U30" s="87"/>
      <c r="V30" s="87"/>
    </row>
    <row r="31" spans="1:22">
      <c r="A31" s="87"/>
      <c r="B31" s="87"/>
      <c r="C31" s="87"/>
      <c r="D31" s="889"/>
      <c r="E31" s="1908" t="s">
        <v>5320</v>
      </c>
      <c r="F31" s="1908"/>
      <c r="G31" s="1908"/>
      <c r="H31" s="1908"/>
      <c r="I31" s="1908"/>
      <c r="J31" s="1908" t="s">
        <v>5321</v>
      </c>
      <c r="K31" s="1908"/>
      <c r="L31" s="1908"/>
      <c r="M31" s="1908"/>
      <c r="N31" s="1908"/>
      <c r="O31" s="1908"/>
      <c r="P31" s="889"/>
      <c r="Q31" s="87"/>
      <c r="R31" s="87"/>
      <c r="S31" s="87"/>
      <c r="T31" s="87"/>
      <c r="U31" s="87"/>
      <c r="V31" s="87"/>
    </row>
    <row r="32" spans="1:22" ht="6.75" customHeight="1">
      <c r="A32" s="87"/>
      <c r="B32" s="87"/>
      <c r="C32" s="87"/>
      <c r="D32" s="889"/>
      <c r="E32" s="880"/>
      <c r="P32" s="889"/>
      <c r="Q32" s="87"/>
      <c r="R32" s="87"/>
      <c r="S32" s="87"/>
      <c r="T32" s="87"/>
      <c r="U32" s="87"/>
      <c r="V32" s="87"/>
    </row>
    <row r="33" spans="1:22" ht="16.5" customHeight="1">
      <c r="A33" s="87"/>
      <c r="B33" s="87"/>
      <c r="C33" s="87"/>
      <c r="D33" s="889"/>
      <c r="E33" s="1916" t="str">
        <f>"4. Tư vấn giám sát: "&amp;DVGS</f>
        <v>4. Tư vấn giám sát: Công ty TNHH Tư vấn Đầu tư Xây dựng Huy Đạt</v>
      </c>
      <c r="F33" s="1580"/>
      <c r="G33" s="1580"/>
      <c r="H33" s="1580"/>
      <c r="I33" s="1580"/>
      <c r="J33" s="1580"/>
      <c r="K33" s="1580"/>
      <c r="L33" s="1580"/>
      <c r="M33" s="1580"/>
      <c r="N33" s="1580"/>
      <c r="O33" s="1580"/>
      <c r="P33" s="889"/>
      <c r="Q33" s="87"/>
      <c r="R33" s="87"/>
      <c r="S33" s="87"/>
      <c r="T33" s="87"/>
      <c r="U33" s="87">
        <f>ROW()</f>
        <v>33</v>
      </c>
      <c r="V33" s="87"/>
    </row>
    <row r="34" spans="1:22">
      <c r="A34" s="87"/>
      <c r="B34" s="87"/>
      <c r="C34" s="87"/>
      <c r="D34" s="889"/>
      <c r="E34" s="1908" t="str">
        <f>"- "&amp;GT_GS1&amp;CBGS1</f>
        <v>- Ông: Trần Trọng Liêm</v>
      </c>
      <c r="F34" s="1908"/>
      <c r="G34" s="1908"/>
      <c r="H34" s="1908"/>
      <c r="I34" s="1908"/>
      <c r="J34" s="1908" t="str">
        <f>"Chức vụ: "&amp;CV_CBGS1</f>
        <v>Chức vụ: Giám sát trưởng</v>
      </c>
      <c r="K34" s="1908"/>
      <c r="L34" s="1908"/>
      <c r="M34" s="1908"/>
      <c r="N34" s="1908"/>
      <c r="O34" s="1908"/>
      <c r="P34" s="889"/>
      <c r="Q34" s="87"/>
      <c r="R34" s="87"/>
      <c r="S34" s="87"/>
      <c r="T34" s="87"/>
      <c r="U34" s="87"/>
      <c r="V34" s="87"/>
    </row>
    <row r="35" spans="1:22">
      <c r="A35" s="87"/>
      <c r="B35" s="87"/>
      <c r="C35" s="87"/>
      <c r="D35" s="889"/>
      <c r="E35" s="1908" t="str">
        <f>"- "&amp;GT_GS2&amp;CBGS2</f>
        <v>- Bà  : Nguyễn Thị Minh</v>
      </c>
      <c r="F35" s="1908"/>
      <c r="G35" s="1908"/>
      <c r="H35" s="1908"/>
      <c r="I35" s="1908"/>
      <c r="J35" s="1908" t="str">
        <f>"Chức vụ: "&amp;CV_CBGS2</f>
        <v>Chức vụ: Giám sát viên</v>
      </c>
      <c r="K35" s="1908"/>
      <c r="L35" s="1908"/>
      <c r="M35" s="1908"/>
      <c r="N35" s="1908"/>
      <c r="O35" s="1908"/>
      <c r="P35" s="889"/>
      <c r="Q35" s="87"/>
      <c r="R35" s="87"/>
      <c r="S35" s="87"/>
      <c r="T35" s="87"/>
      <c r="U35" s="87"/>
      <c r="V35" s="87"/>
    </row>
    <row r="36" spans="1:22" ht="4.5" customHeight="1">
      <c r="A36" s="87"/>
      <c r="B36" s="87"/>
      <c r="C36" s="87"/>
      <c r="D36" s="889"/>
      <c r="E36" s="880"/>
      <c r="P36" s="889"/>
      <c r="Q36" s="87"/>
      <c r="R36" s="87"/>
      <c r="S36" s="87"/>
      <c r="T36" s="87"/>
      <c r="U36" s="87"/>
      <c r="V36" s="87"/>
    </row>
    <row r="37" spans="1:22" ht="16.5" customHeight="1">
      <c r="A37" s="87"/>
      <c r="B37" s="87"/>
      <c r="C37" s="87"/>
      <c r="D37" s="889"/>
      <c r="E37" s="1916" t="str">
        <f>"5. Đại diện đơn vị thi công : "&amp;DVTC</f>
        <v>5. Đại diện đơn vị thi công : Công ty TNHH Xây dựng Thịnh Dũng</v>
      </c>
      <c r="F37" s="1580"/>
      <c r="G37" s="1580"/>
      <c r="H37" s="1580"/>
      <c r="I37" s="1580"/>
      <c r="J37" s="1580"/>
      <c r="K37" s="1580"/>
      <c r="L37" s="1580"/>
      <c r="M37" s="1580"/>
      <c r="N37" s="1580"/>
      <c r="O37" s="1580"/>
      <c r="P37" s="889"/>
      <c r="Q37" s="87"/>
      <c r="R37" s="87"/>
      <c r="S37" s="87"/>
      <c r="T37" s="87"/>
      <c r="U37" s="87">
        <f>ROW()</f>
        <v>37</v>
      </c>
      <c r="V37" s="87"/>
    </row>
    <row r="38" spans="1:22">
      <c r="A38" s="87"/>
      <c r="B38" s="87"/>
      <c r="C38" s="87"/>
      <c r="D38" s="889"/>
      <c r="E38" s="1908" t="str">
        <f>"- "&amp;GT_CBKT1&amp;CBKT1</f>
        <v>- Ông: Hoàng Đình Tảng</v>
      </c>
      <c r="F38" s="1908"/>
      <c r="G38" s="1908"/>
      <c r="H38" s="1908"/>
      <c r="I38" s="1908"/>
      <c r="J38" s="1908" t="str">
        <f>"Chức vụ: "&amp;CV_CBKT1</f>
        <v>Chức vụ: Chỉ huy công trường</v>
      </c>
      <c r="K38" s="1908"/>
      <c r="L38" s="1908"/>
      <c r="M38" s="1908"/>
      <c r="N38" s="1908"/>
      <c r="O38" s="1908"/>
      <c r="P38" s="889"/>
      <c r="Q38" s="87"/>
      <c r="R38" s="87"/>
      <c r="S38" s="87"/>
      <c r="T38" s="87"/>
      <c r="U38" s="87"/>
      <c r="V38" s="87"/>
    </row>
    <row r="39" spans="1:22">
      <c r="A39" s="87"/>
      <c r="B39" s="87"/>
      <c r="C39" s="87"/>
      <c r="D39" s="889"/>
      <c r="E39" s="1908" t="str">
        <f>"- "&amp;GT_CBKT2&amp;CBKT2</f>
        <v>- Ông: Lê Thiên Phương</v>
      </c>
      <c r="F39" s="1908"/>
      <c r="G39" s="1908"/>
      <c r="H39" s="1908"/>
      <c r="I39" s="1908"/>
      <c r="J39" s="1908" t="str">
        <f>"Chức vụ: "&amp;CV_CBKT2</f>
        <v>Chức vụ: Kỹ thuật thi công</v>
      </c>
      <c r="K39" s="1908"/>
      <c r="L39" s="1908"/>
      <c r="M39" s="1908"/>
      <c r="N39" s="1908"/>
      <c r="O39" s="1908"/>
      <c r="P39" s="889"/>
      <c r="Q39" s="87"/>
      <c r="R39" s="87"/>
      <c r="S39" s="87"/>
      <c r="T39" s="87"/>
      <c r="U39" s="87"/>
      <c r="V39" s="87"/>
    </row>
    <row r="40" spans="1:22" ht="16.5" customHeight="1">
      <c r="A40" s="87"/>
      <c r="B40" s="87"/>
      <c r="C40" s="87"/>
      <c r="D40" s="889"/>
      <c r="E40" s="1916" t="s">
        <v>5322</v>
      </c>
      <c r="F40" s="1580"/>
      <c r="G40" s="1580"/>
      <c r="H40" s="1580"/>
      <c r="I40" s="1580"/>
      <c r="J40" s="1580"/>
      <c r="K40" s="1580"/>
      <c r="L40" s="1580"/>
      <c r="M40" s="1580"/>
      <c r="N40" s="1580"/>
      <c r="O40" s="1580"/>
      <c r="P40" s="889"/>
      <c r="Q40" s="87"/>
      <c r="R40" s="87"/>
      <c r="S40" s="87"/>
      <c r="T40" s="87"/>
      <c r="U40" s="87">
        <f>ROW()</f>
        <v>40</v>
      </c>
      <c r="V40" s="87"/>
    </row>
    <row r="41" spans="1:22">
      <c r="A41" s="87"/>
      <c r="B41" s="87"/>
      <c r="C41" s="87"/>
      <c r="D41" s="889"/>
      <c r="E41" s="1908" t="s">
        <v>5320</v>
      </c>
      <c r="F41" s="1908"/>
      <c r="G41" s="1908"/>
      <c r="H41" s="1908"/>
      <c r="I41" s="1908"/>
      <c r="J41" s="1908" t="s">
        <v>5321</v>
      </c>
      <c r="K41" s="1908"/>
      <c r="L41" s="1908"/>
      <c r="M41" s="1908"/>
      <c r="N41" s="1908"/>
      <c r="O41" s="1908"/>
      <c r="P41" s="889"/>
      <c r="Q41" s="87"/>
      <c r="R41" s="87"/>
      <c r="S41" s="87"/>
      <c r="T41" s="87"/>
      <c r="U41" s="87"/>
      <c r="V41" s="87"/>
    </row>
    <row r="42" spans="1:22">
      <c r="A42" s="87"/>
      <c r="B42" s="87"/>
      <c r="C42" s="87"/>
      <c r="D42" s="889"/>
      <c r="E42" s="1873" t="s">
        <v>5323</v>
      </c>
      <c r="F42" s="1873"/>
      <c r="G42" s="1873"/>
      <c r="H42" s="1873"/>
      <c r="I42" s="1873"/>
      <c r="J42" s="1873"/>
      <c r="K42" s="1873"/>
      <c r="L42" s="1873"/>
      <c r="M42" s="1873"/>
      <c r="N42" s="1873"/>
      <c r="O42" s="1873"/>
      <c r="P42" s="889"/>
      <c r="Q42" s="87"/>
      <c r="R42" s="87"/>
      <c r="S42" s="87"/>
      <c r="T42" s="87"/>
      <c r="U42" s="87"/>
      <c r="V42" s="87"/>
    </row>
    <row r="43" spans="1:22" ht="53.1" customHeight="1">
      <c r="A43" s="87"/>
      <c r="B43" s="87"/>
      <c r="C43" s="87"/>
      <c r="D43" s="889"/>
      <c r="E43" s="1827" t="str">
        <f>"     Sau khi kiểm tra thực tế tại hiện trường, đối chiếu với Hồ sơ thiết kế BVTC,  do "&amp;DVTK&amp;" lập  đã được Chủ đầu tư phê duyệt và các tài liệu liên quan và các quy định hiện hành. Chúng tôi cùng thống nhất nội dung như sau: "</f>
        <v xml:space="preserve">     Sau khi kiểm tra thực tế tại hiện trường, đối chiếu với Hồ sơ thiết kế BVTC,  do Công ty TNHH Tư vấn Xây dựng Hưng Thịnh lập  đã được Chủ đầu tư phê duyệt và các tài liệu liên quan và các quy định hiện hành. Chúng tôi cùng thống nhất nội dung như sau: </v>
      </c>
      <c r="F43" s="1827"/>
      <c r="G43" s="1827"/>
      <c r="H43" s="1827"/>
      <c r="I43" s="1827"/>
      <c r="J43" s="1827"/>
      <c r="K43" s="1827"/>
      <c r="L43" s="1827"/>
      <c r="M43" s="1827"/>
      <c r="N43" s="1827"/>
      <c r="O43" s="1827"/>
      <c r="P43" s="889"/>
      <c r="Q43" s="87"/>
      <c r="R43" s="87"/>
      <c r="S43" s="87"/>
      <c r="T43" s="87"/>
      <c r="U43" s="87">
        <f>ROW()</f>
        <v>43</v>
      </c>
      <c r="V43" s="87"/>
    </row>
    <row r="44" spans="1:22">
      <c r="A44" s="87"/>
      <c r="B44" s="87"/>
      <c r="C44" s="87"/>
      <c r="D44" s="889"/>
      <c r="E44" s="1873" t="s">
        <v>5324</v>
      </c>
      <c r="F44" s="1873"/>
      <c r="G44" s="1873"/>
      <c r="H44" s="1873"/>
      <c r="I44" s="1873"/>
      <c r="J44" s="1873"/>
      <c r="K44" s="1873"/>
      <c r="L44" s="1873"/>
      <c r="M44" s="1873"/>
      <c r="N44" s="1873"/>
      <c r="O44" s="1873"/>
      <c r="P44" s="889"/>
      <c r="Q44" s="87"/>
      <c r="R44" s="87"/>
      <c r="S44" s="87"/>
      <c r="T44" s="87"/>
      <c r="U44" s="87"/>
      <c r="V44" s="87"/>
    </row>
    <row r="45" spans="1:22" ht="38.25" customHeight="1">
      <c r="A45" s="87"/>
      <c r="B45" s="87"/>
      <c r="C45" s="87"/>
      <c r="D45" s="889"/>
      <c r="E45" s="1827" t="s">
        <v>5325</v>
      </c>
      <c r="F45" s="1827"/>
      <c r="G45" s="1827"/>
      <c r="H45" s="1827"/>
      <c r="I45" s="1827"/>
      <c r="J45" s="1827"/>
      <c r="K45" s="1827"/>
      <c r="L45" s="1827"/>
      <c r="M45" s="1827"/>
      <c r="N45" s="1827"/>
      <c r="O45" s="1827"/>
      <c r="P45" s="889"/>
      <c r="Q45" s="87"/>
      <c r="R45" s="87"/>
      <c r="S45" s="87"/>
      <c r="T45" s="87"/>
      <c r="U45" s="87"/>
      <c r="V45" s="87"/>
    </row>
    <row r="46" spans="1:22" ht="56.25" customHeight="1">
      <c r="A46" s="87"/>
      <c r="B46" s="87"/>
      <c r="C46" s="87"/>
      <c r="D46" s="889"/>
      <c r="E46" s="1915" t="s">
        <v>5326</v>
      </c>
      <c r="F46" s="1915"/>
      <c r="G46" s="1915"/>
      <c r="H46" s="1915"/>
      <c r="I46" s="1915"/>
      <c r="J46" s="1915"/>
      <c r="K46" s="1915"/>
      <c r="L46" s="1915"/>
      <c r="M46" s="1915"/>
      <c r="N46" s="1915"/>
      <c r="O46" s="1915"/>
      <c r="P46" s="889"/>
      <c r="Q46" s="87"/>
      <c r="R46" s="87"/>
      <c r="S46" s="87"/>
      <c r="T46" s="87"/>
      <c r="U46" s="87"/>
      <c r="V46" s="87"/>
    </row>
    <row r="47" spans="1:22">
      <c r="A47" s="87"/>
      <c r="B47" s="87"/>
      <c r="C47" s="87"/>
      <c r="D47" s="889"/>
      <c r="E47" s="1827" t="s">
        <v>5327</v>
      </c>
      <c r="F47" s="1827"/>
      <c r="G47" s="1827"/>
      <c r="H47" s="1827"/>
      <c r="I47" s="1827"/>
      <c r="J47" s="1827"/>
      <c r="K47" s="1827"/>
      <c r="L47" s="1827"/>
      <c r="M47" s="1827"/>
      <c r="N47" s="1827"/>
      <c r="O47" s="1827"/>
      <c r="P47" s="889"/>
      <c r="Q47" s="87"/>
      <c r="R47" s="87"/>
      <c r="S47" s="87"/>
      <c r="T47" s="87"/>
      <c r="U47" s="87"/>
      <c r="V47" s="87"/>
    </row>
    <row r="48" spans="1:22" ht="8.25" customHeight="1">
      <c r="A48" s="87"/>
      <c r="B48" s="87"/>
      <c r="C48" s="87"/>
      <c r="D48" s="889"/>
      <c r="E48" s="851"/>
      <c r="P48" s="889"/>
      <c r="Q48" s="87"/>
      <c r="R48" s="87"/>
      <c r="S48" s="87"/>
      <c r="T48" s="87"/>
      <c r="U48" s="87"/>
      <c r="V48" s="87"/>
    </row>
    <row r="49" spans="1:22">
      <c r="A49" s="87"/>
      <c r="B49" s="87"/>
      <c r="C49" s="87"/>
      <c r="D49" s="889"/>
      <c r="E49" s="1873" t="s">
        <v>5328</v>
      </c>
      <c r="F49" s="1873"/>
      <c r="G49" s="1873"/>
      <c r="H49" s="1873"/>
      <c r="I49" s="1873"/>
      <c r="J49" s="1873"/>
      <c r="K49" s="1873"/>
      <c r="L49" s="1873"/>
      <c r="M49" s="1873"/>
      <c r="N49" s="1873"/>
      <c r="O49" s="1873"/>
      <c r="P49" s="889"/>
      <c r="Q49" s="87"/>
      <c r="R49" s="87"/>
      <c r="S49" s="87"/>
      <c r="T49" s="87"/>
      <c r="U49" s="87"/>
      <c r="V49" s="87"/>
    </row>
    <row r="50" spans="1:22" ht="53.25" customHeight="1">
      <c r="A50" s="87"/>
      <c r="B50" s="87"/>
      <c r="C50" s="87"/>
      <c r="D50" s="889"/>
      <c r="E50" s="1827" t="s">
        <v>5329</v>
      </c>
      <c r="F50" s="1827"/>
      <c r="G50" s="1827"/>
      <c r="H50" s="1827"/>
      <c r="I50" s="1827"/>
      <c r="J50" s="1827"/>
      <c r="K50" s="1827"/>
      <c r="L50" s="1827"/>
      <c r="M50" s="1827"/>
      <c r="N50" s="1827"/>
      <c r="O50" s="1827"/>
      <c r="P50" s="889"/>
      <c r="Q50" s="87"/>
      <c r="R50" s="87"/>
      <c r="S50" s="87"/>
      <c r="T50" s="87"/>
      <c r="U50" s="87"/>
      <c r="V50" s="87"/>
    </row>
    <row r="51" spans="1:22" ht="67.5" customHeight="1">
      <c r="A51" s="87"/>
      <c r="B51" s="87"/>
      <c r="C51" s="87"/>
      <c r="D51" s="889"/>
      <c r="E51" s="1827" t="s">
        <v>5330</v>
      </c>
      <c r="F51" s="1827"/>
      <c r="G51" s="1827"/>
      <c r="H51" s="1827"/>
      <c r="I51" s="1827"/>
      <c r="J51" s="1827"/>
      <c r="K51" s="1827"/>
      <c r="L51" s="1827"/>
      <c r="M51" s="1827"/>
      <c r="N51" s="1827"/>
      <c r="O51" s="1827"/>
      <c r="P51" s="889"/>
      <c r="Q51" s="87"/>
      <c r="R51" s="87"/>
      <c r="S51" s="87"/>
      <c r="T51" s="87"/>
      <c r="U51" s="87"/>
      <c r="V51" s="87"/>
    </row>
    <row r="52" spans="1:22">
      <c r="A52" s="87"/>
      <c r="B52" s="87"/>
      <c r="C52" s="87"/>
      <c r="D52" s="889"/>
      <c r="E52" s="1873" t="s">
        <v>5331</v>
      </c>
      <c r="F52" s="1873"/>
      <c r="G52" s="1873"/>
      <c r="H52" s="1873"/>
      <c r="I52" s="1873"/>
      <c r="J52" s="1873"/>
      <c r="K52" s="1873"/>
      <c r="L52" s="1873"/>
      <c r="M52" s="1873"/>
      <c r="N52" s="1873"/>
      <c r="O52" s="1873"/>
      <c r="P52" s="889"/>
      <c r="Q52" s="87"/>
      <c r="R52" s="87"/>
      <c r="S52" s="87"/>
      <c r="T52" s="87"/>
      <c r="U52" s="87"/>
      <c r="V52" s="87"/>
    </row>
    <row r="53" spans="1:22" ht="20.25" customHeight="1">
      <c r="A53" s="87"/>
      <c r="B53" s="87"/>
      <c r="C53" s="87"/>
      <c r="D53" s="889"/>
      <c r="E53" s="1914"/>
      <c r="F53" s="1914"/>
      <c r="G53" s="1914"/>
      <c r="H53" s="1914"/>
      <c r="I53" s="1914"/>
      <c r="J53" s="1914"/>
      <c r="K53" s="1914"/>
      <c r="L53" s="1914"/>
      <c r="M53" s="1914"/>
      <c r="N53" s="1914"/>
      <c r="O53" s="1914"/>
      <c r="P53" s="889"/>
      <c r="Q53" s="87"/>
      <c r="R53" s="87"/>
      <c r="S53" s="87"/>
      <c r="T53" s="87"/>
      <c r="U53" s="87"/>
      <c r="V53" s="87"/>
    </row>
    <row r="54" spans="1:22" ht="22.5" customHeight="1">
      <c r="A54" s="87"/>
      <c r="B54" s="87"/>
      <c r="C54" s="87"/>
      <c r="D54" s="889"/>
      <c r="E54" s="1909"/>
      <c r="F54" s="1909"/>
      <c r="G54" s="1909"/>
      <c r="H54" s="1909"/>
      <c r="I54" s="1909"/>
      <c r="J54" s="1909"/>
      <c r="K54" s="1909"/>
      <c r="L54" s="1909"/>
      <c r="M54" s="1909"/>
      <c r="N54" s="1909"/>
      <c r="O54" s="1909"/>
      <c r="P54" s="889"/>
      <c r="Q54" s="87"/>
      <c r="R54" s="87"/>
      <c r="S54" s="87"/>
      <c r="T54" s="87"/>
      <c r="U54" s="87"/>
      <c r="V54" s="87"/>
    </row>
    <row r="55" spans="1:22" ht="22.5" customHeight="1">
      <c r="A55" s="87"/>
      <c r="B55" s="87"/>
      <c r="C55" s="87"/>
      <c r="D55" s="889"/>
      <c r="E55" s="1909"/>
      <c r="F55" s="1909"/>
      <c r="G55" s="1909"/>
      <c r="H55" s="1909"/>
      <c r="I55" s="1909"/>
      <c r="J55" s="1909"/>
      <c r="K55" s="1909"/>
      <c r="L55" s="1909"/>
      <c r="M55" s="1909"/>
      <c r="N55" s="1909"/>
      <c r="O55" s="1909"/>
      <c r="P55" s="889"/>
      <c r="Q55" s="87"/>
      <c r="R55" s="87"/>
      <c r="S55" s="87"/>
      <c r="T55" s="87"/>
      <c r="U55" s="87"/>
      <c r="V55" s="87"/>
    </row>
    <row r="56" spans="1:22" ht="22.5" customHeight="1">
      <c r="A56" s="87"/>
      <c r="B56" s="87"/>
      <c r="C56" s="87"/>
      <c r="D56" s="889"/>
      <c r="E56" s="1909"/>
      <c r="F56" s="1909"/>
      <c r="G56" s="1909"/>
      <c r="H56" s="1909"/>
      <c r="I56" s="1909"/>
      <c r="J56" s="1909"/>
      <c r="K56" s="1909"/>
      <c r="L56" s="1909"/>
      <c r="M56" s="1909"/>
      <c r="N56" s="1909"/>
      <c r="O56" s="1909"/>
      <c r="P56" s="889"/>
      <c r="Q56" s="87"/>
      <c r="R56" s="87"/>
      <c r="S56" s="87"/>
      <c r="T56" s="87"/>
      <c r="U56" s="87"/>
      <c r="V56" s="87"/>
    </row>
    <row r="57" spans="1:22" ht="34.5" customHeight="1">
      <c r="A57" s="87"/>
      <c r="B57" s="87"/>
      <c r="C57" s="87"/>
      <c r="D57" s="889"/>
      <c r="E57" s="1827" t="s">
        <v>5332</v>
      </c>
      <c r="F57" s="1827"/>
      <c r="G57" s="1827"/>
      <c r="H57" s="1827"/>
      <c r="I57" s="1827"/>
      <c r="J57" s="1827"/>
      <c r="K57" s="1827"/>
      <c r="L57" s="1827"/>
      <c r="M57" s="1827"/>
      <c r="N57" s="1827"/>
      <c r="O57" s="1827"/>
      <c r="P57" s="889"/>
      <c r="Q57" s="87"/>
      <c r="R57" s="87"/>
      <c r="S57" s="87"/>
      <c r="T57" s="87"/>
      <c r="U57" s="87"/>
      <c r="V57" s="87"/>
    </row>
    <row r="58" spans="1:22">
      <c r="A58" s="87"/>
      <c r="B58" s="87"/>
      <c r="C58" s="87"/>
      <c r="D58" s="889"/>
      <c r="E58" s="1912" t="s">
        <v>5333</v>
      </c>
      <c r="F58" s="1912"/>
      <c r="G58" s="1912"/>
      <c r="H58" s="1912"/>
      <c r="I58" s="1912"/>
      <c r="J58" s="1912"/>
      <c r="K58" s="1912"/>
      <c r="L58" s="1912"/>
      <c r="M58" s="1912"/>
      <c r="N58" s="1912"/>
      <c r="O58" s="1912"/>
      <c r="P58" s="889"/>
      <c r="Q58" s="87"/>
      <c r="R58" s="87"/>
      <c r="S58" s="87"/>
      <c r="T58" s="87"/>
      <c r="U58" s="87"/>
      <c r="V58" s="87"/>
    </row>
    <row r="59" spans="1:22">
      <c r="A59" s="87"/>
      <c r="B59" s="87"/>
      <c r="C59" s="87"/>
      <c r="D59" s="889"/>
      <c r="E59" s="882"/>
      <c r="P59" s="889"/>
      <c r="Q59" s="87"/>
      <c r="R59" s="87"/>
      <c r="S59" s="87"/>
      <c r="T59" s="87"/>
      <c r="U59" s="87"/>
      <c r="V59" s="87"/>
    </row>
    <row r="60" spans="1:22">
      <c r="A60" s="87"/>
      <c r="B60" s="87"/>
      <c r="C60" s="87"/>
      <c r="D60" s="889"/>
      <c r="E60" s="1913" t="s">
        <v>5334</v>
      </c>
      <c r="F60" s="1913"/>
      <c r="G60" s="1913"/>
      <c r="H60" s="1913"/>
      <c r="I60" s="1913"/>
      <c r="J60" s="1913"/>
      <c r="K60" s="1913"/>
      <c r="L60" s="1913"/>
      <c r="M60" s="1913"/>
      <c r="N60" s="1913"/>
      <c r="O60" s="1913"/>
      <c r="P60" s="889"/>
      <c r="Q60" s="87"/>
      <c r="R60" s="87"/>
      <c r="S60" s="87"/>
      <c r="T60" s="87"/>
      <c r="U60" s="87"/>
      <c r="V60" s="87"/>
    </row>
    <row r="61" spans="1:22" ht="9.75" customHeight="1">
      <c r="A61" s="87"/>
      <c r="B61" s="87"/>
      <c r="C61" s="87"/>
      <c r="D61" s="889"/>
      <c r="E61" s="883"/>
      <c r="P61" s="889"/>
      <c r="Q61" s="87"/>
      <c r="R61" s="87"/>
      <c r="S61" s="87"/>
      <c r="T61" s="87"/>
      <c r="U61" s="87"/>
      <c r="V61" s="87"/>
    </row>
    <row r="62" spans="1:22">
      <c r="A62" s="87"/>
      <c r="B62" s="87"/>
      <c r="C62" s="87"/>
      <c r="D62" s="889"/>
      <c r="E62" s="1911" t="str">
        <f>"1. Chủ đầu tư: "&amp;CĐT</f>
        <v>1. Chủ đầu tư: Công ty TNHH MTV khai thác công trình thủy lợi Ninh Thuận</v>
      </c>
      <c r="F62" s="1911"/>
      <c r="G62" s="1911"/>
      <c r="H62" s="1911"/>
      <c r="I62" s="1911"/>
      <c r="J62" s="1911"/>
      <c r="K62" s="1911"/>
      <c r="L62" s="1911"/>
      <c r="M62" s="1911"/>
      <c r="N62" s="1911"/>
      <c r="O62" s="1911"/>
      <c r="P62" s="889"/>
      <c r="Q62" s="87"/>
      <c r="R62" s="87"/>
      <c r="S62" s="87"/>
      <c r="T62" s="87"/>
      <c r="U62" s="87"/>
      <c r="V62" s="87"/>
    </row>
    <row r="63" spans="1:22" ht="18">
      <c r="A63" s="87"/>
      <c r="B63" s="87"/>
      <c r="C63" s="87"/>
      <c r="D63" s="889"/>
      <c r="E63" s="881"/>
      <c r="P63" s="889"/>
      <c r="Q63" s="87"/>
      <c r="R63" s="87"/>
      <c r="S63" s="87"/>
      <c r="T63" s="87"/>
      <c r="U63" s="87"/>
      <c r="V63" s="87"/>
    </row>
    <row r="64" spans="1:22">
      <c r="A64" s="87"/>
      <c r="B64" s="87"/>
      <c r="C64" s="87"/>
      <c r="D64" s="889"/>
      <c r="E64" s="877" t="s">
        <v>5346</v>
      </c>
      <c r="K64" s="920" t="str">
        <f>J24</f>
        <v xml:space="preserve">Chức vụ: Giám đốc/Phó giám đốc  </v>
      </c>
      <c r="P64" s="889"/>
      <c r="Q64" s="87"/>
      <c r="R64" s="87"/>
      <c r="S64" s="87"/>
      <c r="T64" s="87"/>
      <c r="U64" s="87"/>
      <c r="V64" s="87"/>
    </row>
    <row r="65" spans="1:22">
      <c r="A65" s="87"/>
      <c r="B65" s="87"/>
      <c r="C65" s="87"/>
      <c r="D65" s="889"/>
      <c r="E65" s="877"/>
      <c r="K65" s="920"/>
      <c r="P65" s="889"/>
      <c r="Q65" s="87"/>
      <c r="R65" s="87"/>
      <c r="S65" s="87"/>
      <c r="T65" s="87"/>
      <c r="U65" s="87"/>
      <c r="V65" s="87"/>
    </row>
    <row r="66" spans="1:22">
      <c r="A66" s="87"/>
      <c r="B66" s="87"/>
      <c r="C66" s="87"/>
      <c r="D66" s="889"/>
      <c r="E66" s="877" t="s">
        <v>5346</v>
      </c>
      <c r="K66" s="920" t="str">
        <f>J25</f>
        <v>Chức vụ: Phòng QLTC (nếu có)</v>
      </c>
      <c r="P66" s="889"/>
      <c r="Q66" s="87"/>
      <c r="R66" s="87"/>
      <c r="S66" s="87"/>
      <c r="T66" s="87"/>
      <c r="U66" s="87"/>
      <c r="V66" s="87"/>
    </row>
    <row r="67" spans="1:22">
      <c r="A67" s="87"/>
      <c r="B67" s="87"/>
      <c r="C67" s="87"/>
      <c r="D67" s="889"/>
      <c r="E67" s="884"/>
      <c r="P67" s="889"/>
      <c r="Q67" s="87"/>
      <c r="R67" s="87"/>
      <c r="S67" s="87"/>
      <c r="T67" s="87"/>
      <c r="U67" s="87"/>
      <c r="V67" s="87"/>
    </row>
    <row r="68" spans="1:22">
      <c r="A68" s="87"/>
      <c r="B68" s="87"/>
      <c r="C68" s="87"/>
      <c r="D68" s="889"/>
      <c r="E68" s="878" t="s">
        <v>5315</v>
      </c>
      <c r="F68" s="878"/>
      <c r="G68" s="878"/>
      <c r="H68" s="878"/>
      <c r="I68" s="878"/>
      <c r="J68" s="878"/>
      <c r="K68" s="878"/>
      <c r="L68" s="878"/>
      <c r="M68" s="878"/>
      <c r="N68" s="878"/>
      <c r="O68" s="878"/>
      <c r="P68" s="891"/>
      <c r="Q68" s="87"/>
      <c r="R68" s="87"/>
      <c r="S68" s="87"/>
      <c r="T68" s="87"/>
      <c r="U68" s="87"/>
      <c r="V68" s="87"/>
    </row>
    <row r="69" spans="1:22">
      <c r="A69" s="87"/>
      <c r="B69" s="87"/>
      <c r="C69" s="87"/>
      <c r="D69" s="889"/>
      <c r="E69" s="878"/>
      <c r="F69" s="878"/>
      <c r="G69" s="878"/>
      <c r="H69" s="878"/>
      <c r="I69" s="878"/>
      <c r="J69" s="878"/>
      <c r="K69" s="878"/>
      <c r="L69" s="878"/>
      <c r="M69" s="878"/>
      <c r="N69" s="878"/>
      <c r="O69" s="878"/>
      <c r="P69" s="891"/>
      <c r="Q69" s="87"/>
      <c r="R69" s="87"/>
      <c r="S69" s="87"/>
      <c r="T69" s="87"/>
      <c r="U69" s="87"/>
      <c r="V69" s="87"/>
    </row>
    <row r="70" spans="1:22">
      <c r="A70" s="87"/>
      <c r="B70" s="87"/>
      <c r="C70" s="87"/>
      <c r="D70" s="889"/>
      <c r="E70" s="887" t="s">
        <v>5347</v>
      </c>
      <c r="K70" t="str">
        <f>J27</f>
        <v>Chức vụ: Trưởng/P.Ban QLDA</v>
      </c>
      <c r="P70" s="889"/>
      <c r="Q70" s="87"/>
      <c r="R70" s="87"/>
      <c r="S70" s="87"/>
      <c r="T70" s="87"/>
      <c r="U70" s="87"/>
      <c r="V70" s="87"/>
    </row>
    <row r="71" spans="1:22">
      <c r="A71" s="87"/>
      <c r="B71" s="87"/>
      <c r="C71" s="87"/>
      <c r="D71" s="889"/>
      <c r="E71" s="877"/>
      <c r="P71" s="889"/>
      <c r="Q71" s="87"/>
      <c r="R71" s="87"/>
      <c r="S71" s="87"/>
      <c r="T71" s="87"/>
      <c r="U71" s="87"/>
      <c r="V71" s="87"/>
    </row>
    <row r="72" spans="1:22">
      <c r="A72" s="87"/>
      <c r="B72" s="87"/>
      <c r="C72" s="87"/>
      <c r="D72" s="889"/>
      <c r="E72" s="887" t="s">
        <v>5347</v>
      </c>
      <c r="K72" t="str">
        <f>J28</f>
        <v>Chức vụ: Kỹ thuật giám sát</v>
      </c>
      <c r="P72" s="889"/>
      <c r="Q72" s="87"/>
      <c r="R72" s="87"/>
      <c r="S72" s="87"/>
      <c r="T72" s="87"/>
      <c r="U72" s="87"/>
      <c r="V72" s="87"/>
    </row>
    <row r="73" spans="1:22">
      <c r="A73" s="87"/>
      <c r="B73" s="87"/>
      <c r="C73" s="87"/>
      <c r="D73" s="889"/>
      <c r="E73" s="877"/>
      <c r="P73" s="889"/>
      <c r="Q73" s="87"/>
      <c r="R73" s="87"/>
      <c r="S73" s="87"/>
      <c r="T73" s="87"/>
      <c r="U73" s="87"/>
      <c r="V73" s="87"/>
    </row>
    <row r="74" spans="1:22">
      <c r="A74" s="87"/>
      <c r="B74" s="87"/>
      <c r="C74" s="87"/>
      <c r="D74" s="889"/>
      <c r="E74" s="878" t="str">
        <f>"3. Tư vấn thiết kế : "&amp;DVTK</f>
        <v>3. Tư vấn thiết kế : Công ty TNHH Tư vấn Xây dựng Hưng Thịnh</v>
      </c>
      <c r="F74" s="878"/>
      <c r="G74" s="878"/>
      <c r="H74" s="878"/>
      <c r="I74" s="878"/>
      <c r="J74" s="878"/>
      <c r="K74" s="878"/>
      <c r="L74" s="878"/>
      <c r="M74" s="878"/>
      <c r="N74" s="878"/>
      <c r="O74" s="878"/>
      <c r="P74" s="891"/>
      <c r="Q74" s="87"/>
      <c r="R74" s="87"/>
      <c r="S74" s="87"/>
      <c r="T74" s="87"/>
      <c r="U74" s="87"/>
      <c r="V74" s="87"/>
    </row>
    <row r="75" spans="1:22">
      <c r="A75" s="87"/>
      <c r="B75" s="87"/>
      <c r="C75" s="87"/>
      <c r="D75" s="889"/>
      <c r="E75" s="880"/>
      <c r="P75" s="889"/>
      <c r="Q75" s="87"/>
      <c r="R75" s="87"/>
      <c r="S75" s="87"/>
      <c r="T75" s="87"/>
      <c r="U75" s="87"/>
      <c r="V75" s="87"/>
    </row>
    <row r="76" spans="1:22">
      <c r="A76" s="87"/>
      <c r="B76" s="87"/>
      <c r="C76" s="87"/>
      <c r="D76" s="889"/>
      <c r="E76" s="887" t="s">
        <v>5347</v>
      </c>
      <c r="F76" s="888"/>
      <c r="G76" s="888"/>
      <c r="H76" s="888"/>
      <c r="I76" s="888"/>
      <c r="J76" s="888"/>
      <c r="K76" s="888" t="str">
        <f>J30</f>
        <v>Chức vụ: …………………</v>
      </c>
      <c r="L76" s="888"/>
      <c r="M76" s="888"/>
      <c r="N76" s="888"/>
      <c r="O76" s="888"/>
      <c r="P76" s="889"/>
      <c r="Q76" s="87"/>
      <c r="R76" s="87"/>
      <c r="S76" s="87"/>
      <c r="T76" s="87"/>
      <c r="U76" s="87"/>
      <c r="V76" s="87"/>
    </row>
    <row r="77" spans="1:22">
      <c r="A77" s="87"/>
      <c r="B77" s="87"/>
      <c r="C77" s="87"/>
      <c r="D77" s="889"/>
      <c r="E77" s="880"/>
      <c r="P77" s="889"/>
      <c r="Q77" s="87"/>
      <c r="R77" s="87"/>
      <c r="S77" s="87"/>
      <c r="T77" s="87"/>
      <c r="U77" s="87"/>
      <c r="V77" s="87"/>
    </row>
    <row r="78" spans="1:22">
      <c r="A78" s="87"/>
      <c r="B78" s="87"/>
      <c r="C78" s="87"/>
      <c r="D78" s="889"/>
      <c r="E78" s="887" t="s">
        <v>5347</v>
      </c>
      <c r="F78" s="888"/>
      <c r="G78" s="888"/>
      <c r="H78" s="888"/>
      <c r="I78" s="888"/>
      <c r="J78" s="888"/>
      <c r="K78" s="888" t="str">
        <f>J31</f>
        <v>Chức vụ: …………………</v>
      </c>
      <c r="L78" s="888"/>
      <c r="M78" s="888"/>
      <c r="N78" s="888"/>
      <c r="O78" s="888"/>
      <c r="P78" s="889"/>
      <c r="Q78" s="87"/>
      <c r="R78" s="87"/>
      <c r="S78" s="87"/>
      <c r="T78" s="87"/>
      <c r="U78" s="87"/>
      <c r="V78" s="87"/>
    </row>
    <row r="79" spans="1:22">
      <c r="A79" s="87"/>
      <c r="B79" s="87"/>
      <c r="C79" s="87"/>
      <c r="D79" s="889"/>
      <c r="E79" s="888"/>
      <c r="F79" s="888"/>
      <c r="G79" s="888"/>
      <c r="H79" s="888"/>
      <c r="I79" s="888"/>
      <c r="J79" s="888"/>
      <c r="K79" s="888"/>
      <c r="L79" s="888"/>
      <c r="M79" s="888"/>
      <c r="N79" s="888"/>
      <c r="O79" s="888"/>
      <c r="P79" s="889"/>
      <c r="Q79" s="87"/>
      <c r="R79" s="87"/>
      <c r="S79" s="87"/>
      <c r="T79" s="87"/>
      <c r="U79" s="87"/>
      <c r="V79" s="87"/>
    </row>
    <row r="80" spans="1:22">
      <c r="A80" s="87"/>
      <c r="B80" s="87"/>
      <c r="C80" s="87"/>
      <c r="D80" s="889"/>
      <c r="E80" s="1911" t="str">
        <f>"4. Tư vấn giám sát: "&amp;DVGS</f>
        <v>4. Tư vấn giám sát: Công ty TNHH Tư vấn Đầu tư Xây dựng Huy Đạt</v>
      </c>
      <c r="F80" s="1911"/>
      <c r="G80" s="1911"/>
      <c r="H80" s="1911"/>
      <c r="I80" s="1911"/>
      <c r="J80" s="1911"/>
      <c r="K80" s="1911"/>
      <c r="L80" s="1911"/>
      <c r="M80" s="1911"/>
      <c r="N80" s="1911"/>
      <c r="O80" s="1911"/>
      <c r="P80" s="889"/>
      <c r="Q80" s="87"/>
      <c r="R80" s="87"/>
      <c r="S80" s="87"/>
      <c r="T80" s="87"/>
      <c r="U80" s="87"/>
      <c r="V80" s="87"/>
    </row>
    <row r="81" spans="1:22">
      <c r="A81" s="87"/>
      <c r="B81" s="87"/>
      <c r="C81" s="87"/>
      <c r="D81" s="889"/>
      <c r="E81" s="914"/>
      <c r="F81" s="914"/>
      <c r="G81" s="914"/>
      <c r="H81" s="914"/>
      <c r="I81" s="914"/>
      <c r="J81" s="914"/>
      <c r="K81" s="914"/>
      <c r="L81" s="914"/>
      <c r="M81" s="914"/>
      <c r="N81" s="914"/>
      <c r="O81" s="914"/>
      <c r="P81" s="889"/>
      <c r="Q81" s="87"/>
      <c r="R81" s="87"/>
      <c r="S81" s="87"/>
      <c r="T81" s="87"/>
      <c r="U81" s="87"/>
      <c r="V81" s="87"/>
    </row>
    <row r="82" spans="1:22">
      <c r="A82" s="87"/>
      <c r="B82" s="87"/>
      <c r="C82" s="87"/>
      <c r="D82" s="889"/>
      <c r="E82" s="887" t="s">
        <v>5347</v>
      </c>
      <c r="F82" s="888"/>
      <c r="G82" s="888"/>
      <c r="H82" s="888"/>
      <c r="I82" s="888"/>
      <c r="J82" s="888"/>
      <c r="K82" s="888" t="str">
        <f>J34</f>
        <v>Chức vụ: Giám sát trưởng</v>
      </c>
      <c r="L82" s="888"/>
      <c r="M82" s="888"/>
      <c r="N82" s="888"/>
      <c r="O82" s="888"/>
      <c r="P82" s="889"/>
      <c r="Q82" s="87"/>
      <c r="R82" s="87"/>
      <c r="S82" s="87"/>
      <c r="T82" s="87"/>
      <c r="U82" s="87"/>
      <c r="V82" s="87"/>
    </row>
    <row r="83" spans="1:22">
      <c r="A83" s="87"/>
      <c r="B83" s="87"/>
      <c r="C83" s="87"/>
      <c r="D83" s="889"/>
      <c r="F83" s="880" t="s">
        <v>3951</v>
      </c>
      <c r="P83" s="889"/>
      <c r="Q83" s="87"/>
      <c r="R83" s="87"/>
      <c r="S83" s="87"/>
      <c r="T83" s="87"/>
      <c r="U83" s="87"/>
      <c r="V83" s="87"/>
    </row>
    <row r="84" spans="1:22">
      <c r="A84" s="87"/>
      <c r="B84" s="87"/>
      <c r="C84" s="87"/>
      <c r="D84" s="889"/>
      <c r="E84" s="887" t="s">
        <v>5347</v>
      </c>
      <c r="F84" s="888"/>
      <c r="G84" s="888"/>
      <c r="H84" s="888"/>
      <c r="I84" s="888"/>
      <c r="J84" s="888"/>
      <c r="K84" s="888" t="str">
        <f>J35</f>
        <v>Chức vụ: Giám sát viên</v>
      </c>
      <c r="L84" s="888"/>
      <c r="M84" s="888"/>
      <c r="N84" s="888"/>
      <c r="O84" s="888"/>
      <c r="P84" s="889"/>
      <c r="Q84" s="87"/>
      <c r="R84" s="87"/>
      <c r="S84" s="87"/>
      <c r="T84" s="87"/>
      <c r="U84" s="87"/>
      <c r="V84" s="87"/>
    </row>
    <row r="85" spans="1:22">
      <c r="A85" s="87"/>
      <c r="B85" s="87"/>
      <c r="C85" s="87"/>
      <c r="D85" s="889"/>
      <c r="E85" s="880"/>
      <c r="P85" s="889"/>
      <c r="Q85" s="87"/>
      <c r="R85" s="87"/>
      <c r="S85" s="87"/>
      <c r="T85" s="87"/>
      <c r="U85" s="87"/>
      <c r="V85" s="87"/>
    </row>
    <row r="86" spans="1:22">
      <c r="A86" s="87"/>
      <c r="B86" s="87"/>
      <c r="C86" s="87"/>
      <c r="D86" s="889"/>
      <c r="E86" s="1911" t="str">
        <f>"5. Đại diện đơn vị thi công : "&amp;DVTC</f>
        <v>5. Đại diện đơn vị thi công : Công ty TNHH Xây dựng Thịnh Dũng</v>
      </c>
      <c r="F86" s="1911"/>
      <c r="G86" s="1911"/>
      <c r="H86" s="1911"/>
      <c r="I86" s="1911"/>
      <c r="J86" s="1911"/>
      <c r="K86" s="1911"/>
      <c r="L86" s="1911"/>
      <c r="M86" s="1911"/>
      <c r="N86" s="1911"/>
      <c r="O86" s="1911"/>
      <c r="P86" s="889"/>
      <c r="Q86" s="87"/>
      <c r="R86" s="87"/>
      <c r="S86" s="87"/>
      <c r="T86" s="87"/>
      <c r="U86" s="87"/>
      <c r="V86" s="87"/>
    </row>
    <row r="87" spans="1:22">
      <c r="A87" s="87"/>
      <c r="B87" s="87"/>
      <c r="C87" s="87"/>
      <c r="D87" s="889"/>
      <c r="E87" s="879"/>
      <c r="P87" s="889"/>
      <c r="Q87" s="87"/>
      <c r="R87" s="87"/>
      <c r="S87" s="87"/>
      <c r="T87" s="87"/>
      <c r="U87" s="87"/>
      <c r="V87" s="87"/>
    </row>
    <row r="88" spans="1:22">
      <c r="A88" s="87"/>
      <c r="B88" s="87"/>
      <c r="C88" s="87"/>
      <c r="D88" s="889"/>
      <c r="E88" s="887" t="s">
        <v>5347</v>
      </c>
      <c r="F88" s="888"/>
      <c r="G88" s="888"/>
      <c r="H88" s="888"/>
      <c r="I88" s="888"/>
      <c r="J88" s="888"/>
      <c r="K88" s="888" t="str">
        <f>J38</f>
        <v>Chức vụ: Chỉ huy công trường</v>
      </c>
      <c r="L88" s="888"/>
      <c r="M88" s="888"/>
      <c r="N88" s="888"/>
      <c r="O88" s="888"/>
      <c r="P88" s="889"/>
      <c r="Q88" s="87"/>
      <c r="R88" s="87"/>
      <c r="S88" s="87"/>
      <c r="T88" s="87"/>
      <c r="U88" s="87"/>
      <c r="V88" s="87"/>
    </row>
    <row r="89" spans="1:22">
      <c r="A89" s="87"/>
      <c r="B89" s="87"/>
      <c r="C89" s="87"/>
      <c r="D89" s="889"/>
      <c r="E89" s="880"/>
      <c r="P89" s="889"/>
      <c r="Q89" s="87"/>
      <c r="R89" s="87"/>
      <c r="S89" s="87"/>
      <c r="T89" s="87"/>
      <c r="U89" s="87"/>
      <c r="V89" s="87"/>
    </row>
    <row r="90" spans="1:22">
      <c r="A90" s="87"/>
      <c r="B90" s="87"/>
      <c r="C90" s="87"/>
      <c r="D90" s="889"/>
      <c r="E90" s="887" t="s">
        <v>5347</v>
      </c>
      <c r="F90" s="888"/>
      <c r="G90" s="888"/>
      <c r="H90" s="888"/>
      <c r="I90" s="888"/>
      <c r="J90" s="888"/>
      <c r="K90" s="888" t="str">
        <f>J39</f>
        <v>Chức vụ: Kỹ thuật thi công</v>
      </c>
      <c r="L90" s="888"/>
      <c r="M90" s="888"/>
      <c r="N90" s="888"/>
      <c r="O90" s="888"/>
      <c r="P90" s="889"/>
      <c r="Q90" s="87"/>
      <c r="R90" s="87"/>
      <c r="S90" s="87"/>
      <c r="T90" s="87"/>
      <c r="U90" s="87"/>
      <c r="V90" s="87"/>
    </row>
    <row r="91" spans="1:22">
      <c r="A91" s="87"/>
      <c r="B91" s="87"/>
      <c r="C91" s="87"/>
      <c r="D91" s="889"/>
      <c r="E91" s="880"/>
      <c r="P91" s="889"/>
      <c r="Q91" s="87"/>
      <c r="R91" s="87"/>
      <c r="S91" s="87"/>
      <c r="T91" s="87"/>
      <c r="U91" s="87"/>
      <c r="V91" s="87"/>
    </row>
    <row r="92" spans="1:22">
      <c r="A92" s="87"/>
      <c r="B92" s="87"/>
      <c r="C92" s="87"/>
      <c r="D92" s="889"/>
      <c r="E92" s="1911" t="s">
        <v>5434</v>
      </c>
      <c r="F92" s="1911"/>
      <c r="G92" s="1911"/>
      <c r="H92" s="1911"/>
      <c r="I92" s="1911"/>
      <c r="J92" s="1911"/>
      <c r="K92" s="1911"/>
      <c r="L92" s="1911"/>
      <c r="M92" s="1911"/>
      <c r="N92" s="1911"/>
      <c r="O92" s="1911"/>
      <c r="P92" s="889"/>
      <c r="Q92" s="87"/>
      <c r="R92" s="87"/>
      <c r="S92" s="87"/>
      <c r="T92" s="87"/>
      <c r="U92" s="87"/>
      <c r="V92" s="87"/>
    </row>
    <row r="93" spans="1:22">
      <c r="A93" s="87"/>
      <c r="B93" s="87"/>
      <c r="C93" s="87"/>
      <c r="D93" s="889"/>
      <c r="E93" s="887" t="s">
        <v>5347</v>
      </c>
      <c r="F93" s="888"/>
      <c r="G93" s="888"/>
      <c r="H93" s="888"/>
      <c r="I93" s="888"/>
      <c r="J93" s="888"/>
      <c r="K93" s="888" t="str">
        <f>J41</f>
        <v>Chức vụ: …………………</v>
      </c>
      <c r="L93" s="888"/>
      <c r="M93" s="888"/>
      <c r="N93" s="888"/>
      <c r="O93" s="888"/>
      <c r="P93" s="889"/>
      <c r="Q93" s="87"/>
      <c r="R93" s="87"/>
      <c r="S93" s="87"/>
      <c r="T93" s="87"/>
      <c r="U93" s="87"/>
      <c r="V93" s="87"/>
    </row>
    <row r="94" spans="1:22" ht="17.25">
      <c r="A94" s="87"/>
      <c r="B94" s="87"/>
      <c r="C94" s="87"/>
      <c r="D94" s="889"/>
      <c r="E94" s="885"/>
      <c r="P94" s="889"/>
      <c r="Q94" s="87"/>
      <c r="R94" s="87"/>
      <c r="S94" s="87"/>
      <c r="T94" s="87"/>
      <c r="U94" s="87"/>
      <c r="V94" s="87"/>
    </row>
    <row r="95" spans="1:22" ht="10.5" customHeight="1">
      <c r="A95" s="87"/>
      <c r="B95" s="87"/>
      <c r="C95" s="87"/>
      <c r="D95" s="889"/>
      <c r="E95" s="890"/>
      <c r="F95" s="889"/>
      <c r="G95" s="889"/>
      <c r="H95" s="889"/>
      <c r="I95" s="889"/>
      <c r="J95" s="889"/>
      <c r="K95" s="889"/>
      <c r="L95" s="889"/>
      <c r="M95" s="889"/>
      <c r="N95" s="889"/>
      <c r="O95" s="889"/>
      <c r="P95" s="889"/>
      <c r="Q95" s="87"/>
      <c r="R95" s="87"/>
      <c r="S95" s="87"/>
      <c r="T95" s="87"/>
      <c r="U95" s="87"/>
      <c r="V95" s="87"/>
    </row>
    <row r="96" spans="1:22" ht="17.25">
      <c r="A96" s="87"/>
      <c r="B96" s="87"/>
      <c r="C96" s="87"/>
      <c r="D96" s="87"/>
      <c r="E96" s="886" t="s">
        <v>5335</v>
      </c>
      <c r="P96" s="87"/>
      <c r="Q96" s="87"/>
      <c r="R96" s="87"/>
      <c r="S96" s="87"/>
      <c r="T96" s="87"/>
      <c r="U96" s="87"/>
      <c r="V96" s="87"/>
    </row>
    <row r="97" spans="1:22">
      <c r="A97" s="87"/>
      <c r="B97" s="87"/>
      <c r="C97" s="87"/>
      <c r="D97" s="87"/>
      <c r="E97" s="1907" t="s">
        <v>5336</v>
      </c>
      <c r="F97" s="1907"/>
      <c r="G97" s="1907"/>
      <c r="H97" s="1907"/>
      <c r="I97" s="1907"/>
      <c r="J97" s="1907"/>
      <c r="K97" s="1907"/>
      <c r="L97" s="1907"/>
      <c r="M97" s="1907"/>
      <c r="N97" s="1907"/>
      <c r="O97" s="1907"/>
      <c r="P97" s="87"/>
      <c r="Q97" s="87"/>
      <c r="R97" s="87"/>
      <c r="S97" s="87"/>
      <c r="T97" s="87"/>
      <c r="U97" s="87"/>
      <c r="V97" s="87"/>
    </row>
    <row r="98" spans="1:22" ht="17.25">
      <c r="A98" s="87"/>
      <c r="B98" s="87"/>
      <c r="C98" s="87"/>
      <c r="D98" s="87"/>
      <c r="E98" s="1910" t="s">
        <v>5337</v>
      </c>
      <c r="F98" s="1910"/>
      <c r="G98" s="1910"/>
      <c r="H98" s="1910"/>
      <c r="I98" s="1910"/>
      <c r="J98" s="1910"/>
      <c r="K98" s="1910"/>
      <c r="L98" s="1910"/>
      <c r="M98" s="1910"/>
      <c r="N98" s="1910"/>
      <c r="O98" s="1910"/>
      <c r="P98" s="87"/>
      <c r="Q98" s="87"/>
      <c r="R98" s="87"/>
      <c r="S98" s="87"/>
      <c r="T98" s="87"/>
      <c r="U98" s="87"/>
      <c r="V98" s="87"/>
    </row>
    <row r="99" spans="1:22">
      <c r="A99" s="87"/>
      <c r="B99" s="87"/>
      <c r="C99" s="87"/>
      <c r="D99" s="87"/>
      <c r="E99" s="1907" t="s">
        <v>5338</v>
      </c>
      <c r="F99" s="1907"/>
      <c r="G99" s="1907"/>
      <c r="H99" s="1907"/>
      <c r="I99" s="1907"/>
      <c r="J99" s="1907"/>
      <c r="K99" s="1907"/>
      <c r="L99" s="1907"/>
      <c r="M99" s="1907"/>
      <c r="N99" s="1907"/>
      <c r="O99" s="1907"/>
      <c r="P99" s="87"/>
      <c r="Q99" s="87"/>
      <c r="R99" s="87"/>
      <c r="S99" s="87"/>
      <c r="T99" s="87"/>
      <c r="U99" s="87"/>
      <c r="V99" s="87"/>
    </row>
    <row r="100" spans="1:22">
      <c r="A100" s="87"/>
      <c r="B100" s="87"/>
      <c r="C100" s="87"/>
      <c r="D100" s="87"/>
      <c r="E100" s="1907" t="s">
        <v>5339</v>
      </c>
      <c r="F100" s="1907"/>
      <c r="G100" s="1907"/>
      <c r="H100" s="1907"/>
      <c r="I100" s="1907"/>
      <c r="J100" s="1907"/>
      <c r="K100" s="1907"/>
      <c r="L100" s="1907"/>
      <c r="M100" s="1907"/>
      <c r="N100" s="1907"/>
      <c r="O100" s="1907"/>
      <c r="P100" s="87"/>
      <c r="Q100" s="87"/>
      <c r="R100" s="87"/>
      <c r="S100" s="87"/>
      <c r="T100" s="87"/>
      <c r="U100" s="87"/>
      <c r="V100" s="87"/>
    </row>
    <row r="101" spans="1:22">
      <c r="A101" s="87"/>
      <c r="B101" s="87"/>
      <c r="C101" s="87"/>
      <c r="D101" s="87"/>
      <c r="E101" s="1907" t="s">
        <v>5340</v>
      </c>
      <c r="F101" s="1907"/>
      <c r="G101" s="1907"/>
      <c r="H101" s="1907"/>
      <c r="I101" s="1907"/>
      <c r="J101" s="1907"/>
      <c r="K101" s="1907"/>
      <c r="L101" s="1907"/>
      <c r="M101" s="1907"/>
      <c r="N101" s="1907"/>
      <c r="O101" s="1907"/>
      <c r="P101" s="87"/>
      <c r="Q101" s="87"/>
      <c r="R101" s="87"/>
      <c r="S101" s="87"/>
      <c r="T101" s="87"/>
      <c r="U101" s="87"/>
      <c r="V101" s="87"/>
    </row>
    <row r="102" spans="1:22">
      <c r="A102" s="87"/>
      <c r="B102" s="87"/>
      <c r="C102" s="87"/>
      <c r="D102" s="87"/>
      <c r="E102" s="1907" t="s">
        <v>5341</v>
      </c>
      <c r="F102" s="1907"/>
      <c r="G102" s="1907"/>
      <c r="H102" s="1907"/>
      <c r="I102" s="1907"/>
      <c r="J102" s="1907"/>
      <c r="K102" s="1907"/>
      <c r="L102" s="1907"/>
      <c r="M102" s="1907"/>
      <c r="N102" s="1907"/>
      <c r="O102" s="1907"/>
      <c r="P102" s="87"/>
      <c r="Q102" s="87"/>
      <c r="R102" s="87"/>
      <c r="S102" s="87"/>
      <c r="T102" s="87"/>
      <c r="U102" s="87"/>
      <c r="V102" s="87"/>
    </row>
    <row r="103" spans="1:22">
      <c r="A103" s="87"/>
      <c r="B103" s="87"/>
      <c r="C103" s="87"/>
      <c r="D103" s="87"/>
      <c r="E103" s="1907" t="s">
        <v>5342</v>
      </c>
      <c r="F103" s="1907"/>
      <c r="G103" s="1907"/>
      <c r="H103" s="1907"/>
      <c r="I103" s="1907"/>
      <c r="J103" s="1907"/>
      <c r="K103" s="1907"/>
      <c r="L103" s="1907"/>
      <c r="M103" s="1907"/>
      <c r="N103" s="1907"/>
      <c r="O103" s="1907"/>
      <c r="P103" s="87"/>
      <c r="Q103" s="87"/>
      <c r="R103" s="87"/>
      <c r="S103" s="87"/>
      <c r="T103" s="87"/>
      <c r="U103" s="87"/>
      <c r="V103" s="87"/>
    </row>
    <row r="104" spans="1:22" ht="16.5" customHeight="1">
      <c r="A104" s="87"/>
      <c r="B104" s="87"/>
      <c r="C104" s="87"/>
      <c r="D104" s="87"/>
      <c r="E104" s="1910" t="s">
        <v>5343</v>
      </c>
      <c r="F104" s="1910"/>
      <c r="G104" s="1910"/>
      <c r="H104" s="1910"/>
      <c r="I104" s="1910"/>
      <c r="J104" s="1910"/>
      <c r="K104" s="1910"/>
      <c r="L104" s="1910"/>
      <c r="M104" s="1910"/>
      <c r="N104" s="1910"/>
      <c r="O104" s="1910"/>
      <c r="P104" s="87"/>
      <c r="Q104" s="87"/>
      <c r="R104" s="87"/>
      <c r="S104" s="87"/>
      <c r="T104" s="87"/>
      <c r="U104" s="87"/>
      <c r="V104" s="87"/>
    </row>
    <row r="105" spans="1:22">
      <c r="A105" s="87"/>
      <c r="B105" s="87"/>
      <c r="C105" s="87"/>
      <c r="D105" s="87"/>
      <c r="E105" s="1907" t="s">
        <v>5344</v>
      </c>
      <c r="F105" s="1907"/>
      <c r="G105" s="1907"/>
      <c r="H105" s="1907"/>
      <c r="I105" s="1907"/>
      <c r="J105" s="1907"/>
      <c r="K105" s="1907"/>
      <c r="L105" s="1907"/>
      <c r="M105" s="1907"/>
      <c r="N105" s="1907"/>
      <c r="O105" s="1907"/>
      <c r="P105" s="87"/>
      <c r="Q105" s="87"/>
      <c r="R105" s="87"/>
      <c r="S105" s="87"/>
      <c r="T105" s="87"/>
      <c r="U105" s="87"/>
      <c r="V105" s="87"/>
    </row>
    <row r="106" spans="1:22">
      <c r="A106" s="87"/>
      <c r="B106" s="87"/>
      <c r="C106" s="87"/>
      <c r="D106" s="87"/>
      <c r="E106" s="1907" t="s">
        <v>5345</v>
      </c>
      <c r="F106" s="1907"/>
      <c r="G106" s="1907"/>
      <c r="H106" s="1907"/>
      <c r="I106" s="1907"/>
      <c r="J106" s="1907"/>
      <c r="K106" s="1907"/>
      <c r="L106" s="1907"/>
      <c r="M106" s="1907"/>
      <c r="N106" s="1907"/>
      <c r="O106" s="1907"/>
      <c r="P106" s="87"/>
      <c r="Q106" s="87"/>
      <c r="R106" s="87"/>
      <c r="S106" s="87"/>
      <c r="T106" s="87"/>
      <c r="U106" s="87"/>
      <c r="V106" s="87"/>
    </row>
    <row r="107" spans="1:22">
      <c r="A107" s="87"/>
      <c r="B107" s="87"/>
      <c r="C107" s="87"/>
      <c r="D107" s="87"/>
      <c r="E107" s="87"/>
      <c r="F107" s="87"/>
      <c r="G107" s="87"/>
      <c r="H107" s="87"/>
      <c r="I107" s="87"/>
      <c r="J107" s="87"/>
      <c r="K107" s="87"/>
      <c r="L107" s="87"/>
      <c r="M107" s="87"/>
      <c r="N107" s="87"/>
      <c r="O107" s="87"/>
      <c r="P107" s="87"/>
      <c r="Q107" s="87"/>
      <c r="R107" s="87"/>
      <c r="S107" s="87"/>
      <c r="T107" s="87"/>
      <c r="U107" s="87"/>
      <c r="V107" s="87"/>
    </row>
    <row r="108" spans="1:22">
      <c r="A108" s="87"/>
      <c r="B108" s="87"/>
      <c r="C108" s="87"/>
      <c r="D108" s="87"/>
      <c r="E108" s="87"/>
      <c r="F108" s="87"/>
      <c r="G108" s="87"/>
      <c r="H108" s="87"/>
      <c r="I108" s="87"/>
      <c r="J108" s="87"/>
      <c r="K108" s="87"/>
      <c r="L108" s="87"/>
      <c r="M108" s="87"/>
      <c r="N108" s="87"/>
      <c r="O108" s="87"/>
      <c r="P108" s="87"/>
      <c r="Q108" s="87"/>
      <c r="R108" s="87"/>
      <c r="S108" s="87"/>
      <c r="T108" s="87"/>
      <c r="U108" s="87"/>
      <c r="V108" s="87"/>
    </row>
    <row r="109" spans="1:22">
      <c r="A109" s="87"/>
      <c r="B109" s="87"/>
      <c r="C109" s="87"/>
      <c r="D109" s="87"/>
      <c r="E109" s="87"/>
      <c r="F109" s="87"/>
      <c r="G109" s="87"/>
      <c r="H109" s="87"/>
      <c r="I109" s="87"/>
      <c r="J109" s="87"/>
      <c r="K109" s="87"/>
      <c r="L109" s="87"/>
      <c r="M109" s="87"/>
      <c r="N109" s="87"/>
      <c r="O109" s="87"/>
      <c r="P109" s="87"/>
      <c r="Q109" s="87"/>
      <c r="R109" s="87"/>
      <c r="S109" s="87"/>
      <c r="T109" s="87"/>
      <c r="U109" s="87"/>
      <c r="V109" s="87"/>
    </row>
    <row r="110" spans="1:22">
      <c r="A110" s="87"/>
      <c r="B110" s="87"/>
      <c r="C110" s="87"/>
      <c r="D110" s="87"/>
      <c r="E110" s="87"/>
      <c r="F110" s="87"/>
      <c r="G110" s="87"/>
      <c r="H110" s="87"/>
      <c r="I110" s="87"/>
      <c r="J110" s="87"/>
      <c r="K110" s="87"/>
      <c r="L110" s="87"/>
      <c r="M110" s="87"/>
      <c r="N110" s="87"/>
      <c r="O110" s="87"/>
      <c r="P110" s="87"/>
      <c r="Q110" s="87"/>
      <c r="R110" s="87"/>
      <c r="S110" s="87"/>
      <c r="T110" s="87"/>
      <c r="U110" s="87"/>
      <c r="V110" s="87"/>
    </row>
    <row r="111" spans="1:22">
      <c r="A111" s="87"/>
      <c r="B111" s="87"/>
      <c r="C111" s="87"/>
      <c r="D111" s="87"/>
      <c r="E111" s="87"/>
      <c r="F111" s="87"/>
      <c r="G111" s="87"/>
      <c r="H111" s="87"/>
      <c r="I111" s="87"/>
      <c r="J111" s="87"/>
      <c r="K111" s="87"/>
      <c r="L111" s="87"/>
      <c r="M111" s="87"/>
      <c r="N111" s="87"/>
      <c r="O111" s="87"/>
      <c r="P111" s="87"/>
      <c r="Q111" s="87"/>
      <c r="R111" s="87"/>
      <c r="S111" s="87"/>
      <c r="T111" s="87"/>
      <c r="U111" s="87"/>
      <c r="V111" s="87"/>
    </row>
  </sheetData>
  <mergeCells count="72">
    <mergeCell ref="E23:N23"/>
    <mergeCell ref="E18:O18"/>
    <mergeCell ref="E30:I30"/>
    <mergeCell ref="D2:P2"/>
    <mergeCell ref="D3:P3"/>
    <mergeCell ref="E13:O13"/>
    <mergeCell ref="E20:O20"/>
    <mergeCell ref="H9:O9"/>
    <mergeCell ref="E15:O15"/>
    <mergeCell ref="E16:O16"/>
    <mergeCell ref="E17:O17"/>
    <mergeCell ref="E6:O6"/>
    <mergeCell ref="E7:O7"/>
    <mergeCell ref="E8:O8"/>
    <mergeCell ref="E31:I31"/>
    <mergeCell ref="J30:O30"/>
    <mergeCell ref="J31:O31"/>
    <mergeCell ref="J24:O24"/>
    <mergeCell ref="J25:O25"/>
    <mergeCell ref="E24:I24"/>
    <mergeCell ref="E25:I25"/>
    <mergeCell ref="E29:O29"/>
    <mergeCell ref="E26:O26"/>
    <mergeCell ref="J41:O41"/>
    <mergeCell ref="E41:I41"/>
    <mergeCell ref="E33:O33"/>
    <mergeCell ref="J34:O34"/>
    <mergeCell ref="J35:O35"/>
    <mergeCell ref="E34:I34"/>
    <mergeCell ref="E35:I35"/>
    <mergeCell ref="E37:O37"/>
    <mergeCell ref="J38:O38"/>
    <mergeCell ref="J39:O39"/>
    <mergeCell ref="E38:I38"/>
    <mergeCell ref="E39:I39"/>
    <mergeCell ref="E40:O40"/>
    <mergeCell ref="E42:O42"/>
    <mergeCell ref="E43:O43"/>
    <mergeCell ref="E44:O44"/>
    <mergeCell ref="E45:O45"/>
    <mergeCell ref="E46:O46"/>
    <mergeCell ref="E57:O57"/>
    <mergeCell ref="E58:O58"/>
    <mergeCell ref="E60:O60"/>
    <mergeCell ref="E62:O62"/>
    <mergeCell ref="E49:O49"/>
    <mergeCell ref="E50:O50"/>
    <mergeCell ref="E51:O51"/>
    <mergeCell ref="E52:O52"/>
    <mergeCell ref="E53:O53"/>
    <mergeCell ref="E104:O104"/>
    <mergeCell ref="E92:O92"/>
    <mergeCell ref="E97:O97"/>
    <mergeCell ref="E98:O98"/>
    <mergeCell ref="E80:O80"/>
    <mergeCell ref="E86:O86"/>
    <mergeCell ref="D1:P1"/>
    <mergeCell ref="E105:O105"/>
    <mergeCell ref="E106:O106"/>
    <mergeCell ref="J27:O27"/>
    <mergeCell ref="J28:O28"/>
    <mergeCell ref="E27:I27"/>
    <mergeCell ref="E28:I28"/>
    <mergeCell ref="E47:O47"/>
    <mergeCell ref="E54:O54"/>
    <mergeCell ref="E55:O55"/>
    <mergeCell ref="E56:O56"/>
    <mergeCell ref="E99:O99"/>
    <mergeCell ref="E100:O100"/>
    <mergeCell ref="E101:O101"/>
    <mergeCell ref="E102:O102"/>
    <mergeCell ref="E103:O103"/>
  </mergeCells>
  <pageMargins left="0.98425196850393704" right="0.51181102362204722" top="0.55118110236220474" bottom="0.55118110236220474" header="0" footer="0"/>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U46"/>
  <sheetViews>
    <sheetView showGridLines="0" zoomScaleNormal="100" workbookViewId="0">
      <pane xSplit="20" ySplit="3" topLeftCell="U4" activePane="bottomRight" state="frozen"/>
      <selection pane="topRight" activeCell="U1" sqref="U1"/>
      <selection pane="bottomLeft" activeCell="A4" sqref="A4"/>
      <selection pane="bottomRight" activeCell="Q20" sqref="Q20"/>
    </sheetView>
  </sheetViews>
  <sheetFormatPr defaultRowHeight="16.5"/>
  <cols>
    <col min="1" max="1" width="10.33203125" bestFit="1" customWidth="1"/>
    <col min="2" max="2" width="7.88671875" bestFit="1" customWidth="1"/>
    <col min="4" max="4" width="1.44140625" customWidth="1"/>
    <col min="14" max="15" width="1.44140625" customWidth="1"/>
  </cols>
  <sheetData>
    <row r="1" spans="1:21" ht="24.75" customHeight="1">
      <c r="A1" s="87"/>
      <c r="B1" s="87"/>
      <c r="C1" s="87"/>
      <c r="D1" s="1927" t="str">
        <f>E11</f>
        <v>      BÁO CÁO NHANH SỰ CỐ CÔNG TRÌNH XÂY DỰNG</v>
      </c>
      <c r="E1" s="1927"/>
      <c r="F1" s="1927"/>
      <c r="G1" s="1927"/>
      <c r="H1" s="1927"/>
      <c r="I1" s="1927"/>
      <c r="J1" s="1927"/>
      <c r="K1" s="1927"/>
      <c r="L1" s="1927"/>
      <c r="M1" s="1927"/>
      <c r="N1" s="1927"/>
      <c r="O1" s="87"/>
      <c r="P1" s="87"/>
      <c r="Q1" s="87"/>
      <c r="R1" s="87"/>
      <c r="S1" s="87"/>
      <c r="T1" s="87"/>
    </row>
    <row r="2" spans="1:21">
      <c r="A2" s="946" t="s">
        <v>5431</v>
      </c>
      <c r="B2" s="948">
        <f ca="1">TODAY()</f>
        <v>44000</v>
      </c>
      <c r="C2" s="87"/>
      <c r="D2" s="1928" t="str">
        <f>Baocaohoanthanh!D2</f>
        <v xml:space="preserve">     Công trình: Gia cố nâng cấp kênh Bà Xoài từ K0+300÷K0+600 - Hệ thống thủy lợi Nha Trinh, huyện Ninh Hải, tỉnh Ninh Thuận</v>
      </c>
      <c r="E2" s="1928"/>
      <c r="F2" s="1928"/>
      <c r="G2" s="1928"/>
      <c r="H2" s="1928"/>
      <c r="I2" s="1928"/>
      <c r="J2" s="1928"/>
      <c r="K2" s="1928"/>
      <c r="L2" s="1928"/>
      <c r="M2" s="1928"/>
      <c r="N2" s="1928"/>
      <c r="O2" s="87"/>
      <c r="P2" s="87"/>
      <c r="Q2" s="87"/>
      <c r="R2" s="87"/>
      <c r="S2" s="87"/>
      <c r="T2" s="87"/>
    </row>
    <row r="3" spans="1:21">
      <c r="A3" s="87"/>
      <c r="B3" s="87"/>
      <c r="C3" s="87"/>
      <c r="D3" s="1928" t="str">
        <f>Baocaohoanthanh!D3</f>
        <v xml:space="preserve">     Địa điểm XD: Huyện Ninh Hải - Tỉnh Ninh Thuận</v>
      </c>
      <c r="E3" s="1928"/>
      <c r="F3" s="1928"/>
      <c r="G3" s="1928"/>
      <c r="H3" s="1928"/>
      <c r="I3" s="1928"/>
      <c r="J3" s="1928"/>
      <c r="K3" s="1928"/>
      <c r="L3" s="1928"/>
      <c r="M3" s="1928"/>
      <c r="N3" s="953"/>
      <c r="O3" s="87"/>
      <c r="P3" s="87"/>
      <c r="Q3" s="87"/>
      <c r="R3" s="87"/>
      <c r="S3" s="87"/>
      <c r="T3" s="87"/>
    </row>
    <row r="4" spans="1:21">
      <c r="A4" s="87"/>
      <c r="B4" s="87"/>
      <c r="C4" s="87"/>
      <c r="D4" s="87"/>
      <c r="E4" s="87"/>
      <c r="F4" s="87"/>
      <c r="G4" s="87"/>
      <c r="H4" s="87"/>
      <c r="I4" s="87"/>
      <c r="J4" s="87"/>
      <c r="K4" s="87"/>
      <c r="L4" s="87"/>
      <c r="M4" s="87"/>
      <c r="N4" s="87"/>
      <c r="O4" s="87"/>
      <c r="P4" s="87"/>
      <c r="Q4" s="87"/>
      <c r="R4" s="87"/>
      <c r="S4" s="87"/>
      <c r="T4" s="87"/>
    </row>
    <row r="5" spans="1:21" ht="9" customHeight="1">
      <c r="A5" s="87"/>
      <c r="B5" s="87"/>
      <c r="C5" s="87"/>
      <c r="D5" s="889"/>
      <c r="E5" s="889"/>
      <c r="F5" s="889"/>
      <c r="G5" s="889"/>
      <c r="H5" s="889"/>
      <c r="I5" s="889"/>
      <c r="J5" s="889"/>
      <c r="K5" s="889"/>
      <c r="L5" s="889"/>
      <c r="M5" s="889"/>
      <c r="N5" s="889"/>
      <c r="O5" s="87"/>
      <c r="P5" s="87"/>
      <c r="Q5" s="87"/>
      <c r="R5" s="87"/>
      <c r="S5" s="87"/>
      <c r="T5" s="87"/>
    </row>
    <row r="6" spans="1:21" ht="16.5" customHeight="1">
      <c r="A6" s="87"/>
      <c r="B6" s="87"/>
      <c r="C6" s="87"/>
      <c r="D6" s="889"/>
      <c r="E6" s="1925" t="str">
        <f>UPPER(CĐT)</f>
        <v>CÔNG TY TNHH MTV KHAI THÁC CÔNG TRÌNH THỦY LỢI NINH THUẬN</v>
      </c>
      <c r="F6" s="1925"/>
      <c r="G6" s="1925"/>
      <c r="H6" s="1925"/>
      <c r="I6" s="1922" t="s">
        <v>3927</v>
      </c>
      <c r="J6" s="1922"/>
      <c r="K6" s="1922"/>
      <c r="L6" s="1922"/>
      <c r="M6" s="1922"/>
      <c r="N6" s="889"/>
      <c r="O6" s="87"/>
      <c r="P6" s="87"/>
      <c r="Q6" s="87"/>
      <c r="R6" s="87"/>
      <c r="S6" s="87"/>
      <c r="T6" s="87"/>
    </row>
    <row r="7" spans="1:21">
      <c r="A7" s="87"/>
      <c r="B7" s="87"/>
      <c r="C7" s="87"/>
      <c r="D7" s="889"/>
      <c r="E7" s="1925"/>
      <c r="F7" s="1925"/>
      <c r="G7" s="1925"/>
      <c r="H7" s="1925"/>
      <c r="I7" s="1922" t="s">
        <v>5435</v>
      </c>
      <c r="J7" s="1922"/>
      <c r="K7" s="1922"/>
      <c r="L7" s="1922"/>
      <c r="M7" s="1922"/>
      <c r="N7" s="889"/>
      <c r="O7" s="87"/>
      <c r="P7" s="87"/>
      <c r="Q7" s="87"/>
      <c r="R7" s="87"/>
      <c r="S7" s="87"/>
      <c r="T7" s="87"/>
    </row>
    <row r="8" spans="1:21">
      <c r="A8" s="87"/>
      <c r="B8" s="87"/>
      <c r="C8" s="87"/>
      <c r="D8" s="889"/>
      <c r="E8" s="950"/>
      <c r="F8" s="951"/>
      <c r="G8" s="951"/>
      <c r="I8" s="1923" t="s">
        <v>5455</v>
      </c>
      <c r="J8" s="1922"/>
      <c r="K8" s="1922"/>
      <c r="L8" s="1922"/>
      <c r="M8" s="1922"/>
      <c r="N8" s="889"/>
      <c r="O8" s="87"/>
      <c r="P8" s="87"/>
      <c r="Q8" s="87"/>
      <c r="R8" s="87"/>
      <c r="S8" s="87"/>
      <c r="T8" s="87"/>
    </row>
    <row r="9" spans="1:21">
      <c r="A9" s="87"/>
      <c r="B9" s="87"/>
      <c r="C9" s="87"/>
      <c r="D9" s="889"/>
      <c r="E9" s="949"/>
      <c r="I9" s="1924" t="str">
        <f ca="1">Diadanh&amp;", ngày "&amp;DAY(B2)&amp;" tháng "&amp;MONTH(B2)&amp;" năm "&amp;YEAR(B2)</f>
        <v>Ninh Hải, ngày 18 tháng 6 năm 2020</v>
      </c>
      <c r="J9" s="1924"/>
      <c r="K9" s="1924"/>
      <c r="L9" s="1924"/>
      <c r="M9" s="1924"/>
      <c r="N9" s="889"/>
      <c r="O9" s="87"/>
      <c r="P9" s="87"/>
      <c r="Q9" s="87"/>
      <c r="R9" s="87"/>
      <c r="S9" s="87"/>
      <c r="T9" s="87"/>
    </row>
    <row r="10" spans="1:21">
      <c r="A10" s="87"/>
      <c r="B10" s="87"/>
      <c r="C10" s="87"/>
      <c r="D10" s="889"/>
      <c r="E10" s="949"/>
      <c r="I10" s="952"/>
      <c r="J10" s="952"/>
      <c r="K10" s="952"/>
      <c r="L10" s="952"/>
      <c r="M10" s="952"/>
      <c r="N10" s="889"/>
      <c r="O10" s="87"/>
      <c r="P10" s="87"/>
      <c r="Q10" s="87"/>
      <c r="R10" s="87"/>
      <c r="S10" s="87"/>
      <c r="T10" s="87"/>
    </row>
    <row r="11" spans="1:21" ht="20.25">
      <c r="A11" s="87"/>
      <c r="B11" s="87"/>
      <c r="C11" s="87"/>
      <c r="D11" s="889"/>
      <c r="E11" s="1889" t="s">
        <v>5436</v>
      </c>
      <c r="F11" s="1889"/>
      <c r="G11" s="1889"/>
      <c r="H11" s="1889"/>
      <c r="I11" s="1889"/>
      <c r="J11" s="1889"/>
      <c r="K11" s="1889"/>
      <c r="L11" s="1889"/>
      <c r="M11" s="1889"/>
      <c r="N11" s="889"/>
      <c r="O11" s="87"/>
      <c r="P11" s="87"/>
      <c r="Q11" s="87"/>
      <c r="R11" s="87"/>
      <c r="S11" s="87"/>
      <c r="T11" s="87"/>
    </row>
    <row r="12" spans="1:21">
      <c r="A12" s="87"/>
      <c r="B12" s="87"/>
      <c r="C12" s="87"/>
      <c r="D12" s="889"/>
      <c r="E12" s="916"/>
      <c r="F12" s="916"/>
      <c r="G12" s="916"/>
      <c r="H12" s="916"/>
      <c r="I12" s="916"/>
      <c r="J12" s="916"/>
      <c r="K12" s="916"/>
      <c r="L12" s="916"/>
      <c r="M12" s="916"/>
      <c r="N12" s="889"/>
      <c r="O12" s="87"/>
      <c r="P12" s="87"/>
      <c r="Q12" s="87"/>
      <c r="R12" s="87"/>
      <c r="S12" s="87"/>
      <c r="T12" s="87"/>
    </row>
    <row r="13" spans="1:21">
      <c r="A13" s="87"/>
      <c r="B13" s="87"/>
      <c r="C13" s="87"/>
      <c r="D13" s="889"/>
      <c r="E13" s="914" t="s">
        <v>5448</v>
      </c>
      <c r="F13" s="944"/>
      <c r="N13" s="889"/>
      <c r="O13" s="87"/>
      <c r="P13" s="87"/>
      <c r="Q13" s="87"/>
      <c r="R13" s="87"/>
      <c r="S13" s="87"/>
      <c r="T13" s="87"/>
    </row>
    <row r="14" spans="1:21">
      <c r="A14" s="87"/>
      <c r="B14" s="87"/>
      <c r="C14" s="87"/>
      <c r="D14" s="889"/>
      <c r="E14" s="914"/>
      <c r="F14" s="944"/>
      <c r="N14" s="889"/>
      <c r="O14" s="87"/>
      <c r="P14" s="87"/>
      <c r="Q14" s="87"/>
      <c r="R14" s="87"/>
      <c r="S14" s="87"/>
      <c r="T14" s="87"/>
    </row>
    <row r="15" spans="1:21">
      <c r="A15" s="87"/>
      <c r="B15" s="87"/>
      <c r="C15" s="87"/>
      <c r="D15" s="889"/>
      <c r="E15" s="914" t="s">
        <v>5437</v>
      </c>
      <c r="F15" s="944"/>
      <c r="N15" s="889"/>
      <c r="O15" s="87"/>
      <c r="P15" s="87"/>
      <c r="Q15" s="87"/>
      <c r="R15" s="87"/>
      <c r="S15" s="87"/>
      <c r="T15" s="87"/>
    </row>
    <row r="16" spans="1:21" ht="36.6" customHeight="1">
      <c r="A16" s="87"/>
      <c r="B16" s="87"/>
      <c r="C16" s="87"/>
      <c r="D16" s="889"/>
      <c r="E16" s="1931" t="str">
        <f>IF(NDtieude1&lt;&gt;"","     - "&amp;Tieude1&amp;": "&amp;NDtieude1,"")</f>
        <v xml:space="preserve">     - Công trình: Gia cố nâng cấp kênh Bà Xoài từ K0+300÷K0+600 - Hệ thống thủy lợi Nha Trinh, huyện Ninh Hải, tỉnh Ninh Thuận</v>
      </c>
      <c r="F16" s="1931"/>
      <c r="G16" s="1931"/>
      <c r="H16" s="1931"/>
      <c r="I16" s="1931"/>
      <c r="J16" s="1931"/>
      <c r="K16" s="1931"/>
      <c r="L16" s="1931"/>
      <c r="M16" s="1931"/>
      <c r="N16" s="889"/>
      <c r="O16" s="87"/>
      <c r="P16" s="87"/>
      <c r="Q16" s="87"/>
      <c r="R16" s="87"/>
      <c r="S16" s="87"/>
      <c r="T16" s="87"/>
      <c r="U16">
        <f>ROW()</f>
        <v>16</v>
      </c>
    </row>
    <row r="17" spans="1:21" ht="20.100000000000001" customHeight="1">
      <c r="A17" s="87"/>
      <c r="B17" s="87"/>
      <c r="C17" s="87"/>
      <c r="D17" s="889"/>
      <c r="E17" s="1931" t="str">
        <f>IF(NDtieude1&lt;&gt;"","     - "&amp;Tieude2&amp;": "&amp;NDtieude2,"")</f>
        <v xml:space="preserve">     - Gói thầu 05: </v>
      </c>
      <c r="F17" s="1931"/>
      <c r="G17" s="1931"/>
      <c r="H17" s="1931"/>
      <c r="I17" s="1931"/>
      <c r="J17" s="1931"/>
      <c r="K17" s="1931"/>
      <c r="L17" s="1931"/>
      <c r="M17" s="1931"/>
      <c r="N17" s="889"/>
      <c r="O17" s="87"/>
      <c r="P17" s="87"/>
      <c r="Q17" s="87"/>
      <c r="R17" s="87"/>
      <c r="S17" s="87"/>
      <c r="T17" s="87"/>
      <c r="U17">
        <f>ROW()</f>
        <v>17</v>
      </c>
    </row>
    <row r="18" spans="1:21" ht="20.100000000000001" customHeight="1">
      <c r="A18" s="87"/>
      <c r="B18" s="87"/>
      <c r="C18" s="87"/>
      <c r="D18" s="889"/>
      <c r="E18" s="1931" t="str">
        <f>IF(NDtieude1&lt;&gt;"","     - "&amp;Tieude3&amp;": "&amp;NDtieude3,"")</f>
        <v xml:space="preserve">     - Hạng mục: Kênh và Công trình trên kênh</v>
      </c>
      <c r="F18" s="1931"/>
      <c r="G18" s="1931"/>
      <c r="H18" s="1931"/>
      <c r="I18" s="1931"/>
      <c r="J18" s="1931"/>
      <c r="K18" s="1931"/>
      <c r="L18" s="1931"/>
      <c r="M18" s="1931"/>
      <c r="N18" s="889"/>
      <c r="O18" s="87"/>
      <c r="P18" s="87"/>
      <c r="Q18" s="87"/>
      <c r="R18" s="87"/>
      <c r="S18" s="87"/>
      <c r="T18" s="87"/>
      <c r="U18">
        <f>ROW()</f>
        <v>18</v>
      </c>
    </row>
    <row r="19" spans="1:21" ht="20.100000000000001" customHeight="1">
      <c r="A19" s="87"/>
      <c r="B19" s="87"/>
      <c r="C19" s="87"/>
      <c r="D19" s="889"/>
      <c r="E19" s="1931" t="str">
        <f>"     - "&amp;"Địa điểm xây dựng"&amp;": "&amp;DDXD</f>
        <v xml:space="preserve">     - Địa điểm xây dựng: Huyện Ninh Hải - Tỉnh Ninh Thuận</v>
      </c>
      <c r="F19" s="1931"/>
      <c r="G19" s="1931"/>
      <c r="H19" s="1931"/>
      <c r="I19" s="1931"/>
      <c r="J19" s="1931"/>
      <c r="K19" s="1931"/>
      <c r="L19" s="1931"/>
      <c r="M19" s="1931"/>
      <c r="N19" s="889"/>
      <c r="O19" s="87"/>
      <c r="P19" s="87"/>
      <c r="Q19" s="87"/>
      <c r="R19" s="87"/>
      <c r="S19" s="87"/>
      <c r="T19" s="87"/>
      <c r="U19">
        <f>ROW()</f>
        <v>19</v>
      </c>
    </row>
    <row r="20" spans="1:21">
      <c r="A20" s="87"/>
      <c r="B20" s="87"/>
      <c r="C20" s="87"/>
      <c r="D20" s="889"/>
      <c r="E20" s="914" t="s">
        <v>5451</v>
      </c>
      <c r="F20" s="944"/>
      <c r="N20" s="889"/>
      <c r="O20" s="87"/>
      <c r="P20" s="87"/>
      <c r="Q20" s="87"/>
      <c r="R20" s="87"/>
      <c r="S20" s="87"/>
      <c r="T20" s="87"/>
    </row>
    <row r="21" spans="1:21" ht="20.100000000000001" customHeight="1">
      <c r="A21" s="87"/>
      <c r="B21" s="87"/>
      <c r="C21" s="87"/>
      <c r="D21" s="889"/>
      <c r="E21" s="897" t="str">
        <f>"     - "&amp;"Đơn vị thiết kế"&amp;": "&amp;DVTK</f>
        <v xml:space="preserve">     - Đơn vị thiết kế: Công ty TNHH Tư vấn Xây dựng Hưng Thịnh</v>
      </c>
      <c r="F21" s="944"/>
      <c r="G21" s="331"/>
      <c r="H21" s="331"/>
      <c r="I21" s="331"/>
      <c r="J21" s="331"/>
      <c r="N21" s="889"/>
      <c r="O21" s="87"/>
      <c r="P21" s="87"/>
      <c r="Q21" s="87"/>
      <c r="R21" s="87"/>
      <c r="S21" s="87"/>
      <c r="T21" s="87"/>
      <c r="U21">
        <f>ROW()</f>
        <v>21</v>
      </c>
    </row>
    <row r="22" spans="1:21" ht="20.100000000000001" customHeight="1">
      <c r="A22" s="87"/>
      <c r="B22" s="87"/>
      <c r="C22" s="87"/>
      <c r="D22" s="889"/>
      <c r="E22" s="897" t="str">
        <f>"     - "&amp;"Đơn vị giám sát"&amp;": "&amp;DVGS</f>
        <v xml:space="preserve">     - Đơn vị giám sát: Công ty TNHH Tư vấn Đầu tư Xây dựng Huy Đạt</v>
      </c>
      <c r="F22" s="944"/>
      <c r="G22" s="331"/>
      <c r="H22" s="331"/>
      <c r="I22" s="331"/>
      <c r="J22" s="331"/>
      <c r="N22" s="889"/>
      <c r="O22" s="87"/>
      <c r="P22" s="87"/>
      <c r="Q22" s="87"/>
      <c r="R22" s="87"/>
      <c r="S22" s="87"/>
      <c r="T22" s="87"/>
      <c r="U22">
        <f>ROW()</f>
        <v>22</v>
      </c>
    </row>
    <row r="23" spans="1:21" ht="20.100000000000001" customHeight="1">
      <c r="A23" s="87"/>
      <c r="B23" s="87"/>
      <c r="C23" s="87"/>
      <c r="D23" s="889"/>
      <c r="E23" s="897" t="str">
        <f>"     - "&amp;"Đơn vị thi công"&amp;": "&amp;DVTC</f>
        <v xml:space="preserve">     - Đơn vị thi công: Công ty TNHH Xây dựng Thịnh Dũng</v>
      </c>
      <c r="F23" s="944"/>
      <c r="G23" s="331"/>
      <c r="H23" s="331"/>
      <c r="I23" s="331"/>
      <c r="J23" s="331"/>
      <c r="N23" s="889"/>
      <c r="O23" s="87"/>
      <c r="P23" s="87"/>
      <c r="Q23" s="87"/>
      <c r="R23" s="87"/>
      <c r="S23" s="87"/>
      <c r="T23" s="87"/>
      <c r="U23">
        <f>ROW()</f>
        <v>23</v>
      </c>
    </row>
    <row r="24" spans="1:21">
      <c r="A24" s="87"/>
      <c r="B24" s="87"/>
      <c r="C24" s="87"/>
      <c r="D24" s="889"/>
      <c r="E24" s="914" t="s">
        <v>5438</v>
      </c>
      <c r="F24" s="944"/>
      <c r="N24" s="889"/>
      <c r="O24" s="87"/>
      <c r="P24" s="87"/>
      <c r="Q24" s="87"/>
      <c r="R24" s="87"/>
      <c r="S24" s="87"/>
      <c r="T24" s="87"/>
    </row>
    <row r="25" spans="1:21">
      <c r="A25" s="87"/>
      <c r="B25" s="87"/>
      <c r="C25" s="87"/>
      <c r="D25" s="889"/>
      <c r="E25" s="915" t="s">
        <v>5439</v>
      </c>
      <c r="F25" s="944"/>
      <c r="N25" s="889"/>
      <c r="O25" s="87"/>
      <c r="P25" s="87"/>
      <c r="Q25" s="87"/>
      <c r="R25" s="87"/>
      <c r="S25" s="87"/>
      <c r="T25" s="87"/>
    </row>
    <row r="26" spans="1:21">
      <c r="A26" s="87"/>
      <c r="B26" s="87"/>
      <c r="C26" s="87"/>
      <c r="D26" s="889"/>
      <c r="E26" s="915" t="s">
        <v>5440</v>
      </c>
      <c r="F26" s="944"/>
      <c r="N26" s="889"/>
      <c r="O26" s="87"/>
      <c r="P26" s="87"/>
      <c r="Q26" s="87"/>
      <c r="R26" s="87"/>
      <c r="S26" s="87"/>
      <c r="T26" s="87"/>
    </row>
    <row r="27" spans="1:21">
      <c r="A27" s="87"/>
      <c r="B27" s="87"/>
      <c r="C27" s="87"/>
      <c r="D27" s="889"/>
      <c r="E27" s="915" t="s">
        <v>5441</v>
      </c>
      <c r="F27" s="944"/>
      <c r="N27" s="889"/>
      <c r="O27" s="87"/>
      <c r="P27" s="87"/>
      <c r="Q27" s="87"/>
      <c r="R27" s="87"/>
      <c r="S27" s="87"/>
      <c r="T27" s="87"/>
    </row>
    <row r="28" spans="1:21">
      <c r="A28" s="87"/>
      <c r="B28" s="87"/>
      <c r="C28" s="87"/>
      <c r="D28" s="889"/>
      <c r="E28" s="914" t="s">
        <v>5442</v>
      </c>
      <c r="F28" s="944"/>
      <c r="N28" s="889"/>
      <c r="O28" s="87"/>
      <c r="P28" s="87"/>
      <c r="Q28" s="87"/>
      <c r="R28" s="87"/>
      <c r="S28" s="87"/>
      <c r="T28" s="87"/>
    </row>
    <row r="29" spans="1:21">
      <c r="A29" s="87"/>
      <c r="B29" s="87"/>
      <c r="C29" s="87"/>
      <c r="D29" s="889"/>
      <c r="E29" s="915" t="s">
        <v>5443</v>
      </c>
      <c r="F29" s="944"/>
      <c r="N29" s="889"/>
      <c r="O29" s="87"/>
      <c r="P29" s="87"/>
      <c r="Q29" s="87"/>
      <c r="R29" s="87"/>
      <c r="S29" s="87"/>
      <c r="T29" s="87"/>
    </row>
    <row r="30" spans="1:21">
      <c r="A30" s="87"/>
      <c r="B30" s="87"/>
      <c r="C30" s="87"/>
      <c r="D30" s="889"/>
      <c r="E30" s="915" t="s">
        <v>5444</v>
      </c>
      <c r="F30" s="944"/>
      <c r="N30" s="889"/>
      <c r="O30" s="87"/>
      <c r="P30" s="87"/>
      <c r="Q30" s="87"/>
      <c r="R30" s="87"/>
      <c r="S30" s="87"/>
      <c r="T30" s="87"/>
    </row>
    <row r="31" spans="1:21">
      <c r="A31" s="87"/>
      <c r="B31" s="87"/>
      <c r="C31" s="87"/>
      <c r="D31" s="889"/>
      <c r="E31" s="914" t="s">
        <v>5449</v>
      </c>
      <c r="F31" s="944"/>
      <c r="N31" s="889"/>
      <c r="O31" s="87"/>
      <c r="P31" s="87"/>
      <c r="Q31" s="87"/>
      <c r="R31" s="87"/>
      <c r="S31" s="87"/>
      <c r="T31" s="87"/>
    </row>
    <row r="32" spans="1:21">
      <c r="A32" s="87"/>
      <c r="B32" s="87"/>
      <c r="C32" s="87"/>
      <c r="D32" s="889"/>
      <c r="E32" s="914"/>
      <c r="F32" s="944"/>
      <c r="N32" s="889"/>
      <c r="O32" s="87"/>
      <c r="P32" s="87"/>
      <c r="Q32" s="87"/>
      <c r="R32" s="87"/>
      <c r="S32" s="87"/>
      <c r="T32" s="87"/>
    </row>
    <row r="33" spans="1:20">
      <c r="A33" s="87"/>
      <c r="B33" s="87"/>
      <c r="C33" s="87"/>
      <c r="D33" s="889"/>
      <c r="E33" s="1929" t="s">
        <v>5423</v>
      </c>
      <c r="F33" s="1929"/>
      <c r="G33" s="1929"/>
      <c r="I33" s="1922" t="s">
        <v>5452</v>
      </c>
      <c r="J33" s="1922"/>
      <c r="K33" s="1922"/>
      <c r="L33" s="1922"/>
      <c r="M33" s="1922"/>
      <c r="N33" s="889"/>
      <c r="O33" s="87"/>
      <c r="P33" s="87"/>
      <c r="Q33" s="87"/>
      <c r="R33" s="87"/>
      <c r="S33" s="87"/>
      <c r="T33" s="87"/>
    </row>
    <row r="34" spans="1:20">
      <c r="A34" s="87"/>
      <c r="B34" s="87"/>
      <c r="C34" s="87"/>
      <c r="D34" s="889"/>
      <c r="E34" s="1926" t="s">
        <v>5445</v>
      </c>
      <c r="F34" s="1926"/>
      <c r="G34" s="1926"/>
      <c r="I34" s="1930" t="s">
        <v>5447</v>
      </c>
      <c r="J34" s="1930"/>
      <c r="K34" s="1930"/>
      <c r="L34" s="1930"/>
      <c r="M34" s="1930"/>
      <c r="N34" s="889"/>
      <c r="O34" s="87"/>
      <c r="P34" s="87"/>
      <c r="Q34" s="87"/>
      <c r="R34" s="87"/>
      <c r="S34" s="87"/>
      <c r="T34" s="87"/>
    </row>
    <row r="35" spans="1:20">
      <c r="A35" s="87"/>
      <c r="B35" s="87"/>
      <c r="C35" s="87"/>
      <c r="D35" s="889"/>
      <c r="E35" s="1926" t="s">
        <v>5446</v>
      </c>
      <c r="F35" s="1926"/>
      <c r="G35" s="1926"/>
      <c r="N35" s="889"/>
      <c r="O35" s="87"/>
      <c r="P35" s="87"/>
      <c r="Q35" s="87"/>
      <c r="R35" s="87"/>
      <c r="S35" s="87"/>
      <c r="T35" s="87"/>
    </row>
    <row r="36" spans="1:20">
      <c r="A36" s="87"/>
      <c r="B36" s="87"/>
      <c r="C36" s="87"/>
      <c r="D36" s="889"/>
      <c r="E36" s="949"/>
      <c r="F36" s="949"/>
      <c r="G36" s="949"/>
      <c r="N36" s="889"/>
      <c r="O36" s="87"/>
      <c r="P36" s="87"/>
      <c r="Q36" s="87"/>
      <c r="R36" s="87"/>
      <c r="S36" s="87"/>
      <c r="T36" s="87"/>
    </row>
    <row r="37" spans="1:20">
      <c r="A37" s="87"/>
      <c r="B37" s="87"/>
      <c r="C37" s="87"/>
      <c r="D37" s="889"/>
      <c r="E37" s="949"/>
      <c r="F37" s="949"/>
      <c r="G37" s="949"/>
      <c r="N37" s="889"/>
      <c r="O37" s="87"/>
      <c r="P37" s="87"/>
      <c r="Q37" s="87"/>
      <c r="R37" s="87"/>
      <c r="S37" s="87"/>
      <c r="T37" s="87"/>
    </row>
    <row r="38" spans="1:20">
      <c r="A38" s="87"/>
      <c r="B38" s="87"/>
      <c r="C38" s="87"/>
      <c r="D38" s="889"/>
      <c r="E38" s="949"/>
      <c r="F38" s="949"/>
      <c r="G38" s="949"/>
      <c r="N38" s="889"/>
      <c r="O38" s="87"/>
      <c r="P38" s="87"/>
      <c r="Q38" s="87"/>
      <c r="R38" s="87"/>
      <c r="S38" s="87"/>
      <c r="T38" s="87"/>
    </row>
    <row r="39" spans="1:20">
      <c r="A39" s="87"/>
      <c r="B39" s="87"/>
      <c r="C39" s="87"/>
      <c r="D39" s="889"/>
      <c r="E39" s="949"/>
      <c r="F39" s="949"/>
      <c r="G39" s="949"/>
      <c r="N39" s="889"/>
      <c r="O39" s="87"/>
      <c r="P39" s="87"/>
      <c r="Q39" s="87"/>
      <c r="R39" s="87"/>
      <c r="S39" s="87"/>
      <c r="T39" s="87"/>
    </row>
    <row r="40" spans="1:20">
      <c r="A40" s="87"/>
      <c r="B40" s="87"/>
      <c r="C40" s="87"/>
      <c r="D40" s="889"/>
      <c r="E40" s="949"/>
      <c r="F40" s="949"/>
      <c r="G40" s="949"/>
      <c r="N40" s="889"/>
      <c r="O40" s="87"/>
      <c r="P40" s="87"/>
      <c r="Q40" s="87"/>
      <c r="R40" s="87"/>
      <c r="S40" s="87"/>
      <c r="T40" s="87"/>
    </row>
    <row r="41" spans="1:20" ht="11.25" customHeight="1">
      <c r="A41" s="87"/>
      <c r="B41" s="87"/>
      <c r="C41" s="87"/>
      <c r="D41" s="889"/>
      <c r="E41" s="889"/>
      <c r="F41" s="889"/>
      <c r="G41" s="889"/>
      <c r="H41" s="889"/>
      <c r="I41" s="889"/>
      <c r="J41" s="889"/>
      <c r="K41" s="889"/>
      <c r="L41" s="889"/>
      <c r="M41" s="889"/>
      <c r="N41" s="889"/>
      <c r="O41" s="87"/>
      <c r="P41" s="87"/>
      <c r="Q41" s="87"/>
      <c r="R41" s="87"/>
      <c r="S41" s="87"/>
      <c r="T41" s="87"/>
    </row>
    <row r="42" spans="1:20">
      <c r="A42" s="87"/>
      <c r="B42" s="87"/>
      <c r="C42" s="87"/>
      <c r="E42" s="914" t="s">
        <v>5450</v>
      </c>
      <c r="F42" s="944"/>
      <c r="O42" s="87"/>
      <c r="P42" s="87"/>
      <c r="Q42" s="87"/>
      <c r="R42" s="87"/>
      <c r="S42" s="87"/>
      <c r="T42" s="87"/>
    </row>
    <row r="43" spans="1:20">
      <c r="A43" s="87"/>
      <c r="B43" s="87"/>
      <c r="C43" s="87"/>
      <c r="E43" s="1915" t="s">
        <v>5453</v>
      </c>
      <c r="F43" s="1915"/>
      <c r="G43" s="1915"/>
      <c r="H43" s="1915"/>
      <c r="I43" s="1915"/>
      <c r="J43" s="1915"/>
      <c r="K43" s="1915"/>
      <c r="L43" s="1915"/>
      <c r="M43" s="1915"/>
      <c r="O43" s="87"/>
      <c r="P43" s="87"/>
      <c r="Q43" s="87"/>
      <c r="R43" s="87"/>
      <c r="S43" s="87"/>
      <c r="T43" s="87"/>
    </row>
    <row r="44" spans="1:20" ht="33" customHeight="1">
      <c r="A44" s="87"/>
      <c r="B44" s="87"/>
      <c r="C44" s="87"/>
      <c r="E44" s="1915" t="s">
        <v>5454</v>
      </c>
      <c r="F44" s="1915"/>
      <c r="G44" s="1915"/>
      <c r="H44" s="1915"/>
      <c r="I44" s="1915"/>
      <c r="J44" s="1915"/>
      <c r="K44" s="1915"/>
      <c r="L44" s="1915"/>
      <c r="M44" s="1915"/>
      <c r="O44" s="87"/>
      <c r="P44" s="87"/>
      <c r="Q44" s="87"/>
      <c r="R44" s="87"/>
      <c r="S44" s="87"/>
      <c r="T44" s="87"/>
    </row>
    <row r="45" spans="1:20">
      <c r="A45" s="87"/>
      <c r="B45" s="87"/>
      <c r="C45" s="87"/>
      <c r="D45" s="87"/>
      <c r="E45" s="87"/>
      <c r="F45" s="87"/>
      <c r="G45" s="87"/>
      <c r="H45" s="87"/>
      <c r="I45" s="87"/>
      <c r="J45" s="87"/>
      <c r="K45" s="87"/>
      <c r="L45" s="87"/>
      <c r="M45" s="87"/>
      <c r="N45" s="87"/>
      <c r="O45" s="87"/>
      <c r="P45" s="87"/>
      <c r="Q45" s="87"/>
      <c r="R45" s="87"/>
      <c r="S45" s="87"/>
      <c r="T45" s="87"/>
    </row>
    <row r="46" spans="1:20">
      <c r="A46" s="87"/>
      <c r="B46" s="87"/>
      <c r="C46" s="87"/>
      <c r="D46" s="87"/>
      <c r="E46" s="87"/>
      <c r="F46" s="87"/>
      <c r="G46" s="87"/>
      <c r="H46" s="87"/>
      <c r="I46" s="87"/>
      <c r="J46" s="87"/>
      <c r="K46" s="87"/>
      <c r="L46" s="87"/>
      <c r="M46" s="87"/>
      <c r="N46" s="87"/>
      <c r="O46" s="87"/>
      <c r="P46" s="87"/>
      <c r="Q46" s="87"/>
      <c r="R46" s="87"/>
      <c r="S46" s="87"/>
      <c r="T46" s="87"/>
    </row>
  </sheetData>
  <mergeCells count="20">
    <mergeCell ref="D1:N1"/>
    <mergeCell ref="D3:M3"/>
    <mergeCell ref="D2:N2"/>
    <mergeCell ref="E33:G33"/>
    <mergeCell ref="E34:G34"/>
    <mergeCell ref="I33:M33"/>
    <mergeCell ref="I34:M34"/>
    <mergeCell ref="E11:M11"/>
    <mergeCell ref="E17:M17"/>
    <mergeCell ref="E18:M18"/>
    <mergeCell ref="E19:M19"/>
    <mergeCell ref="E16:M16"/>
    <mergeCell ref="I6:M6"/>
    <mergeCell ref="I7:M7"/>
    <mergeCell ref="I8:M8"/>
    <mergeCell ref="I9:M9"/>
    <mergeCell ref="E44:M44"/>
    <mergeCell ref="E6:H7"/>
    <mergeCell ref="E35:G35"/>
    <mergeCell ref="E43:M43"/>
  </mergeCells>
  <pageMargins left="0.70866141732283472" right="0.28000000000000003" top="0.42" bottom="0.32"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W71"/>
  <sheetViews>
    <sheetView showGridLines="0" zoomScaleNormal="100" workbookViewId="0">
      <pane xSplit="18" ySplit="4" topLeftCell="S35" activePane="bottomRight" state="frozen"/>
      <selection pane="topRight" activeCell="S1" sqref="S1"/>
      <selection pane="bottomLeft" activeCell="A5" sqref="A5"/>
      <selection pane="bottomRight" activeCell="G14" sqref="G14"/>
    </sheetView>
  </sheetViews>
  <sheetFormatPr defaultRowHeight="16.5"/>
  <cols>
    <col min="1" max="1" width="10.6640625" bestFit="1" customWidth="1"/>
    <col min="2" max="2" width="8.77734375" customWidth="1"/>
    <col min="3" max="3" width="10.21875" customWidth="1"/>
    <col min="4" max="4" width="1.5546875" customWidth="1"/>
    <col min="5" max="5" width="4.33203125" customWidth="1"/>
    <col min="6" max="6" width="31" customWidth="1"/>
    <col min="7" max="7" width="7.33203125" customWidth="1"/>
    <col min="8" max="8" width="10.6640625" customWidth="1"/>
    <col min="9" max="9" width="11.21875" customWidth="1"/>
    <col min="10" max="10" width="10.6640625" customWidth="1"/>
    <col min="11" max="11" width="1.33203125" customWidth="1"/>
  </cols>
  <sheetData>
    <row r="1" spans="1:23" s="29" customFormat="1" ht="42" customHeight="1">
      <c r="A1" s="87"/>
      <c r="B1" s="87"/>
      <c r="C1" s="87"/>
      <c r="D1" s="1936" t="str">
        <f>E11</f>
        <v>BÁO CÁO HOÀN THÀNH THI CÔNG XÂY DỰNG HẠNG MỤC CÔNG TRÌNH, CÔNG TRÌNH XÂY DỰNG</v>
      </c>
      <c r="E1" s="1936"/>
      <c r="F1" s="1936"/>
      <c r="G1" s="1936"/>
      <c r="H1" s="1936"/>
      <c r="I1" s="1936"/>
      <c r="J1" s="1936"/>
      <c r="K1" s="1936"/>
      <c r="L1" s="87"/>
      <c r="M1" s="87"/>
      <c r="N1" s="87"/>
      <c r="O1" s="87"/>
      <c r="P1" s="87"/>
      <c r="Q1" s="87"/>
      <c r="R1" s="87"/>
      <c r="S1"/>
      <c r="T1"/>
      <c r="U1"/>
      <c r="V1"/>
      <c r="W1"/>
    </row>
    <row r="2" spans="1:23" s="29" customFormat="1">
      <c r="A2" s="946" t="s">
        <v>5432</v>
      </c>
      <c r="B2" s="947">
        <f ca="1">Ngayhoanthanh</f>
        <v>44000</v>
      </c>
      <c r="C2" s="87"/>
      <c r="D2" s="1785" t="str">
        <f>N.thuMoc!E2</f>
        <v xml:space="preserve">     Công trình: Gia cố nâng cấp kênh Bà Xoài từ K0+300÷K0+600 - Hệ thống thủy lợi Nha Trinh, huyện Ninh Hải, tỉnh Ninh Thuận</v>
      </c>
      <c r="E2" s="1785"/>
      <c r="F2" s="1785"/>
      <c r="G2" s="1785"/>
      <c r="H2" s="1785"/>
      <c r="I2" s="1785"/>
      <c r="J2" s="1785"/>
      <c r="K2" s="1785"/>
      <c r="L2" s="87"/>
      <c r="M2" s="87"/>
      <c r="N2" s="87"/>
      <c r="O2" s="87"/>
      <c r="P2" s="87"/>
      <c r="Q2" s="87"/>
      <c r="R2" s="87"/>
      <c r="S2"/>
      <c r="T2"/>
      <c r="U2"/>
      <c r="V2"/>
      <c r="W2"/>
    </row>
    <row r="3" spans="1:23" s="29" customFormat="1">
      <c r="A3" s="87"/>
      <c r="B3" s="87"/>
      <c r="C3" s="87"/>
      <c r="D3" s="1785" t="str">
        <f>N.thuMoc!E3</f>
        <v xml:space="preserve">     Địa điểm XD: Huyện Ninh Hải - Tỉnh Ninh Thuận</v>
      </c>
      <c r="E3" s="1785"/>
      <c r="F3" s="1785"/>
      <c r="G3" s="1785"/>
      <c r="H3" s="1785"/>
      <c r="I3" s="1785"/>
      <c r="J3" s="1785"/>
      <c r="K3" s="1785"/>
      <c r="L3" s="87"/>
      <c r="M3" s="87"/>
      <c r="N3" s="87"/>
      <c r="O3" s="87"/>
      <c r="P3" s="87"/>
      <c r="Q3" s="87"/>
      <c r="R3" s="87"/>
      <c r="S3"/>
      <c r="T3"/>
      <c r="U3"/>
      <c r="V3"/>
      <c r="W3"/>
    </row>
    <row r="4" spans="1:23" s="29" customFormat="1">
      <c r="A4" s="87"/>
      <c r="B4" s="87"/>
      <c r="C4" s="87"/>
      <c r="D4" s="87"/>
      <c r="E4" s="87"/>
      <c r="F4" s="87"/>
      <c r="G4" s="87"/>
      <c r="H4" s="87"/>
      <c r="I4" s="87"/>
      <c r="J4" s="87"/>
      <c r="K4" s="87"/>
      <c r="L4" s="87"/>
      <c r="M4" s="87"/>
      <c r="N4" s="87"/>
      <c r="O4" s="87"/>
      <c r="P4" s="87"/>
      <c r="Q4" s="87"/>
      <c r="R4" s="87"/>
      <c r="S4"/>
      <c r="T4"/>
      <c r="U4"/>
      <c r="V4"/>
      <c r="W4"/>
    </row>
    <row r="5" spans="1:23" ht="10.5" customHeight="1">
      <c r="A5" s="87"/>
      <c r="B5" s="87"/>
      <c r="C5" s="87"/>
      <c r="D5" s="889"/>
      <c r="E5" s="889"/>
      <c r="F5" s="889"/>
      <c r="G5" s="889"/>
      <c r="H5" s="889"/>
      <c r="I5" s="889"/>
      <c r="J5" s="889"/>
      <c r="K5" s="889"/>
      <c r="L5" s="87"/>
      <c r="M5" s="87"/>
      <c r="N5" s="87"/>
      <c r="O5" s="87"/>
      <c r="P5" s="87"/>
      <c r="Q5" s="87"/>
      <c r="R5" s="87"/>
    </row>
    <row r="6" spans="1:23" ht="16.5" customHeight="1">
      <c r="A6" s="87"/>
      <c r="B6" s="87"/>
      <c r="C6" s="87"/>
      <c r="D6" s="889"/>
      <c r="E6" s="1938" t="s">
        <v>158</v>
      </c>
      <c r="F6" s="1938"/>
      <c r="G6" s="1938"/>
      <c r="H6" s="1938"/>
      <c r="I6" s="1938"/>
      <c r="J6" s="1938"/>
      <c r="K6" s="889"/>
      <c r="L6" s="87"/>
      <c r="M6" s="87"/>
      <c r="N6" s="87"/>
      <c r="O6" s="87"/>
      <c r="P6" s="87"/>
      <c r="Q6" s="87"/>
      <c r="R6" s="87"/>
    </row>
    <row r="7" spans="1:23" ht="16.5" customHeight="1">
      <c r="A7" s="87"/>
      <c r="B7" s="87"/>
      <c r="C7" s="87"/>
      <c r="D7" s="889"/>
      <c r="E7" s="1938" t="s">
        <v>161</v>
      </c>
      <c r="F7" s="1938"/>
      <c r="G7" s="1938"/>
      <c r="H7" s="1938"/>
      <c r="I7" s="1938"/>
      <c r="J7" s="1938"/>
      <c r="K7" s="889"/>
      <c r="L7" s="87"/>
      <c r="M7" s="87"/>
      <c r="N7" s="87"/>
      <c r="O7" s="87"/>
      <c r="P7" s="87"/>
      <c r="Q7" s="87"/>
      <c r="R7" s="87"/>
    </row>
    <row r="8" spans="1:23" ht="16.5" customHeight="1">
      <c r="A8" s="87"/>
      <c r="B8" s="87"/>
      <c r="C8" s="87"/>
      <c r="D8" s="889"/>
      <c r="E8" s="1940" t="s">
        <v>5430</v>
      </c>
      <c r="F8" s="1940"/>
      <c r="G8" s="1940"/>
      <c r="H8" s="1940"/>
      <c r="I8" s="1940"/>
      <c r="J8" s="1940"/>
      <c r="K8" s="889"/>
      <c r="L8" s="87"/>
      <c r="M8" s="87"/>
      <c r="N8" s="87"/>
      <c r="O8" s="87"/>
      <c r="P8" s="87"/>
      <c r="Q8" s="87"/>
      <c r="R8" s="87"/>
    </row>
    <row r="9" spans="1:23" ht="16.5" customHeight="1">
      <c r="A9" s="87"/>
      <c r="B9" s="87"/>
      <c r="C9" s="87"/>
      <c r="D9" s="889"/>
      <c r="E9" s="1938"/>
      <c r="F9" s="1938"/>
      <c r="G9" s="1939" t="str">
        <f ca="1">Diadanh&amp;", ngày "&amp;DAY(B2)&amp;" tháng "&amp;MONTH(B2)&amp;" năm "&amp;YEAR(B2)</f>
        <v>Ninh Hải, ngày 18 tháng 6 năm 2020</v>
      </c>
      <c r="H9" s="1939"/>
      <c r="I9" s="1939"/>
      <c r="J9" s="1939"/>
      <c r="K9" s="889"/>
      <c r="L9" s="87"/>
      <c r="M9" s="87"/>
      <c r="N9" s="87"/>
      <c r="O9" s="87"/>
      <c r="P9" s="87"/>
      <c r="Q9" s="87"/>
      <c r="R9" s="87"/>
    </row>
    <row r="10" spans="1:23" ht="16.5" customHeight="1">
      <c r="A10" s="87"/>
      <c r="B10" s="87"/>
      <c r="C10" s="87"/>
      <c r="D10" s="889"/>
      <c r="E10" s="1937"/>
      <c r="F10" s="1937"/>
      <c r="K10" s="889"/>
      <c r="L10" s="87"/>
      <c r="M10" s="87"/>
      <c r="N10" s="87"/>
      <c r="O10" s="87"/>
      <c r="P10" s="87"/>
      <c r="Q10" s="87"/>
      <c r="R10" s="87"/>
    </row>
    <row r="11" spans="1:23" s="123" customFormat="1" ht="48.75" customHeight="1">
      <c r="A11" s="87"/>
      <c r="B11" s="87"/>
      <c r="C11" s="87"/>
      <c r="D11" s="945"/>
      <c r="E11" s="1829" t="s">
        <v>5424</v>
      </c>
      <c r="F11" s="1829"/>
      <c r="G11" s="1829"/>
      <c r="H11" s="1829"/>
      <c r="I11" s="1829"/>
      <c r="J11" s="1829"/>
      <c r="K11" s="945"/>
      <c r="L11" s="87"/>
      <c r="M11" s="87"/>
      <c r="N11" s="87"/>
      <c r="O11" s="87"/>
      <c r="P11" s="87"/>
      <c r="Q11" s="87"/>
      <c r="R11" s="87"/>
    </row>
    <row r="12" spans="1:23" s="123" customFormat="1" ht="6" customHeight="1">
      <c r="A12" s="87"/>
      <c r="B12" s="87"/>
      <c r="C12" s="87"/>
      <c r="D12" s="945"/>
      <c r="E12" s="909"/>
      <c r="F12" s="909"/>
      <c r="G12" s="909"/>
      <c r="H12" s="909"/>
      <c r="I12" s="909"/>
      <c r="J12" s="909"/>
      <c r="K12" s="945"/>
      <c r="L12" s="87"/>
      <c r="M12" s="87"/>
      <c r="N12" s="87"/>
      <c r="O12" s="87"/>
      <c r="P12" s="87"/>
      <c r="Q12" s="87"/>
      <c r="R12" s="87"/>
    </row>
    <row r="13" spans="1:23" hidden="1">
      <c r="A13" s="87"/>
      <c r="B13" s="87"/>
      <c r="C13" s="87"/>
      <c r="D13" s="889"/>
      <c r="K13" s="889"/>
      <c r="L13" s="87"/>
      <c r="M13" s="87"/>
      <c r="N13" s="87"/>
      <c r="O13" s="87"/>
      <c r="P13" s="87"/>
      <c r="Q13" s="87"/>
      <c r="R13" s="87"/>
      <c r="U13">
        <f>ROW()</f>
        <v>13</v>
      </c>
    </row>
    <row r="14" spans="1:23">
      <c r="A14" s="87"/>
      <c r="B14" s="87"/>
      <c r="C14" s="87"/>
      <c r="D14" s="889"/>
      <c r="F14" s="911" t="str">
        <f>"Kính gửi: "&amp;CĐT</f>
        <v>Kính gửi: Công ty TNHH MTV khai thác công trình thủy lợi Ninh Thuận</v>
      </c>
      <c r="K14" s="889"/>
      <c r="L14" s="87"/>
      <c r="M14" s="87"/>
      <c r="N14" s="87"/>
      <c r="O14" s="87"/>
      <c r="P14" s="87"/>
      <c r="Q14" s="87"/>
      <c r="R14" s="87"/>
    </row>
    <row r="15" spans="1:23">
      <c r="A15" s="87"/>
      <c r="B15" s="87"/>
      <c r="C15" s="87"/>
      <c r="D15" s="889"/>
      <c r="E15" s="331"/>
      <c r="F15" s="897"/>
      <c r="G15" s="331"/>
      <c r="H15" s="331"/>
      <c r="I15" s="331"/>
      <c r="J15" s="331"/>
      <c r="K15" s="889"/>
      <c r="L15" s="87"/>
      <c r="M15" s="87"/>
      <c r="N15" s="87"/>
      <c r="O15" s="87"/>
      <c r="P15" s="87"/>
      <c r="Q15" s="87"/>
      <c r="R15" s="87"/>
    </row>
    <row r="16" spans="1:23" ht="36.6" customHeight="1">
      <c r="A16" s="87"/>
      <c r="B16" s="87"/>
      <c r="C16" s="87"/>
      <c r="D16" s="889"/>
      <c r="E16" s="1827" t="str">
        <f>"     "&amp;DVTC&amp;" báo cáo kết quả nghiệm thu hoàn thành thi công xây dựng hạng mục công trình, công trình xây dựng với các nội dung sau:"</f>
        <v xml:space="preserve">     Công ty TNHH Xây dựng Thịnh Dũng báo cáo kết quả nghiệm thu hoàn thành thi công xây dựng hạng mục công trình, công trình xây dựng với các nội dung sau:</v>
      </c>
      <c r="F16" s="1827"/>
      <c r="G16" s="1827"/>
      <c r="H16" s="1827"/>
      <c r="I16" s="1827"/>
      <c r="J16" s="1827"/>
      <c r="K16" s="889"/>
      <c r="L16" s="87"/>
      <c r="M16" s="87"/>
      <c r="N16" s="87"/>
      <c r="O16" s="87"/>
      <c r="P16" s="87"/>
      <c r="Q16" s="87"/>
      <c r="R16" s="87"/>
      <c r="U16">
        <f>ROW()</f>
        <v>16</v>
      </c>
    </row>
    <row r="17" spans="1:21" ht="5.25" customHeight="1">
      <c r="A17" s="87"/>
      <c r="B17" s="87"/>
      <c r="C17" s="87"/>
      <c r="D17" s="889"/>
      <c r="E17" s="908"/>
      <c r="F17" s="908"/>
      <c r="G17" s="908"/>
      <c r="H17" s="908"/>
      <c r="I17" s="908"/>
      <c r="J17" s="908"/>
      <c r="K17" s="889"/>
      <c r="L17" s="87"/>
      <c r="M17" s="87"/>
      <c r="N17" s="87"/>
      <c r="O17" s="87"/>
      <c r="P17" s="87"/>
      <c r="Q17" s="87"/>
      <c r="R17" s="87"/>
    </row>
    <row r="18" spans="1:21" ht="36.6" customHeight="1">
      <c r="A18" s="87"/>
      <c r="B18" s="87"/>
      <c r="C18" s="87"/>
      <c r="D18" s="889"/>
      <c r="E18" s="1827" t="str">
        <f>IF(NDtieude1&lt;&gt;"","     - "&amp;Tieude1&amp;": "&amp;NDtieude1,"")</f>
        <v xml:space="preserve">     - Công trình: Gia cố nâng cấp kênh Bà Xoài từ K0+300÷K0+600 - Hệ thống thủy lợi Nha Trinh, huyện Ninh Hải, tỉnh Ninh Thuận</v>
      </c>
      <c r="F18" s="1827"/>
      <c r="G18" s="1827"/>
      <c r="H18" s="1827"/>
      <c r="I18" s="1827"/>
      <c r="J18" s="1827"/>
      <c r="K18" s="889"/>
      <c r="L18" s="87"/>
      <c r="M18" s="87"/>
      <c r="N18" s="87"/>
      <c r="O18" s="87"/>
      <c r="P18" s="87"/>
      <c r="Q18" s="87"/>
      <c r="R18" s="87"/>
      <c r="U18">
        <f>ROW()</f>
        <v>18</v>
      </c>
    </row>
    <row r="19" spans="1:21" ht="20.100000000000001" customHeight="1">
      <c r="A19" s="87"/>
      <c r="B19" s="87"/>
      <c r="C19" s="87"/>
      <c r="D19" s="889"/>
      <c r="E19" s="1827" t="str">
        <f>IF(NDtieude1&lt;&gt;"","     - "&amp;Tieude2&amp;": "&amp;NDtieude2,"")</f>
        <v xml:space="preserve">     - Gói thầu 05: </v>
      </c>
      <c r="F19" s="1827"/>
      <c r="G19" s="1827"/>
      <c r="H19" s="1827"/>
      <c r="I19" s="1827"/>
      <c r="J19" s="1827"/>
      <c r="K19" s="889"/>
      <c r="L19" s="87"/>
      <c r="M19" s="87"/>
      <c r="N19" s="87"/>
      <c r="O19" s="87"/>
      <c r="P19" s="87"/>
      <c r="Q19" s="87"/>
      <c r="R19" s="87"/>
      <c r="U19">
        <f>ROW()</f>
        <v>19</v>
      </c>
    </row>
    <row r="20" spans="1:21" ht="20.100000000000001" customHeight="1">
      <c r="A20" s="87"/>
      <c r="B20" s="87"/>
      <c r="C20" s="87"/>
      <c r="D20" s="889"/>
      <c r="E20" s="1827" t="str">
        <f>IF(NDtieude1&lt;&gt;"","     - "&amp;Tieude3&amp;": "&amp;NDtieude3,"")</f>
        <v xml:space="preserve">     - Hạng mục: Kênh và Công trình trên kênh</v>
      </c>
      <c r="F20" s="1827"/>
      <c r="G20" s="1827"/>
      <c r="H20" s="1827"/>
      <c r="I20" s="1827"/>
      <c r="J20" s="1827"/>
      <c r="K20" s="889"/>
      <c r="L20" s="87"/>
      <c r="M20" s="87"/>
      <c r="N20" s="87"/>
      <c r="O20" s="87"/>
      <c r="P20" s="87"/>
      <c r="Q20" s="87"/>
      <c r="R20" s="87"/>
      <c r="U20">
        <f>ROW()</f>
        <v>20</v>
      </c>
    </row>
    <row r="21" spans="1:21">
      <c r="A21" s="87"/>
      <c r="B21" s="87"/>
      <c r="C21" s="87"/>
      <c r="D21" s="889"/>
      <c r="E21" s="1827" t="str">
        <f>"     - "&amp;"Địa điểm xây dựng"&amp;": "&amp;DDXD</f>
        <v xml:space="preserve">     - Địa điểm xây dựng: Huyện Ninh Hải - Tỉnh Ninh Thuận</v>
      </c>
      <c r="F21" s="1827"/>
      <c r="G21" s="1827"/>
      <c r="H21" s="1827"/>
      <c r="I21" s="1827"/>
      <c r="J21" s="1827"/>
      <c r="K21" s="889"/>
      <c r="L21" s="87"/>
      <c r="M21" s="87"/>
      <c r="N21" s="87"/>
      <c r="O21" s="87"/>
      <c r="P21" s="87"/>
      <c r="Q21" s="87"/>
      <c r="R21" s="87"/>
    </row>
    <row r="22" spans="1:21">
      <c r="A22" s="87"/>
      <c r="B22" s="87"/>
      <c r="C22" s="87"/>
      <c r="D22" s="889"/>
      <c r="E22" s="897" t="str">
        <f>"      -"&amp;"Tên và số điện thoại liên lạc của cá nhân phụ trách trực tiếp: "</f>
        <v xml:space="preserve">      -Tên và số điện thoại liên lạc của cá nhân phụ trách trực tiếp: </v>
      </c>
      <c r="F22" s="944"/>
      <c r="G22" s="331"/>
      <c r="H22" s="331"/>
      <c r="I22" s="331"/>
      <c r="J22" s="331"/>
      <c r="K22" s="889"/>
      <c r="L22" s="87"/>
      <c r="M22" s="87"/>
      <c r="N22" s="87"/>
      <c r="O22" s="87"/>
      <c r="P22" s="87"/>
      <c r="Q22" s="87"/>
      <c r="R22" s="87"/>
    </row>
    <row r="23" spans="1:21" ht="10.5" customHeight="1">
      <c r="A23" s="87"/>
      <c r="B23" s="87"/>
      <c r="C23" s="87"/>
      <c r="D23" s="889"/>
      <c r="E23" s="897"/>
      <c r="F23" s="944"/>
      <c r="G23" s="331"/>
      <c r="H23" s="331"/>
      <c r="I23" s="331"/>
      <c r="J23" s="331"/>
      <c r="K23" s="889"/>
      <c r="L23" s="87"/>
      <c r="M23" s="87"/>
      <c r="N23" s="87"/>
      <c r="O23" s="87"/>
      <c r="P23" s="87"/>
      <c r="Q23" s="87"/>
      <c r="R23" s="87"/>
    </row>
    <row r="24" spans="1:21">
      <c r="A24" s="87"/>
      <c r="B24" s="87"/>
      <c r="C24" s="87"/>
      <c r="D24" s="889"/>
      <c r="E24" s="911" t="str">
        <f>"     1. "&amp;"Quy mô hạng mục công trình, công trình xây dựng: "</f>
        <v xml:space="preserve">     1. Quy mô hạng mục công trình, công trình xây dựng: </v>
      </c>
      <c r="F24" s="944"/>
      <c r="G24" s="331"/>
      <c r="H24" s="331"/>
      <c r="I24" s="331"/>
      <c r="J24" s="331"/>
      <c r="K24" s="889"/>
      <c r="L24" s="87"/>
      <c r="M24" s="87"/>
      <c r="N24" s="87"/>
      <c r="O24" s="87"/>
      <c r="P24" s="87"/>
      <c r="Q24" s="87"/>
      <c r="R24" s="87"/>
    </row>
    <row r="25" spans="1:21">
      <c r="A25" s="87"/>
      <c r="B25" s="87"/>
      <c r="C25" s="87"/>
      <c r="D25" s="889"/>
      <c r="E25" s="1933"/>
      <c r="F25" s="1933"/>
      <c r="G25" s="1933"/>
      <c r="H25" s="1933"/>
      <c r="I25" s="1933"/>
      <c r="J25" s="1933"/>
      <c r="K25" s="889"/>
      <c r="L25" s="87"/>
      <c r="M25" s="87"/>
      <c r="N25" s="87"/>
      <c r="O25" s="87"/>
      <c r="P25" s="87"/>
      <c r="Q25" s="87"/>
      <c r="R25" s="87"/>
    </row>
    <row r="26" spans="1:21">
      <c r="A26" s="87"/>
      <c r="B26" s="87"/>
      <c r="C26" s="87"/>
      <c r="D26" s="889"/>
      <c r="E26" s="1933"/>
      <c r="F26" s="1933"/>
      <c r="G26" s="1933"/>
      <c r="H26" s="1933"/>
      <c r="I26" s="1933"/>
      <c r="J26" s="1933"/>
      <c r="K26" s="889"/>
      <c r="L26" s="87"/>
      <c r="M26" s="87"/>
      <c r="N26" s="87"/>
      <c r="O26" s="87"/>
      <c r="P26" s="87"/>
      <c r="Q26" s="87"/>
      <c r="R26" s="87"/>
    </row>
    <row r="27" spans="1:21">
      <c r="A27" s="87"/>
      <c r="B27" s="87"/>
      <c r="C27" s="87"/>
      <c r="D27" s="889"/>
      <c r="E27" s="1933"/>
      <c r="F27" s="1933"/>
      <c r="G27" s="1933"/>
      <c r="H27" s="1933"/>
      <c r="I27" s="1933"/>
      <c r="J27" s="1933"/>
      <c r="K27" s="889"/>
      <c r="L27" s="87"/>
      <c r="M27" s="87"/>
      <c r="N27" s="87"/>
      <c r="O27" s="87"/>
      <c r="P27" s="87"/>
      <c r="Q27" s="87"/>
      <c r="R27" s="87"/>
    </row>
    <row r="28" spans="1:21">
      <c r="A28" s="87"/>
      <c r="B28" s="87"/>
      <c r="C28" s="87"/>
      <c r="D28" s="889"/>
      <c r="E28" s="1933"/>
      <c r="F28" s="1933"/>
      <c r="G28" s="1933"/>
      <c r="H28" s="1933"/>
      <c r="I28" s="1933"/>
      <c r="J28" s="1933"/>
      <c r="K28" s="889"/>
      <c r="L28" s="87"/>
      <c r="M28" s="87"/>
      <c r="N28" s="87"/>
      <c r="O28" s="87"/>
      <c r="P28" s="87"/>
      <c r="Q28" s="87"/>
      <c r="R28" s="87"/>
    </row>
    <row r="29" spans="1:21">
      <c r="A29" s="87"/>
      <c r="B29" s="87"/>
      <c r="C29" s="87"/>
      <c r="D29" s="889"/>
      <c r="E29" s="911" t="str">
        <f>"     2. "&amp;"Danh sách các nhà thầu."</f>
        <v xml:space="preserve">     2. Danh sách các nhà thầu.</v>
      </c>
      <c r="F29" s="944"/>
      <c r="G29" s="331"/>
      <c r="H29" s="331"/>
      <c r="I29" s="331"/>
      <c r="J29" s="331"/>
      <c r="K29" s="889"/>
      <c r="L29" s="87"/>
      <c r="M29" s="87"/>
      <c r="N29" s="87"/>
      <c r="O29" s="87"/>
      <c r="P29" s="87"/>
      <c r="Q29" s="87"/>
      <c r="R29" s="87"/>
    </row>
    <row r="30" spans="1:21" ht="20.100000000000001" customHeight="1">
      <c r="A30" s="87"/>
      <c r="B30" s="87"/>
      <c r="C30" s="87"/>
      <c r="D30" s="889"/>
      <c r="E30" s="897" t="str">
        <f>"     - "&amp;"Đơn vị thiết kế"&amp;": "&amp;DVTK</f>
        <v xml:space="preserve">     - Đơn vị thiết kế: Công ty TNHH Tư vấn Xây dựng Hưng Thịnh</v>
      </c>
      <c r="F30" s="944"/>
      <c r="G30" s="331"/>
      <c r="H30" s="331"/>
      <c r="I30" s="331"/>
      <c r="J30" s="331"/>
      <c r="K30" s="889"/>
      <c r="L30" s="87"/>
      <c r="M30" s="87"/>
      <c r="N30" s="87"/>
      <c r="O30" s="87"/>
      <c r="P30" s="87"/>
      <c r="Q30" s="87"/>
      <c r="R30" s="87"/>
      <c r="U30">
        <f>ROW()</f>
        <v>30</v>
      </c>
    </row>
    <row r="31" spans="1:21" ht="20.100000000000001" customHeight="1">
      <c r="A31" s="87"/>
      <c r="B31" s="87"/>
      <c r="C31" s="87"/>
      <c r="D31" s="889"/>
      <c r="E31" s="897" t="str">
        <f>"     - "&amp;"Đơn vị giám sát"&amp;": "&amp;DVGS</f>
        <v xml:space="preserve">     - Đơn vị giám sát: Công ty TNHH Tư vấn Đầu tư Xây dựng Huy Đạt</v>
      </c>
      <c r="F31" s="944"/>
      <c r="G31" s="331"/>
      <c r="H31" s="331"/>
      <c r="I31" s="331"/>
      <c r="J31" s="331"/>
      <c r="K31" s="889"/>
      <c r="L31" s="87"/>
      <c r="M31" s="87"/>
      <c r="N31" s="87"/>
      <c r="O31" s="87"/>
      <c r="P31" s="87"/>
      <c r="Q31" s="87"/>
      <c r="R31" s="87"/>
      <c r="U31">
        <f>ROW()</f>
        <v>31</v>
      </c>
    </row>
    <row r="32" spans="1:21" ht="20.100000000000001" customHeight="1">
      <c r="A32" s="87"/>
      <c r="B32" s="87"/>
      <c r="C32" s="87"/>
      <c r="D32" s="889"/>
      <c r="E32" s="897" t="str">
        <f>"     - "&amp;"Đơn vị thi công"&amp;": "&amp;DVTC</f>
        <v xml:space="preserve">     - Đơn vị thi công: Công ty TNHH Xây dựng Thịnh Dũng</v>
      </c>
      <c r="F32" s="944"/>
      <c r="G32" s="331"/>
      <c r="H32" s="331"/>
      <c r="I32" s="331"/>
      <c r="J32" s="331"/>
      <c r="K32" s="889"/>
      <c r="L32" s="87"/>
      <c r="M32" s="87"/>
      <c r="N32" s="87"/>
      <c r="O32" s="87"/>
      <c r="P32" s="87"/>
      <c r="Q32" s="87"/>
      <c r="R32" s="87"/>
      <c r="U32">
        <f>ROW()</f>
        <v>32</v>
      </c>
    </row>
    <row r="33" spans="1:18">
      <c r="A33" s="87"/>
      <c r="B33" s="87"/>
      <c r="C33" s="87"/>
      <c r="D33" s="889"/>
      <c r="E33" s="911" t="str">
        <f>"     3. "&amp;"Ngày khởi công và ngày hoàn thành."</f>
        <v xml:space="preserve">     3. Ngày khởi công và ngày hoàn thành.</v>
      </c>
      <c r="F33" s="944"/>
      <c r="G33" s="331"/>
      <c r="H33" s="331"/>
      <c r="I33" s="331"/>
      <c r="J33" s="331"/>
      <c r="K33" s="889"/>
      <c r="L33" s="87"/>
      <c r="M33" s="87"/>
      <c r="N33" s="87"/>
      <c r="O33" s="87"/>
      <c r="P33" s="87"/>
      <c r="Q33" s="87"/>
      <c r="R33" s="87"/>
    </row>
    <row r="34" spans="1:18">
      <c r="A34" s="87"/>
      <c r="B34" s="87"/>
      <c r="C34" s="87"/>
      <c r="D34" s="889"/>
      <c r="E34" s="897" t="str">
        <f>"     - "&amp;"Ngày khởi công"&amp;": "&amp;TEXT(Ngaykhoicong,"dd/mm/yyyy")</f>
        <v xml:space="preserve">     - Ngày khởi công: 02/05/2020</v>
      </c>
      <c r="F34" s="944"/>
      <c r="G34" s="331"/>
      <c r="H34" s="331"/>
      <c r="I34" s="331"/>
      <c r="J34" s="331"/>
      <c r="K34" s="889"/>
      <c r="L34" s="87"/>
      <c r="M34" s="87"/>
      <c r="N34" s="87"/>
      <c r="O34" s="87"/>
      <c r="P34" s="87"/>
      <c r="Q34" s="87"/>
      <c r="R34" s="87"/>
    </row>
    <row r="35" spans="1:18">
      <c r="A35" s="87"/>
      <c r="B35" s="87"/>
      <c r="C35" s="87"/>
      <c r="D35" s="889"/>
      <c r="E35" s="897" t="str">
        <f ca="1">"     - "&amp;"Ngày hoàn thành"&amp;": "&amp;TEXT(Ngayhoanthanh,"dd/mm/yyyy")</f>
        <v xml:space="preserve">     - Ngày hoàn thành: 18/06/2020</v>
      </c>
      <c r="F35" s="944"/>
      <c r="G35" s="331"/>
      <c r="H35" s="331"/>
      <c r="I35" s="331"/>
      <c r="J35" s="331"/>
      <c r="K35" s="889"/>
      <c r="L35" s="87"/>
      <c r="M35" s="87"/>
      <c r="N35" s="87"/>
      <c r="O35" s="87"/>
      <c r="P35" s="87"/>
      <c r="Q35" s="87"/>
      <c r="R35" s="87"/>
    </row>
    <row r="36" spans="1:18">
      <c r="A36" s="87"/>
      <c r="B36" s="87"/>
      <c r="C36" s="87"/>
      <c r="D36" s="889"/>
      <c r="E36" s="911" t="str">
        <f>"     4. "&amp;"Khối lượng của các loại công việc xây dựng chủ yếu đã được thực hiện."</f>
        <v xml:space="preserve">     4. Khối lượng của các loại công việc xây dựng chủ yếu đã được thực hiện.</v>
      </c>
      <c r="F36" s="944"/>
      <c r="G36" s="331"/>
      <c r="H36" s="331"/>
      <c r="I36" s="331"/>
      <c r="J36" s="331"/>
      <c r="K36" s="889"/>
      <c r="L36" s="87"/>
      <c r="M36" s="87"/>
      <c r="N36" s="87"/>
      <c r="O36" s="87"/>
      <c r="P36" s="87"/>
      <c r="Q36" s="87"/>
      <c r="R36" s="87"/>
    </row>
    <row r="37" spans="1:18">
      <c r="A37" s="87"/>
      <c r="B37" s="87"/>
      <c r="C37" s="87"/>
      <c r="D37" s="889"/>
      <c r="E37" s="1904" t="s">
        <v>168</v>
      </c>
      <c r="F37" s="1904" t="s">
        <v>23</v>
      </c>
      <c r="G37" s="1904" t="s">
        <v>5425</v>
      </c>
      <c r="H37" s="1904" t="s">
        <v>3909</v>
      </c>
      <c r="I37" s="1904"/>
      <c r="J37" s="1904" t="s">
        <v>20</v>
      </c>
      <c r="K37" s="889"/>
      <c r="L37" s="87"/>
      <c r="M37" s="87"/>
      <c r="N37" s="87"/>
      <c r="O37" s="87"/>
      <c r="P37" s="87"/>
      <c r="Q37" s="87"/>
      <c r="R37" s="87"/>
    </row>
    <row r="38" spans="1:18">
      <c r="A38" s="87"/>
      <c r="B38" s="87"/>
      <c r="C38" s="87"/>
      <c r="D38" s="889"/>
      <c r="E38" s="1904"/>
      <c r="F38" s="1904"/>
      <c r="G38" s="1904"/>
      <c r="H38" s="912" t="s">
        <v>159</v>
      </c>
      <c r="I38" s="912" t="s">
        <v>3906</v>
      </c>
      <c r="J38" s="1904"/>
      <c r="K38" s="889"/>
      <c r="L38" s="87"/>
      <c r="M38" s="87"/>
      <c r="N38" s="87"/>
      <c r="O38" s="87"/>
      <c r="P38" s="87"/>
      <c r="Q38" s="87"/>
      <c r="R38" s="87"/>
    </row>
    <row r="39" spans="1:18">
      <c r="A39" s="87"/>
      <c r="B39" s="87"/>
      <c r="C39" s="87"/>
      <c r="D39" s="889"/>
      <c r="E39" s="940"/>
      <c r="F39" s="940"/>
      <c r="G39" s="940"/>
      <c r="H39" s="941"/>
      <c r="I39" s="941"/>
      <c r="J39" s="940"/>
      <c r="K39" s="889"/>
      <c r="L39" s="87"/>
      <c r="M39" s="87"/>
      <c r="N39" s="87"/>
      <c r="O39" s="87"/>
      <c r="P39" s="87"/>
      <c r="Q39" s="87"/>
      <c r="R39" s="87"/>
    </row>
    <row r="40" spans="1:18">
      <c r="A40" s="87"/>
      <c r="B40" s="87"/>
      <c r="C40" s="87"/>
      <c r="D40" s="889"/>
      <c r="E40" s="940"/>
      <c r="F40" s="940"/>
      <c r="G40" s="940"/>
      <c r="H40" s="941"/>
      <c r="I40" s="941"/>
      <c r="J40" s="940"/>
      <c r="K40" s="889"/>
      <c r="L40" s="87"/>
      <c r="M40" s="87"/>
      <c r="N40" s="87"/>
      <c r="O40" s="87"/>
      <c r="P40" s="87"/>
      <c r="Q40" s="87"/>
      <c r="R40" s="87"/>
    </row>
    <row r="41" spans="1:18">
      <c r="A41" s="87"/>
      <c r="B41" s="87"/>
      <c r="C41" s="87"/>
      <c r="D41" s="889"/>
      <c r="E41" s="940"/>
      <c r="F41" s="940"/>
      <c r="G41" s="940"/>
      <c r="H41" s="941"/>
      <c r="I41" s="941"/>
      <c r="J41" s="940"/>
      <c r="K41" s="889"/>
      <c r="L41" s="87"/>
      <c r="M41" s="87"/>
      <c r="N41" s="87"/>
      <c r="O41" s="87"/>
      <c r="P41" s="87"/>
      <c r="Q41" s="87"/>
      <c r="R41" s="87"/>
    </row>
    <row r="42" spans="1:18">
      <c r="A42" s="87"/>
      <c r="B42" s="87"/>
      <c r="C42" s="87"/>
      <c r="D42" s="889"/>
      <c r="E42" s="940"/>
      <c r="F42" s="940"/>
      <c r="G42" s="940"/>
      <c r="H42" s="941"/>
      <c r="I42" s="941"/>
      <c r="J42" s="940"/>
      <c r="K42" s="889"/>
      <c r="L42" s="87"/>
      <c r="M42" s="87"/>
      <c r="N42" s="87"/>
      <c r="O42" s="87"/>
      <c r="P42" s="87"/>
      <c r="Q42" s="87"/>
      <c r="R42" s="87"/>
    </row>
    <row r="43" spans="1:18">
      <c r="A43" s="87"/>
      <c r="B43" s="87"/>
      <c r="C43" s="87"/>
      <c r="D43" s="889"/>
      <c r="E43" s="940"/>
      <c r="F43" s="940"/>
      <c r="G43" s="940"/>
      <c r="H43" s="941"/>
      <c r="I43" s="941"/>
      <c r="J43" s="940"/>
      <c r="K43" s="889"/>
      <c r="L43" s="87"/>
      <c r="M43" s="87"/>
      <c r="N43" s="87"/>
      <c r="O43" s="87"/>
      <c r="P43" s="87"/>
      <c r="Q43" s="87"/>
      <c r="R43" s="87"/>
    </row>
    <row r="44" spans="1:18">
      <c r="A44" s="87"/>
      <c r="B44" s="87"/>
      <c r="C44" s="87"/>
      <c r="D44" s="889"/>
      <c r="E44" s="940"/>
      <c r="F44" s="940"/>
      <c r="G44" s="940"/>
      <c r="H44" s="941"/>
      <c r="I44" s="941"/>
      <c r="J44" s="940"/>
      <c r="K44" s="889"/>
      <c r="L44" s="87"/>
      <c r="M44" s="87"/>
      <c r="N44" s="87"/>
      <c r="O44" s="87"/>
      <c r="P44" s="87"/>
      <c r="Q44" s="87"/>
      <c r="R44" s="87"/>
    </row>
    <row r="45" spans="1:18">
      <c r="A45" s="87"/>
      <c r="B45" s="87"/>
      <c r="C45" s="87"/>
      <c r="D45" s="889"/>
      <c r="E45" s="940"/>
      <c r="F45" s="940"/>
      <c r="G45" s="940"/>
      <c r="H45" s="941"/>
      <c r="I45" s="941"/>
      <c r="J45" s="940"/>
      <c r="K45" s="889"/>
      <c r="L45" s="87"/>
      <c r="M45" s="87"/>
      <c r="N45" s="87"/>
      <c r="O45" s="87"/>
      <c r="P45" s="87"/>
      <c r="Q45" s="87"/>
      <c r="R45" s="87"/>
    </row>
    <row r="46" spans="1:18">
      <c r="A46" s="87"/>
      <c r="B46" s="87"/>
      <c r="C46" s="87"/>
      <c r="D46" s="889"/>
      <c r="E46" s="940"/>
      <c r="F46" s="940"/>
      <c r="G46" s="940"/>
      <c r="H46" s="941"/>
      <c r="I46" s="941"/>
      <c r="J46" s="940"/>
      <c r="K46" s="889"/>
      <c r="L46" s="87"/>
      <c r="M46" s="87"/>
      <c r="N46" s="87"/>
      <c r="O46" s="87"/>
      <c r="P46" s="87"/>
      <c r="Q46" s="87"/>
      <c r="R46" s="87"/>
    </row>
    <row r="47" spans="1:18">
      <c r="A47" s="87"/>
      <c r="B47" s="87"/>
      <c r="C47" s="87"/>
      <c r="D47" s="889"/>
      <c r="E47" s="940"/>
      <c r="F47" s="940"/>
      <c r="G47" s="940"/>
      <c r="H47" s="941"/>
      <c r="I47" s="941"/>
      <c r="J47" s="940"/>
      <c r="K47" s="889"/>
      <c r="L47" s="87"/>
      <c r="M47" s="87"/>
      <c r="N47" s="87"/>
      <c r="O47" s="87"/>
      <c r="P47" s="87"/>
      <c r="Q47" s="87"/>
      <c r="R47" s="87"/>
    </row>
    <row r="48" spans="1:18">
      <c r="A48" s="87"/>
      <c r="B48" s="87"/>
      <c r="C48" s="87"/>
      <c r="D48" s="889"/>
      <c r="E48" s="940"/>
      <c r="F48" s="940"/>
      <c r="G48" s="940"/>
      <c r="H48" s="941"/>
      <c r="I48" s="941"/>
      <c r="J48" s="940"/>
      <c r="K48" s="889"/>
      <c r="L48" s="87"/>
      <c r="M48" s="87"/>
      <c r="N48" s="87"/>
      <c r="O48" s="87"/>
      <c r="P48" s="87"/>
      <c r="Q48" s="87"/>
      <c r="R48" s="87"/>
    </row>
    <row r="49" spans="1:21">
      <c r="A49" s="87"/>
      <c r="B49" s="87"/>
      <c r="C49" s="87"/>
      <c r="D49" s="889"/>
      <c r="E49" s="940"/>
      <c r="F49" s="940"/>
      <c r="G49" s="940"/>
      <c r="H49" s="941"/>
      <c r="I49" s="941"/>
      <c r="J49" s="940"/>
      <c r="K49" s="889"/>
      <c r="L49" s="87"/>
      <c r="M49" s="87"/>
      <c r="N49" s="87"/>
      <c r="O49" s="87"/>
      <c r="P49" s="87"/>
      <c r="Q49" s="87"/>
      <c r="R49" s="87"/>
    </row>
    <row r="50" spans="1:21">
      <c r="A50" s="87"/>
      <c r="B50" s="87"/>
      <c r="C50" s="87"/>
      <c r="D50" s="889"/>
      <c r="E50" s="942"/>
      <c r="F50" s="942"/>
      <c r="G50" s="942"/>
      <c r="H50" s="943"/>
      <c r="I50" s="943"/>
      <c r="J50" s="942"/>
      <c r="K50" s="889"/>
      <c r="L50" s="87"/>
      <c r="M50" s="87"/>
      <c r="N50" s="87"/>
      <c r="O50" s="87"/>
      <c r="P50" s="87"/>
      <c r="Q50" s="87"/>
      <c r="R50" s="87"/>
    </row>
    <row r="51" spans="1:21" ht="37.5" customHeight="1">
      <c r="A51" s="87"/>
      <c r="B51" s="87"/>
      <c r="C51" s="87"/>
      <c r="D51" s="889"/>
      <c r="E51" s="1932" t="str">
        <f>"     4. "&amp;"Đánh giá về chất lượng hạng mục công trình, công trình xây dựng so với yêu cầu của thiết kế."</f>
        <v xml:space="preserve">     4. Đánh giá về chất lượng hạng mục công trình, công trình xây dựng so với yêu cầu của thiết kế.</v>
      </c>
      <c r="F51" s="1932"/>
      <c r="G51" s="1932"/>
      <c r="H51" s="1932"/>
      <c r="I51" s="1932"/>
      <c r="J51" s="1932"/>
      <c r="K51" s="889"/>
      <c r="L51" s="87"/>
      <c r="M51" s="87"/>
      <c r="N51" s="87"/>
      <c r="O51" s="87"/>
      <c r="P51" s="87"/>
      <c r="Q51" s="87"/>
      <c r="R51" s="87"/>
    </row>
    <row r="52" spans="1:21">
      <c r="A52" s="87"/>
      <c r="B52" s="87"/>
      <c r="C52" s="87"/>
      <c r="D52" s="889"/>
      <c r="E52" s="1833" t="s">
        <v>5429</v>
      </c>
      <c r="F52" s="1833"/>
      <c r="G52" s="1833"/>
      <c r="H52" s="1833"/>
      <c r="I52" s="1833"/>
      <c r="J52" s="1833"/>
      <c r="K52" s="889"/>
      <c r="L52" s="87"/>
      <c r="M52" s="87"/>
      <c r="N52" s="87"/>
      <c r="O52" s="87"/>
      <c r="P52" s="87"/>
      <c r="Q52" s="87"/>
      <c r="R52" s="87"/>
    </row>
    <row r="53" spans="1:21" ht="33.75" customHeight="1">
      <c r="A53" s="87"/>
      <c r="B53" s="87"/>
      <c r="C53" s="87"/>
      <c r="D53" s="889"/>
      <c r="E53" s="1932" t="str">
        <f>"     5. "&amp;"Báo cáo về các điều kiện để đưa hạng mục công trình, công trình xây dựng vào sử dụng."</f>
        <v xml:space="preserve">     5. Báo cáo về các điều kiện để đưa hạng mục công trình, công trình xây dựng vào sử dụng.</v>
      </c>
      <c r="F53" s="1932"/>
      <c r="G53" s="1932"/>
      <c r="H53" s="1932"/>
      <c r="I53" s="1932"/>
      <c r="J53" s="1932"/>
      <c r="K53" s="889"/>
      <c r="L53" s="87"/>
      <c r="M53" s="87"/>
      <c r="N53" s="87"/>
      <c r="O53" s="87"/>
      <c r="P53" s="87"/>
      <c r="Q53" s="87"/>
      <c r="R53" s="87"/>
    </row>
    <row r="54" spans="1:21" ht="42" customHeight="1">
      <c r="A54" s="87"/>
      <c r="B54" s="87"/>
      <c r="C54" s="87"/>
      <c r="D54" s="889"/>
      <c r="E54" s="1833" t="s">
        <v>5428</v>
      </c>
      <c r="F54" s="1833"/>
      <c r="G54" s="1833"/>
      <c r="H54" s="1833"/>
      <c r="I54" s="1833"/>
      <c r="J54" s="1833"/>
      <c r="K54" s="889"/>
      <c r="L54" s="87"/>
      <c r="M54" s="87"/>
      <c r="N54" s="87"/>
      <c r="O54" s="87"/>
      <c r="P54" s="87"/>
      <c r="Q54" s="87"/>
      <c r="R54" s="87"/>
    </row>
    <row r="55" spans="1:21" ht="39" customHeight="1">
      <c r="A55" s="87"/>
      <c r="B55" s="87"/>
      <c r="C55" s="87"/>
      <c r="D55" s="889"/>
      <c r="E55" s="1934" t="str">
        <f>"     4. "&amp;"Kèm theo báo cáo là danh mục hồ sơ hoàn thành hạng mục công trình, công trình xây dựng."</f>
        <v xml:space="preserve">     4. Kèm theo báo cáo là danh mục hồ sơ hoàn thành hạng mục công trình, công trình xây dựng.</v>
      </c>
      <c r="F55" s="1934"/>
      <c r="G55" s="1934"/>
      <c r="H55" s="1934"/>
      <c r="I55" s="1934"/>
      <c r="J55" s="1934"/>
      <c r="K55" s="889"/>
      <c r="L55" s="87"/>
      <c r="M55" s="87"/>
      <c r="N55" s="87"/>
      <c r="O55" s="87"/>
      <c r="P55" s="87"/>
      <c r="Q55" s="87"/>
      <c r="R55" s="87"/>
    </row>
    <row r="56" spans="1:21" ht="53.1" customHeight="1">
      <c r="A56" s="87"/>
      <c r="B56" s="87"/>
      <c r="C56" s="87"/>
      <c r="D56" s="889"/>
      <c r="E56" s="1827" t="str">
        <f>"     "&amp;DVTC&amp;" cam kết đã tổ chức thi công xây dựng theo đúng hồ sơ thiết kế đã được thẩm định, phê duyệt, tập hợp hồ sơ hoàn thành công trình đầy đủ và tổ chức nghiệm thu hạng mục công trình, công trình xây dựng theo đúng quy định của pháp luật."</f>
        <v xml:space="preserve">     Công ty TNHH Xây dựng Thịnh Dũng cam kết đã tổ chức thi công xây dựng theo đúng hồ sơ thiết kế đã được thẩm định, phê duyệt, tập hợp hồ sơ hoàn thành công trình đầy đủ và tổ chức nghiệm thu hạng mục công trình, công trình xây dựng theo đúng quy định của pháp luật.</v>
      </c>
      <c r="F56" s="1827"/>
      <c r="G56" s="1827"/>
      <c r="H56" s="1827"/>
      <c r="I56" s="1827"/>
      <c r="J56" s="1827"/>
      <c r="K56" s="889"/>
      <c r="L56" s="87"/>
      <c r="M56" s="87"/>
      <c r="N56" s="87"/>
      <c r="O56" s="87"/>
      <c r="P56" s="87"/>
      <c r="Q56" s="87"/>
      <c r="R56" s="87"/>
      <c r="U56">
        <f>ROW()</f>
        <v>56</v>
      </c>
    </row>
    <row r="57" spans="1:21" ht="36.6" customHeight="1">
      <c r="A57" s="87"/>
      <c r="B57" s="87"/>
      <c r="C57" s="87"/>
      <c r="D57" s="889"/>
      <c r="E57" s="1827" t="str">
        <f>"     "&amp;"Đề nghị "&amp;CĐT&amp;" tổ chức kiểm tra công tác nghiệm thu hạng mục công trình, công trình xây dựng theo thẩm quyền./."</f>
        <v xml:space="preserve">     Đề nghị Công ty TNHH MTV khai thác công trình thủy lợi Ninh Thuận tổ chức kiểm tra công tác nghiệm thu hạng mục công trình, công trình xây dựng theo thẩm quyền./.</v>
      </c>
      <c r="F57" s="1827"/>
      <c r="G57" s="1827"/>
      <c r="H57" s="1827"/>
      <c r="I57" s="1827"/>
      <c r="J57" s="1827"/>
      <c r="K57" s="889"/>
      <c r="L57" s="87"/>
      <c r="M57" s="87"/>
      <c r="N57" s="87"/>
      <c r="O57" s="87"/>
      <c r="P57" s="87"/>
      <c r="Q57" s="87"/>
      <c r="R57" s="87"/>
      <c r="U57">
        <f>ROW()</f>
        <v>57</v>
      </c>
    </row>
    <row r="58" spans="1:21" ht="16.5" customHeight="1">
      <c r="A58" s="87"/>
      <c r="B58" s="87"/>
      <c r="C58" s="87"/>
      <c r="D58" s="889"/>
      <c r="E58" s="908"/>
      <c r="F58" s="908"/>
      <c r="G58" s="908"/>
      <c r="H58" s="908"/>
      <c r="I58" s="908"/>
      <c r="J58" s="908"/>
      <c r="K58" s="889"/>
      <c r="L58" s="87"/>
      <c r="M58" s="87"/>
      <c r="N58" s="87"/>
      <c r="O58" s="87"/>
      <c r="P58" s="87"/>
      <c r="Q58" s="87"/>
      <c r="R58" s="87"/>
    </row>
    <row r="59" spans="1:21" ht="17.25">
      <c r="A59" s="87"/>
      <c r="B59" s="87"/>
      <c r="C59" s="87"/>
      <c r="D59" s="889"/>
      <c r="E59" s="1935" t="s">
        <v>5423</v>
      </c>
      <c r="F59" s="1935"/>
      <c r="G59" s="1847" t="str">
        <f>UPPER(DVTC)</f>
        <v>CÔNG TY TNHH XÂY DỰNG THỊNH DŨNG</v>
      </c>
      <c r="H59" s="1847"/>
      <c r="I59" s="1847"/>
      <c r="J59" s="1847"/>
      <c r="K59" s="889"/>
      <c r="L59" s="87"/>
      <c r="M59" s="87"/>
      <c r="N59" s="87"/>
      <c r="O59" s="87"/>
      <c r="P59" s="87"/>
      <c r="Q59" s="87"/>
      <c r="R59" s="87"/>
    </row>
    <row r="60" spans="1:21">
      <c r="A60" s="87"/>
      <c r="B60" s="87"/>
      <c r="C60" s="87"/>
      <c r="D60" s="889"/>
      <c r="E60" s="1545" t="s">
        <v>5426</v>
      </c>
      <c r="F60" s="1545"/>
      <c r="G60" s="331"/>
      <c r="H60" s="331"/>
      <c r="I60" s="331"/>
      <c r="J60" s="331"/>
      <c r="K60" s="889"/>
      <c r="L60" s="87"/>
      <c r="M60" s="87"/>
      <c r="N60" s="87"/>
      <c r="O60" s="87"/>
      <c r="P60" s="87"/>
      <c r="Q60" s="87"/>
      <c r="R60" s="87"/>
    </row>
    <row r="61" spans="1:21">
      <c r="A61" s="87"/>
      <c r="B61" s="87"/>
      <c r="C61" s="87"/>
      <c r="D61" s="889"/>
      <c r="E61" s="1906" t="s">
        <v>5427</v>
      </c>
      <c r="F61" s="1545"/>
      <c r="G61" s="331"/>
      <c r="H61" s="331"/>
      <c r="I61" s="331"/>
      <c r="J61" s="331"/>
      <c r="K61" s="889"/>
      <c r="L61" s="87"/>
      <c r="M61" s="87"/>
      <c r="N61" s="87"/>
      <c r="O61" s="87"/>
      <c r="P61" s="87"/>
      <c r="Q61" s="87"/>
      <c r="R61" s="87"/>
    </row>
    <row r="62" spans="1:21">
      <c r="A62" s="87"/>
      <c r="B62" s="87"/>
      <c r="C62" s="87"/>
      <c r="D62" s="889"/>
      <c r="E62" s="938"/>
      <c r="F62" s="920"/>
      <c r="K62" s="889"/>
      <c r="L62" s="87"/>
      <c r="M62" s="87"/>
      <c r="N62" s="87"/>
      <c r="O62" s="87"/>
      <c r="P62" s="87"/>
      <c r="Q62" s="87"/>
      <c r="R62" s="87"/>
    </row>
    <row r="63" spans="1:21">
      <c r="A63" s="87"/>
      <c r="B63" s="87"/>
      <c r="C63" s="87"/>
      <c r="D63" s="889"/>
      <c r="E63" s="939"/>
      <c r="F63" s="920"/>
      <c r="K63" s="889"/>
      <c r="L63" s="87"/>
      <c r="M63" s="87"/>
      <c r="N63" s="87"/>
      <c r="O63" s="87"/>
      <c r="P63" s="87"/>
      <c r="Q63" s="87"/>
      <c r="R63" s="87"/>
    </row>
    <row r="64" spans="1:21">
      <c r="A64" s="87"/>
      <c r="B64" s="87"/>
      <c r="C64" s="87"/>
      <c r="D64" s="889"/>
      <c r="E64" s="917"/>
      <c r="F64" s="920"/>
      <c r="K64" s="889"/>
      <c r="L64" s="87"/>
      <c r="M64" s="87"/>
      <c r="N64" s="87"/>
      <c r="O64" s="87"/>
      <c r="P64" s="87"/>
      <c r="Q64" s="87"/>
      <c r="R64" s="87"/>
    </row>
    <row r="65" spans="1:18">
      <c r="A65" s="87"/>
      <c r="B65" s="87"/>
      <c r="C65" s="87"/>
      <c r="D65" s="889"/>
      <c r="E65" s="917"/>
      <c r="F65" s="920"/>
      <c r="K65" s="889"/>
      <c r="L65" s="87"/>
      <c r="M65" s="87"/>
      <c r="N65" s="87"/>
      <c r="O65" s="87"/>
      <c r="P65" s="87"/>
      <c r="Q65" s="87"/>
      <c r="R65" s="87"/>
    </row>
    <row r="66" spans="1:18">
      <c r="A66" s="87"/>
      <c r="B66" s="87"/>
      <c r="C66" s="87"/>
      <c r="D66" s="889"/>
      <c r="K66" s="889"/>
      <c r="L66" s="87"/>
      <c r="M66" s="87"/>
      <c r="N66" s="87"/>
      <c r="O66" s="87"/>
      <c r="P66" s="87"/>
      <c r="Q66" s="87"/>
      <c r="R66" s="87"/>
    </row>
    <row r="67" spans="1:18" ht="12" customHeight="1">
      <c r="A67" s="87"/>
      <c r="B67" s="87"/>
      <c r="C67" s="87"/>
      <c r="D67" s="889"/>
      <c r="E67" s="889"/>
      <c r="F67" s="889"/>
      <c r="G67" s="889"/>
      <c r="H67" s="889"/>
      <c r="I67" s="889"/>
      <c r="J67" s="889"/>
      <c r="K67" s="889"/>
      <c r="L67" s="87"/>
      <c r="M67" s="87"/>
      <c r="N67" s="87"/>
      <c r="O67" s="87"/>
      <c r="P67" s="87"/>
      <c r="Q67" s="87"/>
      <c r="R67" s="87"/>
    </row>
    <row r="68" spans="1:18">
      <c r="A68" s="87"/>
      <c r="B68" s="87"/>
      <c r="C68" s="87"/>
      <c r="D68" s="87"/>
      <c r="E68" s="87"/>
      <c r="F68" s="87"/>
      <c r="G68" s="87"/>
      <c r="H68" s="87"/>
      <c r="I68" s="87"/>
      <c r="J68" s="87"/>
      <c r="K68" s="87"/>
      <c r="L68" s="87"/>
      <c r="M68" s="87"/>
      <c r="N68" s="87"/>
      <c r="O68" s="87"/>
      <c r="P68" s="87"/>
      <c r="Q68" s="87"/>
      <c r="R68" s="87"/>
    </row>
    <row r="69" spans="1:18">
      <c r="A69" s="87"/>
      <c r="B69" s="87"/>
      <c r="C69" s="87"/>
      <c r="D69" s="87"/>
      <c r="E69" s="87"/>
      <c r="F69" s="87"/>
      <c r="G69" s="87"/>
      <c r="H69" s="87"/>
      <c r="I69" s="87"/>
      <c r="J69" s="87"/>
      <c r="K69" s="87"/>
      <c r="L69" s="87"/>
      <c r="M69" s="87"/>
      <c r="N69" s="87"/>
      <c r="O69" s="87"/>
      <c r="P69" s="87"/>
      <c r="Q69" s="87"/>
      <c r="R69" s="87"/>
    </row>
    <row r="70" spans="1:18">
      <c r="A70" s="87"/>
      <c r="B70" s="87"/>
      <c r="C70" s="87"/>
      <c r="D70" s="87"/>
      <c r="E70" s="87"/>
      <c r="F70" s="87"/>
      <c r="G70" s="87"/>
      <c r="H70" s="87"/>
      <c r="I70" s="87"/>
      <c r="J70" s="87"/>
      <c r="K70" s="87"/>
      <c r="L70" s="87"/>
      <c r="M70" s="87"/>
      <c r="N70" s="87"/>
      <c r="O70" s="87"/>
      <c r="P70" s="87"/>
      <c r="Q70" s="87"/>
      <c r="R70" s="87"/>
    </row>
    <row r="71" spans="1:18">
      <c r="A71" s="87"/>
      <c r="B71" s="87"/>
      <c r="C71" s="87"/>
      <c r="D71" s="87"/>
      <c r="E71" s="87"/>
      <c r="F71" s="87"/>
      <c r="G71" s="87"/>
      <c r="H71" s="87"/>
      <c r="I71" s="87"/>
      <c r="J71" s="87"/>
      <c r="K71" s="87"/>
      <c r="L71" s="87"/>
      <c r="M71" s="87"/>
      <c r="N71" s="87"/>
      <c r="O71" s="87"/>
      <c r="P71" s="87"/>
      <c r="Q71" s="87"/>
      <c r="R71" s="87"/>
    </row>
  </sheetData>
  <mergeCells count="35">
    <mergeCell ref="D1:K1"/>
    <mergeCell ref="D2:K2"/>
    <mergeCell ref="D3:K3"/>
    <mergeCell ref="E10:F10"/>
    <mergeCell ref="E9:F9"/>
    <mergeCell ref="G9:J9"/>
    <mergeCell ref="E6:J6"/>
    <mergeCell ref="E7:J7"/>
    <mergeCell ref="E8:J8"/>
    <mergeCell ref="G37:G38"/>
    <mergeCell ref="E60:F60"/>
    <mergeCell ref="E61:F61"/>
    <mergeCell ref="E53:J53"/>
    <mergeCell ref="E55:J55"/>
    <mergeCell ref="E54:J54"/>
    <mergeCell ref="G59:J59"/>
    <mergeCell ref="E59:F59"/>
    <mergeCell ref="E57:J57"/>
    <mergeCell ref="E56:J56"/>
    <mergeCell ref="E11:J11"/>
    <mergeCell ref="E16:J16"/>
    <mergeCell ref="E51:J51"/>
    <mergeCell ref="E18:J18"/>
    <mergeCell ref="E52:J52"/>
    <mergeCell ref="E19:J19"/>
    <mergeCell ref="E20:J20"/>
    <mergeCell ref="E21:J21"/>
    <mergeCell ref="F37:F38"/>
    <mergeCell ref="E37:E38"/>
    <mergeCell ref="J37:J38"/>
    <mergeCell ref="E25:J25"/>
    <mergeCell ref="E26:J26"/>
    <mergeCell ref="E27:J27"/>
    <mergeCell ref="E28:J28"/>
    <mergeCell ref="H37:I37"/>
  </mergeCells>
  <pageMargins left="0.9055118110236221" right="0.51181102362204722" top="0.55118110236220474" bottom="0.55118110236220474"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W125"/>
  <sheetViews>
    <sheetView showGridLines="0" zoomScaleNormal="100" workbookViewId="0">
      <pane xSplit="22" ySplit="4" topLeftCell="W5" activePane="bottomRight" state="frozen"/>
      <selection pane="topRight" activeCell="W1" sqref="W1"/>
      <selection pane="bottomLeft" activeCell="A5" sqref="A5"/>
      <selection pane="bottomRight" activeCell="E15" sqref="E15:M15"/>
    </sheetView>
  </sheetViews>
  <sheetFormatPr defaultRowHeight="16.5"/>
  <cols>
    <col min="1" max="1" width="11.109375" customWidth="1"/>
    <col min="2" max="2" width="11.33203125" customWidth="1"/>
    <col min="4" max="4" width="1.5546875" customWidth="1"/>
    <col min="5" max="5" width="4.77734375" customWidth="1"/>
    <col min="6" max="6" width="9.77734375" customWidth="1"/>
    <col min="7" max="7" width="9" customWidth="1"/>
    <col min="8" max="8" width="6.77734375" customWidth="1"/>
    <col min="9" max="9" width="8.109375" customWidth="1"/>
    <col min="10" max="10" width="9.6640625" customWidth="1"/>
    <col min="11" max="11" width="9.33203125" customWidth="1"/>
    <col min="12" max="12" width="8.88671875" customWidth="1"/>
    <col min="14" max="14" width="1.5546875" customWidth="1"/>
  </cols>
  <sheetData>
    <row r="1" spans="1:23" ht="20.25">
      <c r="A1" s="87"/>
      <c r="B1" s="87"/>
      <c r="C1" s="87"/>
      <c r="D1" s="1846" t="s">
        <v>5404</v>
      </c>
      <c r="E1" s="1846"/>
      <c r="F1" s="1846"/>
      <c r="G1" s="1846"/>
      <c r="H1" s="1846"/>
      <c r="I1" s="1846"/>
      <c r="J1" s="1846"/>
      <c r="K1" s="1846"/>
      <c r="L1" s="1846"/>
      <c r="M1" s="1846"/>
      <c r="N1" s="1846"/>
      <c r="O1" s="87"/>
      <c r="P1" s="87"/>
      <c r="Q1" s="87"/>
      <c r="R1" s="87"/>
      <c r="S1" s="87"/>
      <c r="T1" s="87"/>
      <c r="U1" s="87"/>
      <c r="V1" s="87"/>
      <c r="W1" s="87"/>
    </row>
    <row r="2" spans="1:23">
      <c r="A2" s="87"/>
      <c r="B2" s="87"/>
      <c r="C2" s="87"/>
      <c r="D2" s="1785" t="str">
        <f>N.thuMoc!E2</f>
        <v xml:space="preserve">     Công trình: Gia cố nâng cấp kênh Bà Xoài từ K0+300÷K0+600 - Hệ thống thủy lợi Nha Trinh, huyện Ninh Hải, tỉnh Ninh Thuận</v>
      </c>
      <c r="E2" s="1785"/>
      <c r="F2" s="1785"/>
      <c r="G2" s="1785"/>
      <c r="H2" s="1785"/>
      <c r="I2" s="1785"/>
      <c r="J2" s="1785"/>
      <c r="K2" s="1785"/>
      <c r="L2" s="1785"/>
      <c r="M2" s="1785"/>
      <c r="N2" s="1785"/>
      <c r="O2" s="87"/>
      <c r="P2" s="87"/>
      <c r="Q2" s="87"/>
      <c r="R2" s="87"/>
      <c r="S2" s="87"/>
      <c r="T2" s="87"/>
      <c r="U2" s="87"/>
      <c r="V2" s="87"/>
      <c r="W2" s="87"/>
    </row>
    <row r="3" spans="1:23">
      <c r="A3" s="87"/>
      <c r="B3" s="87"/>
      <c r="C3" s="87"/>
      <c r="D3" s="1785" t="str">
        <f>N.thuMoc!E3</f>
        <v xml:space="preserve">     Địa điểm XD: Huyện Ninh Hải - Tỉnh Ninh Thuận</v>
      </c>
      <c r="E3" s="1785"/>
      <c r="F3" s="1785"/>
      <c r="G3" s="1785"/>
      <c r="H3" s="1785"/>
      <c r="I3" s="1785"/>
      <c r="J3" s="1785"/>
      <c r="K3" s="1785"/>
      <c r="L3" s="1785"/>
      <c r="M3" s="1785"/>
      <c r="N3" s="1785"/>
      <c r="O3" s="87"/>
      <c r="P3" s="87"/>
      <c r="Q3" s="87"/>
      <c r="R3" s="87"/>
      <c r="S3" s="87"/>
      <c r="T3" s="87"/>
      <c r="U3" s="87"/>
      <c r="V3" s="87"/>
      <c r="W3" s="87"/>
    </row>
    <row r="4" spans="1:23">
      <c r="A4" s="87"/>
      <c r="B4" s="87"/>
      <c r="C4" s="87"/>
      <c r="D4" s="87"/>
      <c r="E4" s="87"/>
      <c r="F4" s="87"/>
      <c r="G4" s="87"/>
      <c r="H4" s="87"/>
      <c r="I4" s="87"/>
      <c r="J4" s="87"/>
      <c r="K4" s="87"/>
      <c r="L4" s="87"/>
      <c r="M4" s="87"/>
      <c r="N4" s="87"/>
      <c r="O4" s="87"/>
      <c r="P4" s="87"/>
      <c r="Q4" s="87"/>
      <c r="R4" s="87"/>
      <c r="S4" s="87"/>
      <c r="T4" s="87"/>
      <c r="U4" s="87"/>
      <c r="V4" s="87"/>
      <c r="W4" s="87"/>
    </row>
    <row r="5" spans="1:23" ht="9.75" customHeight="1">
      <c r="A5" s="87"/>
      <c r="B5" s="87"/>
      <c r="C5" s="87"/>
      <c r="D5" s="901"/>
      <c r="E5" s="901"/>
      <c r="F5" s="901"/>
      <c r="G5" s="901"/>
      <c r="H5" s="901"/>
      <c r="I5" s="901"/>
      <c r="J5" s="901"/>
      <c r="K5" s="901"/>
      <c r="L5" s="901"/>
      <c r="M5" s="901"/>
      <c r="N5" s="901"/>
      <c r="O5" s="87"/>
      <c r="P5" s="87"/>
      <c r="Q5" s="87"/>
      <c r="R5" s="87"/>
      <c r="S5" s="87"/>
      <c r="T5" s="87"/>
      <c r="U5" s="87"/>
      <c r="V5" s="87"/>
      <c r="W5" s="87"/>
    </row>
    <row r="6" spans="1:23" ht="16.5" customHeight="1">
      <c r="A6" s="87"/>
      <c r="B6" s="87"/>
      <c r="C6" s="87"/>
      <c r="D6" s="889"/>
      <c r="E6" s="1847" t="s">
        <v>5456</v>
      </c>
      <c r="F6" s="1847"/>
      <c r="G6" s="1847"/>
      <c r="H6" s="1847"/>
      <c r="I6" s="1847"/>
      <c r="J6" s="1847"/>
      <c r="K6" s="1847"/>
      <c r="L6" s="1847"/>
      <c r="M6" s="1847"/>
      <c r="N6" s="889"/>
      <c r="O6" s="87"/>
      <c r="P6" s="87"/>
      <c r="Q6" s="87"/>
      <c r="R6" s="87"/>
      <c r="S6" s="87"/>
      <c r="T6" s="87"/>
      <c r="U6" s="87"/>
      <c r="V6" s="87"/>
      <c r="W6" s="87"/>
    </row>
    <row r="7" spans="1:23" ht="16.5" customHeight="1">
      <c r="A7" s="87"/>
      <c r="B7" s="87"/>
      <c r="C7" s="87"/>
      <c r="D7" s="889"/>
      <c r="E7" s="1860" t="s">
        <v>5309</v>
      </c>
      <c r="F7" s="1860"/>
      <c r="G7" s="1860"/>
      <c r="H7" s="1860"/>
      <c r="I7" s="1860"/>
      <c r="J7" s="1860"/>
      <c r="K7" s="1860"/>
      <c r="L7" s="1860"/>
      <c r="M7" s="1860"/>
      <c r="N7" s="889"/>
      <c r="O7" s="87"/>
      <c r="P7" s="87"/>
      <c r="Q7" s="87"/>
      <c r="R7" s="87"/>
      <c r="S7" s="87"/>
      <c r="T7" s="87"/>
      <c r="U7" s="87"/>
      <c r="V7" s="87"/>
      <c r="W7" s="87"/>
    </row>
    <row r="8" spans="1:23">
      <c r="A8" s="87"/>
      <c r="B8" s="87"/>
      <c r="C8" s="87"/>
      <c r="D8" s="889"/>
      <c r="E8" s="1921" t="s">
        <v>5348</v>
      </c>
      <c r="F8" s="1921"/>
      <c r="G8" s="1921"/>
      <c r="H8" s="1921"/>
      <c r="I8" s="1921"/>
      <c r="J8" s="1921"/>
      <c r="K8" s="1921"/>
      <c r="L8" s="1921"/>
      <c r="M8" s="1921"/>
      <c r="N8" s="889"/>
      <c r="O8" s="87"/>
      <c r="P8" s="87"/>
      <c r="Q8" s="87"/>
      <c r="R8" s="87"/>
      <c r="S8" s="87"/>
      <c r="T8" s="87"/>
      <c r="U8" s="87"/>
      <c r="V8" s="87"/>
      <c r="W8" s="87"/>
    </row>
    <row r="9" spans="1:23" ht="16.5" customHeight="1">
      <c r="A9" s="87"/>
      <c r="B9" s="87"/>
      <c r="C9" s="87"/>
      <c r="D9" s="889"/>
      <c r="E9" s="895"/>
      <c r="F9" s="853"/>
      <c r="G9" s="853"/>
      <c r="H9" s="1939" t="s">
        <v>5349</v>
      </c>
      <c r="I9" s="1939"/>
      <c r="J9" s="1939"/>
      <c r="K9" s="1939"/>
      <c r="L9" s="1939"/>
      <c r="M9" s="1939"/>
      <c r="N9" s="889"/>
      <c r="O9" s="87"/>
      <c r="P9" s="87"/>
      <c r="Q9" s="87"/>
      <c r="R9" s="87"/>
      <c r="S9" s="87"/>
      <c r="T9" s="87"/>
      <c r="U9" s="87"/>
      <c r="V9" s="87"/>
      <c r="W9" s="87"/>
    </row>
    <row r="10" spans="1:23" ht="9" customHeight="1">
      <c r="A10" s="87"/>
      <c r="B10" s="87"/>
      <c r="C10" s="87"/>
      <c r="D10" s="889"/>
      <c r="E10" s="895"/>
      <c r="F10" s="853"/>
      <c r="G10" s="853"/>
      <c r="H10" s="875"/>
      <c r="I10" s="875"/>
      <c r="J10" s="918"/>
      <c r="K10" s="875"/>
      <c r="L10" s="875"/>
      <c r="M10" s="875"/>
      <c r="N10" s="889"/>
      <c r="O10" s="87"/>
      <c r="P10" s="87"/>
      <c r="Q10" s="87"/>
      <c r="R10" s="87"/>
      <c r="S10" s="87"/>
      <c r="T10" s="87"/>
      <c r="U10" s="87"/>
      <c r="V10" s="87"/>
      <c r="W10" s="87"/>
    </row>
    <row r="11" spans="1:23" ht="18.75">
      <c r="A11" s="87"/>
      <c r="B11" s="87"/>
      <c r="C11" s="87"/>
      <c r="D11" s="889"/>
      <c r="E11" s="1961" t="s">
        <v>5350</v>
      </c>
      <c r="F11" s="1961"/>
      <c r="G11" s="1961"/>
      <c r="H11" s="1961"/>
      <c r="I11" s="1961"/>
      <c r="J11" s="1961"/>
      <c r="K11" s="1961"/>
      <c r="L11" s="1961"/>
      <c r="M11" s="1961"/>
      <c r="N11" s="889"/>
      <c r="O11" s="87"/>
      <c r="P11" s="87"/>
      <c r="Q11" s="87"/>
      <c r="R11" s="87"/>
      <c r="S11" s="87"/>
      <c r="T11" s="87"/>
      <c r="U11" s="87"/>
      <c r="V11" s="87"/>
      <c r="W11" s="87"/>
    </row>
    <row r="12" spans="1:23" ht="18.75">
      <c r="A12" s="87"/>
      <c r="B12" s="87"/>
      <c r="C12" s="87"/>
      <c r="D12" s="889"/>
      <c r="E12" s="1961" t="s">
        <v>4358</v>
      </c>
      <c r="F12" s="1961"/>
      <c r="G12" s="1961"/>
      <c r="H12" s="1961"/>
      <c r="I12" s="1961"/>
      <c r="J12" s="1961"/>
      <c r="K12" s="1961"/>
      <c r="L12" s="1961"/>
      <c r="M12" s="1961"/>
      <c r="N12" s="889"/>
      <c r="O12" s="87"/>
      <c r="P12" s="87"/>
      <c r="Q12" s="87"/>
      <c r="R12" s="87"/>
      <c r="S12" s="87"/>
      <c r="T12" s="87"/>
      <c r="U12" s="87"/>
      <c r="V12" s="87"/>
      <c r="W12" s="87"/>
    </row>
    <row r="13" spans="1:23" ht="18.75">
      <c r="A13" s="87"/>
      <c r="B13" s="87"/>
      <c r="C13" s="87"/>
      <c r="D13" s="889"/>
      <c r="E13" s="1961" t="s">
        <v>5351</v>
      </c>
      <c r="F13" s="1961"/>
      <c r="G13" s="1961"/>
      <c r="H13" s="1961"/>
      <c r="I13" s="1961"/>
      <c r="J13" s="1961"/>
      <c r="K13" s="1961"/>
      <c r="L13" s="1961"/>
      <c r="M13" s="1961"/>
      <c r="N13" s="889"/>
      <c r="O13" s="87"/>
      <c r="P13" s="87"/>
      <c r="Q13" s="87"/>
      <c r="R13" s="87"/>
      <c r="S13" s="87"/>
      <c r="T13" s="87"/>
      <c r="U13" s="87"/>
      <c r="V13" s="87"/>
      <c r="W13" s="87"/>
    </row>
    <row r="14" spans="1:23">
      <c r="A14" s="87"/>
      <c r="B14" s="87"/>
      <c r="C14" s="87"/>
      <c r="D14" s="889"/>
      <c r="E14" s="896"/>
      <c r="G14" s="853"/>
      <c r="N14" s="889"/>
      <c r="O14" s="87"/>
      <c r="P14" s="87"/>
      <c r="Q14" s="87"/>
      <c r="R14" s="87"/>
      <c r="S14" s="87"/>
      <c r="T14" s="87"/>
      <c r="U14" s="87"/>
      <c r="V14" s="87"/>
      <c r="W14" s="87"/>
    </row>
    <row r="15" spans="1:23" ht="36.6" customHeight="1">
      <c r="A15" s="87"/>
      <c r="B15" s="87"/>
      <c r="C15" s="87"/>
      <c r="D15" s="889"/>
      <c r="E15" s="1918" t="str">
        <f>IF(NDtieude1&lt;&gt;"","     - "&amp;Tieude1&amp;": "&amp;NDtieude1,"")</f>
        <v xml:space="preserve">     - Công trình: Gia cố nâng cấp kênh Bà Xoài từ K0+300÷K0+600 - Hệ thống thủy lợi Nha Trinh, huyện Ninh Hải, tỉnh Ninh Thuận</v>
      </c>
      <c r="F15" s="1918"/>
      <c r="G15" s="1918"/>
      <c r="H15" s="1918"/>
      <c r="I15" s="1918"/>
      <c r="J15" s="1918"/>
      <c r="K15" s="1918"/>
      <c r="L15" s="1918"/>
      <c r="M15" s="1918"/>
      <c r="N15" s="889"/>
      <c r="O15" s="87"/>
      <c r="P15" s="87"/>
      <c r="Q15" s="87"/>
      <c r="R15" s="87"/>
      <c r="S15" s="87"/>
      <c r="T15" s="87"/>
      <c r="U15" s="87">
        <f>ROW()</f>
        <v>15</v>
      </c>
      <c r="V15" s="87"/>
      <c r="W15" s="87"/>
    </row>
    <row r="16" spans="1:23" ht="20.100000000000001" hidden="1" customHeight="1">
      <c r="A16" s="87"/>
      <c r="B16" s="87"/>
      <c r="C16" s="87"/>
      <c r="D16" s="889"/>
      <c r="E16" s="1918" t="str">
        <f>IF(NDtieude2&lt;&gt;"","     - "&amp;Tieude2&amp;": "&amp;NDtieude2,"")</f>
        <v/>
      </c>
      <c r="F16" s="1918"/>
      <c r="G16" s="1918"/>
      <c r="H16" s="1918"/>
      <c r="I16" s="1918"/>
      <c r="J16" s="1918"/>
      <c r="K16" s="1918"/>
      <c r="L16" s="1918"/>
      <c r="M16" s="1918"/>
      <c r="N16" s="889"/>
      <c r="O16" s="87"/>
      <c r="P16" s="87"/>
      <c r="Q16" s="87"/>
      <c r="R16" s="87"/>
      <c r="S16" s="87"/>
      <c r="T16" s="87"/>
      <c r="U16" s="87">
        <f>ROW()</f>
        <v>16</v>
      </c>
      <c r="V16" s="87"/>
      <c r="W16" s="87"/>
    </row>
    <row r="17" spans="1:23" ht="20.100000000000001" customHeight="1">
      <c r="A17" s="87"/>
      <c r="B17" s="87"/>
      <c r="C17" s="87"/>
      <c r="D17" s="889"/>
      <c r="E17" s="1918" t="str">
        <f>IF(NDtieude3&lt;&gt;"","     - "&amp;Tieude3&amp;": "&amp;NDtieude3,"")</f>
        <v xml:space="preserve">     - Hạng mục: Kênh và Công trình trên kênh</v>
      </c>
      <c r="F17" s="1918"/>
      <c r="G17" s="1918"/>
      <c r="H17" s="1918"/>
      <c r="I17" s="1918"/>
      <c r="J17" s="1918"/>
      <c r="K17" s="1918"/>
      <c r="L17" s="1918"/>
      <c r="M17" s="1918"/>
      <c r="N17" s="889"/>
      <c r="O17" s="87"/>
      <c r="P17" s="87"/>
      <c r="Q17" s="87"/>
      <c r="R17" s="87"/>
      <c r="S17" s="87"/>
      <c r="T17" s="87"/>
      <c r="U17" s="87">
        <f>ROW()</f>
        <v>17</v>
      </c>
      <c r="V17" s="87"/>
      <c r="W17" s="87"/>
    </row>
    <row r="18" spans="1:23" ht="20.100000000000001" customHeight="1">
      <c r="A18" s="87"/>
      <c r="B18" s="87"/>
      <c r="C18" s="87"/>
      <c r="D18" s="889"/>
      <c r="E18" s="1918" t="str">
        <f>"     - "&amp;"Địa điểm xây dựng"&amp;": "&amp;DDXD</f>
        <v xml:space="preserve">     - Địa điểm xây dựng: Huyện Ninh Hải - Tỉnh Ninh Thuận</v>
      </c>
      <c r="F18" s="1918"/>
      <c r="G18" s="1918"/>
      <c r="H18" s="1918"/>
      <c r="I18" s="1918"/>
      <c r="J18" s="1918"/>
      <c r="K18" s="1918"/>
      <c r="L18" s="1918"/>
      <c r="M18" s="1918"/>
      <c r="N18" s="889"/>
      <c r="O18" s="87"/>
      <c r="P18" s="87"/>
      <c r="Q18" s="87"/>
      <c r="R18" s="87"/>
      <c r="S18" s="87"/>
      <c r="T18" s="87"/>
      <c r="U18" s="87">
        <f>ROW()</f>
        <v>18</v>
      </c>
      <c r="V18" s="87"/>
      <c r="W18" s="87"/>
    </row>
    <row r="19" spans="1:23" ht="8.25" customHeight="1">
      <c r="A19" s="87"/>
      <c r="B19" s="87"/>
      <c r="C19" s="87"/>
      <c r="D19" s="889"/>
      <c r="E19" s="937"/>
      <c r="F19" s="937"/>
      <c r="G19" s="937"/>
      <c r="H19" s="937"/>
      <c r="I19" s="937"/>
      <c r="J19" s="937"/>
      <c r="K19" s="937"/>
      <c r="L19" s="937"/>
      <c r="M19" s="937"/>
      <c r="N19" s="889"/>
      <c r="O19" s="87"/>
      <c r="P19" s="87"/>
      <c r="Q19" s="87"/>
      <c r="R19" s="87"/>
      <c r="S19" s="87"/>
      <c r="T19" s="87"/>
      <c r="U19" s="87"/>
      <c r="V19" s="87"/>
      <c r="W19" s="87"/>
    </row>
    <row r="20" spans="1:23">
      <c r="A20" s="87"/>
      <c r="B20" s="87"/>
      <c r="C20" s="87"/>
      <c r="D20" s="889"/>
      <c r="E20" s="1945" t="s">
        <v>5352</v>
      </c>
      <c r="F20" s="1945"/>
      <c r="G20" s="1945"/>
      <c r="H20" s="1945"/>
      <c r="I20" s="1945"/>
      <c r="J20" s="1945"/>
      <c r="K20" s="1945"/>
      <c r="L20" s="1945"/>
      <c r="M20" s="1945"/>
      <c r="N20" s="889"/>
      <c r="O20" s="87"/>
      <c r="P20" s="87"/>
      <c r="Q20" s="87"/>
      <c r="R20" s="87"/>
      <c r="S20" s="87"/>
      <c r="T20" s="87"/>
      <c r="U20" s="87"/>
      <c r="V20" s="87"/>
      <c r="W20" s="87"/>
    </row>
    <row r="21" spans="1:23" ht="16.5" customHeight="1">
      <c r="A21" s="87"/>
      <c r="B21" s="87"/>
      <c r="C21" s="87"/>
      <c r="D21" s="889"/>
      <c r="E21" s="1959" t="str">
        <f>"1. Chủ đầu tư: "&amp;CĐT</f>
        <v>1. Chủ đầu tư: Công ty TNHH MTV khai thác công trình thủy lợi Ninh Thuận</v>
      </c>
      <c r="F21" s="1580"/>
      <c r="G21" s="1580"/>
      <c r="H21" s="1580"/>
      <c r="I21" s="1580"/>
      <c r="J21" s="1580"/>
      <c r="K21" s="1580"/>
      <c r="L21" s="1580"/>
      <c r="M21" s="1580"/>
      <c r="N21" s="889"/>
      <c r="O21" s="87"/>
      <c r="P21" s="87"/>
      <c r="Q21" s="87"/>
      <c r="R21" s="87"/>
      <c r="S21" s="87"/>
      <c r="T21" s="87"/>
      <c r="U21" s="87">
        <f>ROW()</f>
        <v>21</v>
      </c>
      <c r="V21" s="87"/>
      <c r="W21" s="87"/>
    </row>
    <row r="22" spans="1:23">
      <c r="A22" s="87"/>
      <c r="B22" s="87"/>
      <c r="C22" s="87"/>
      <c r="D22" s="889"/>
      <c r="E22" s="897" t="s">
        <v>5390</v>
      </c>
      <c r="G22" s="853"/>
      <c r="I22" t="s">
        <v>5392</v>
      </c>
      <c r="N22" s="889"/>
      <c r="O22" s="87"/>
      <c r="P22" s="87"/>
      <c r="Q22" s="87"/>
      <c r="R22" s="87"/>
      <c r="S22" s="87"/>
      <c r="T22" s="87"/>
      <c r="U22" s="87"/>
      <c r="V22" s="87"/>
      <c r="W22" s="87"/>
    </row>
    <row r="23" spans="1:23">
      <c r="A23" s="87"/>
      <c r="B23" s="87"/>
      <c r="C23" s="87"/>
      <c r="D23" s="889"/>
      <c r="E23" s="897" t="s">
        <v>5390</v>
      </c>
      <c r="G23" s="853"/>
      <c r="I23" t="s">
        <v>5391</v>
      </c>
      <c r="N23" s="889"/>
      <c r="O23" s="87"/>
      <c r="P23" s="87"/>
      <c r="Q23" s="87"/>
      <c r="R23" s="87"/>
      <c r="S23" s="87"/>
      <c r="T23" s="87"/>
      <c r="U23" s="87"/>
      <c r="V23" s="87"/>
      <c r="W23" s="87"/>
    </row>
    <row r="24" spans="1:23">
      <c r="A24" s="87"/>
      <c r="B24" s="87"/>
      <c r="C24" s="87"/>
      <c r="D24" s="889"/>
      <c r="E24" s="897" t="s">
        <v>5390</v>
      </c>
      <c r="G24" s="853"/>
      <c r="I24" t="s">
        <v>5393</v>
      </c>
      <c r="N24" s="889"/>
      <c r="O24" s="87"/>
      <c r="P24" s="87"/>
      <c r="Q24" s="87"/>
      <c r="R24" s="87"/>
      <c r="S24" s="87"/>
      <c r="T24" s="87"/>
      <c r="U24" s="87"/>
      <c r="V24" s="87"/>
      <c r="W24" s="87"/>
    </row>
    <row r="25" spans="1:23" ht="16.5" customHeight="1">
      <c r="A25" s="87"/>
      <c r="B25" s="87"/>
      <c r="C25" s="87"/>
      <c r="D25" s="889"/>
      <c r="E25" s="1959" t="s">
        <v>5457</v>
      </c>
      <c r="F25" s="1580"/>
      <c r="G25" s="1580"/>
      <c r="H25" s="1580"/>
      <c r="I25" s="1580"/>
      <c r="J25" s="1580"/>
      <c r="K25" s="1580"/>
      <c r="L25" s="1580"/>
      <c r="M25" s="1580"/>
      <c r="N25" s="889"/>
      <c r="O25" s="87"/>
      <c r="P25" s="87"/>
      <c r="Q25" s="87"/>
      <c r="R25" s="87"/>
      <c r="S25" s="87"/>
      <c r="T25" s="87"/>
      <c r="U25" s="87">
        <f>ROW()</f>
        <v>25</v>
      </c>
      <c r="V25" s="87"/>
      <c r="W25" s="87"/>
    </row>
    <row r="26" spans="1:23">
      <c r="A26" s="87"/>
      <c r="B26" s="87"/>
      <c r="C26" s="87"/>
      <c r="D26" s="889"/>
      <c r="E26" s="897" t="s">
        <v>5390</v>
      </c>
      <c r="G26" s="853"/>
      <c r="I26" t="s">
        <v>5394</v>
      </c>
      <c r="N26" s="889"/>
      <c r="O26" s="87"/>
      <c r="P26" s="87"/>
      <c r="Q26" s="87"/>
      <c r="R26" s="87"/>
      <c r="S26" s="87"/>
      <c r="T26" s="87"/>
      <c r="U26" s="87"/>
      <c r="V26" s="87"/>
      <c r="W26" s="87"/>
    </row>
    <row r="27" spans="1:23">
      <c r="A27" s="87"/>
      <c r="B27" s="87"/>
      <c r="C27" s="87"/>
      <c r="D27" s="889"/>
      <c r="E27" s="897" t="s">
        <v>5390</v>
      </c>
      <c r="G27" s="853"/>
      <c r="I27" t="s">
        <v>5395</v>
      </c>
      <c r="N27" s="889"/>
      <c r="O27" s="87"/>
      <c r="P27" s="87"/>
      <c r="Q27" s="87"/>
      <c r="R27" s="87"/>
      <c r="S27" s="87"/>
      <c r="T27" s="87"/>
      <c r="U27" s="87"/>
      <c r="V27" s="87"/>
      <c r="W27" s="87"/>
    </row>
    <row r="28" spans="1:23" ht="16.5" customHeight="1">
      <c r="A28" s="87"/>
      <c r="B28" s="87"/>
      <c r="C28" s="87"/>
      <c r="D28" s="889"/>
      <c r="E28" s="1959" t="str">
        <f>"3. Tư vấn giám sát: "&amp;DVGS</f>
        <v>3. Tư vấn giám sát: Công ty TNHH Tư vấn Đầu tư Xây dựng Huy Đạt</v>
      </c>
      <c r="F28" s="1580"/>
      <c r="G28" s="1580"/>
      <c r="H28" s="1580"/>
      <c r="I28" s="1580"/>
      <c r="J28" s="1580"/>
      <c r="K28" s="1580"/>
      <c r="L28" s="1580"/>
      <c r="M28" s="1580"/>
      <c r="N28" s="889"/>
      <c r="O28" s="87"/>
      <c r="P28" s="87"/>
      <c r="Q28" s="87"/>
      <c r="R28" s="87"/>
      <c r="S28" s="87"/>
      <c r="T28" s="87"/>
      <c r="U28" s="87">
        <f>ROW()</f>
        <v>28</v>
      </c>
      <c r="V28" s="87"/>
      <c r="W28" s="87"/>
    </row>
    <row r="29" spans="1:23">
      <c r="A29" s="87"/>
      <c r="B29" s="87"/>
      <c r="C29" s="87"/>
      <c r="D29" s="889"/>
      <c r="E29" s="897" t="s">
        <v>5390</v>
      </c>
      <c r="G29" s="897"/>
      <c r="I29" s="897" t="s">
        <v>5396</v>
      </c>
      <c r="J29" s="897"/>
      <c r="K29" s="897"/>
      <c r="N29" s="889"/>
      <c r="O29" s="87"/>
      <c r="P29" s="87"/>
      <c r="Q29" s="87"/>
      <c r="R29" s="87"/>
      <c r="S29" s="87"/>
      <c r="T29" s="87"/>
      <c r="U29" s="87"/>
      <c r="V29" s="87"/>
      <c r="W29" s="87"/>
    </row>
    <row r="30" spans="1:23">
      <c r="A30" s="87"/>
      <c r="B30" s="87"/>
      <c r="C30" s="87"/>
      <c r="D30" s="889"/>
      <c r="E30" s="897" t="s">
        <v>5390</v>
      </c>
      <c r="G30" s="897"/>
      <c r="I30" s="897" t="s">
        <v>5397</v>
      </c>
      <c r="J30" s="897"/>
      <c r="K30" s="897"/>
      <c r="N30" s="889"/>
      <c r="O30" s="87"/>
      <c r="P30" s="87"/>
      <c r="Q30" s="87"/>
      <c r="R30" s="87"/>
      <c r="S30" s="87"/>
      <c r="T30" s="87"/>
      <c r="U30" s="87"/>
      <c r="V30" s="87"/>
      <c r="W30" s="87"/>
    </row>
    <row r="31" spans="1:23" ht="16.5" customHeight="1">
      <c r="A31" s="87"/>
      <c r="B31" s="87"/>
      <c r="C31" s="87"/>
      <c r="D31" s="889"/>
      <c r="E31" s="1960" t="str">
        <f>"4. Tư vấn thiết kế : "&amp;DVTK</f>
        <v>4. Tư vấn thiết kế : Công ty TNHH Tư vấn Xây dựng Hưng Thịnh</v>
      </c>
      <c r="F31" s="1580"/>
      <c r="G31" s="1580"/>
      <c r="H31" s="1580"/>
      <c r="I31" s="1580"/>
      <c r="J31" s="1580"/>
      <c r="K31" s="1580"/>
      <c r="L31" s="1580"/>
      <c r="M31" s="1580"/>
      <c r="N31" s="889"/>
      <c r="O31" s="87"/>
      <c r="P31" s="87"/>
      <c r="Q31" s="87"/>
      <c r="R31" s="87"/>
      <c r="S31" s="87"/>
      <c r="T31" s="87"/>
      <c r="U31" s="87">
        <f>ROW()</f>
        <v>31</v>
      </c>
      <c r="V31" s="87"/>
      <c r="W31" s="87"/>
    </row>
    <row r="32" spans="1:23">
      <c r="A32" s="87"/>
      <c r="B32" s="87"/>
      <c r="C32" s="87"/>
      <c r="D32" s="889"/>
      <c r="E32" s="898" t="s">
        <v>5398</v>
      </c>
      <c r="I32" s="898" t="s">
        <v>5400</v>
      </c>
      <c r="J32" s="917"/>
      <c r="N32" s="889"/>
      <c r="O32" s="87"/>
      <c r="P32" s="87"/>
      <c r="Q32" s="87"/>
      <c r="R32" s="87"/>
      <c r="S32" s="87"/>
      <c r="T32" s="87"/>
      <c r="U32" s="87"/>
      <c r="V32" s="87"/>
      <c r="W32" s="87"/>
    </row>
    <row r="33" spans="1:23">
      <c r="A33" s="87"/>
      <c r="B33" s="87"/>
      <c r="C33" s="87"/>
      <c r="D33" s="889"/>
      <c r="E33" s="898" t="s">
        <v>5399</v>
      </c>
      <c r="I33" s="898" t="s">
        <v>5402</v>
      </c>
      <c r="J33" s="917"/>
      <c r="N33" s="889"/>
      <c r="O33" s="87"/>
      <c r="P33" s="87"/>
      <c r="Q33" s="87"/>
      <c r="R33" s="87"/>
      <c r="S33" s="87"/>
      <c r="T33" s="87"/>
      <c r="U33" s="87"/>
      <c r="V33" s="87"/>
      <c r="W33" s="87"/>
    </row>
    <row r="34" spans="1:23" ht="20.100000000000001" customHeight="1">
      <c r="A34" s="87"/>
      <c r="B34" s="87"/>
      <c r="C34" s="87"/>
      <c r="D34" s="889"/>
      <c r="E34" s="1945" t="s">
        <v>5458</v>
      </c>
      <c r="F34" s="1945"/>
      <c r="G34" s="1945"/>
      <c r="H34" s="1945"/>
      <c r="I34" s="1945"/>
      <c r="J34" s="1945"/>
      <c r="K34" s="1945"/>
      <c r="L34" s="1945"/>
      <c r="M34" s="1945"/>
      <c r="N34" s="889"/>
      <c r="O34" s="87"/>
      <c r="P34" s="87"/>
      <c r="Q34" s="87"/>
      <c r="R34" s="87"/>
      <c r="S34" s="87"/>
      <c r="T34" s="87"/>
      <c r="U34" s="87">
        <f>ROW()</f>
        <v>34</v>
      </c>
      <c r="V34" s="87"/>
      <c r="W34" s="87"/>
    </row>
    <row r="35" spans="1:23">
      <c r="A35" s="87"/>
      <c r="B35" s="87"/>
      <c r="C35" s="87"/>
      <c r="D35" s="889"/>
      <c r="E35" s="892" t="s">
        <v>5398</v>
      </c>
      <c r="I35" s="898" t="s">
        <v>5400</v>
      </c>
      <c r="J35" s="917"/>
      <c r="N35" s="889"/>
      <c r="O35" s="87"/>
      <c r="P35" s="87"/>
      <c r="Q35" s="87"/>
      <c r="R35" s="87"/>
      <c r="S35" s="87"/>
      <c r="T35" s="87"/>
      <c r="U35" s="87"/>
      <c r="V35" s="87"/>
      <c r="W35" s="87"/>
    </row>
    <row r="36" spans="1:23">
      <c r="A36" s="87"/>
      <c r="B36" s="87"/>
      <c r="C36" s="87"/>
      <c r="D36" s="889"/>
      <c r="E36" s="892" t="s">
        <v>5399</v>
      </c>
      <c r="I36" s="898" t="s">
        <v>5401</v>
      </c>
      <c r="J36" s="917"/>
      <c r="N36" s="889"/>
      <c r="O36" s="87"/>
      <c r="P36" s="87"/>
      <c r="Q36" s="87"/>
      <c r="R36" s="87"/>
      <c r="S36" s="87"/>
      <c r="T36" s="87"/>
      <c r="U36" s="87"/>
      <c r="V36" s="87"/>
      <c r="W36" s="87"/>
    </row>
    <row r="37" spans="1:23" ht="16.5" customHeight="1">
      <c r="A37" s="87"/>
      <c r="B37" s="87"/>
      <c r="C37" s="87"/>
      <c r="D37" s="889"/>
      <c r="E37" s="1960" t="str">
        <f>"5. Đại diện đơn vị thi công : "&amp;DVTC</f>
        <v>5. Đại diện đơn vị thi công : Công ty TNHH Xây dựng Thịnh Dũng</v>
      </c>
      <c r="F37" s="1580"/>
      <c r="G37" s="1580"/>
      <c r="H37" s="1580"/>
      <c r="I37" s="1580"/>
      <c r="J37" s="1580"/>
      <c r="K37" s="1580"/>
      <c r="L37" s="1580"/>
      <c r="M37" s="1580"/>
      <c r="N37" s="889"/>
      <c r="O37" s="87"/>
      <c r="P37" s="87"/>
      <c r="Q37" s="87"/>
      <c r="R37" s="87"/>
      <c r="S37" s="87"/>
      <c r="T37" s="87"/>
      <c r="U37" s="87">
        <f>ROW()</f>
        <v>37</v>
      </c>
      <c r="V37" s="87"/>
      <c r="W37" s="87"/>
    </row>
    <row r="38" spans="1:23">
      <c r="A38" s="87"/>
      <c r="B38" s="87"/>
      <c r="C38" s="87"/>
      <c r="D38" s="889"/>
      <c r="E38" s="898" t="s">
        <v>5398</v>
      </c>
      <c r="I38" s="898" t="s">
        <v>5400</v>
      </c>
      <c r="J38" s="917"/>
      <c r="N38" s="889"/>
      <c r="O38" s="87"/>
      <c r="P38" s="87"/>
      <c r="Q38" s="87"/>
      <c r="R38" s="87"/>
      <c r="S38" s="87"/>
      <c r="T38" s="87"/>
      <c r="U38" s="87"/>
      <c r="V38" s="87"/>
      <c r="W38" s="87"/>
    </row>
    <row r="39" spans="1:23">
      <c r="A39" s="87"/>
      <c r="B39" s="87"/>
      <c r="C39" s="87"/>
      <c r="D39" s="889"/>
      <c r="E39" s="898" t="s">
        <v>5399</v>
      </c>
      <c r="I39" s="898" t="s">
        <v>5403</v>
      </c>
      <c r="J39" s="917"/>
      <c r="N39" s="889"/>
      <c r="O39" s="87"/>
      <c r="P39" s="87"/>
      <c r="Q39" s="87"/>
      <c r="R39" s="87"/>
      <c r="S39" s="87"/>
      <c r="T39" s="87"/>
      <c r="U39" s="87"/>
      <c r="V39" s="87"/>
      <c r="W39" s="87"/>
    </row>
    <row r="40" spans="1:23">
      <c r="A40" s="87"/>
      <c r="B40" s="87"/>
      <c r="C40" s="87"/>
      <c r="D40" s="889"/>
      <c r="E40" s="1945" t="s">
        <v>5353</v>
      </c>
      <c r="F40" s="1945"/>
      <c r="G40" s="1945"/>
      <c r="H40" s="1945"/>
      <c r="I40" s="1945"/>
      <c r="J40" s="1945"/>
      <c r="K40" s="1945"/>
      <c r="L40" s="1945"/>
      <c r="M40" s="1945"/>
      <c r="N40" s="889"/>
      <c r="O40" s="87"/>
      <c r="P40" s="87"/>
      <c r="Q40" s="87"/>
      <c r="R40" s="87"/>
      <c r="S40" s="87"/>
      <c r="T40" s="87"/>
      <c r="U40" s="87"/>
      <c r="V40" s="87"/>
      <c r="W40" s="87"/>
    </row>
    <row r="41" spans="1:23">
      <c r="A41" s="87"/>
      <c r="B41" s="87"/>
      <c r="C41" s="87"/>
      <c r="D41" s="889"/>
      <c r="E41" s="1216" t="s">
        <v>5835</v>
      </c>
      <c r="F41" s="892"/>
      <c r="G41" s="892"/>
      <c r="H41" s="892"/>
      <c r="I41" s="892"/>
      <c r="J41" s="892"/>
      <c r="K41" s="892"/>
      <c r="L41" s="892"/>
      <c r="M41" s="892"/>
      <c r="N41" s="889"/>
      <c r="O41" s="87"/>
      <c r="P41" s="87"/>
      <c r="Q41" s="87"/>
      <c r="R41" s="87"/>
      <c r="S41" s="87"/>
      <c r="T41" s="87"/>
      <c r="U41" s="87"/>
      <c r="V41" s="87"/>
      <c r="W41" s="87"/>
    </row>
    <row r="42" spans="1:23">
      <c r="A42" s="87"/>
      <c r="B42" s="87"/>
      <c r="C42" s="87"/>
      <c r="D42" s="889"/>
      <c r="E42" s="1216" t="s">
        <v>5836</v>
      </c>
      <c r="F42" s="892"/>
      <c r="G42" s="892"/>
      <c r="H42" s="892"/>
      <c r="I42" s="892"/>
      <c r="J42" s="892"/>
      <c r="K42" s="892"/>
      <c r="L42" s="892"/>
      <c r="M42" s="892"/>
      <c r="N42" s="889"/>
      <c r="O42" s="87"/>
      <c r="P42" s="87"/>
      <c r="Q42" s="87"/>
      <c r="R42" s="87"/>
      <c r="S42" s="87"/>
      <c r="T42" s="87"/>
      <c r="U42" s="87"/>
      <c r="V42" s="87"/>
      <c r="W42" s="87"/>
    </row>
    <row r="43" spans="1:23" ht="36.6" customHeight="1">
      <c r="A43" s="87"/>
      <c r="B43" s="87"/>
      <c r="C43" s="87"/>
      <c r="D43" s="889"/>
      <c r="E43" s="1917" t="str">
        <f>"- Tại hiện trường "&amp;NDtieude1</f>
        <v>- Tại hiện trường Gia cố nâng cấp kênh Bà Xoài từ K0+300÷K0+600 - Hệ thống thủy lợi Nha Trinh, huyện Ninh Hải, tỉnh Ninh Thuận</v>
      </c>
      <c r="F43" s="1917"/>
      <c r="G43" s="1917"/>
      <c r="H43" s="1917"/>
      <c r="I43" s="1917"/>
      <c r="J43" s="1917"/>
      <c r="K43" s="1917"/>
      <c r="L43" s="1917"/>
      <c r="M43" s="1917"/>
      <c r="N43" s="889"/>
      <c r="O43" s="87"/>
      <c r="P43" s="87"/>
      <c r="Q43" s="87"/>
      <c r="R43" s="87"/>
      <c r="S43" s="87"/>
      <c r="T43" s="87"/>
      <c r="U43" s="87">
        <f>ROW()</f>
        <v>43</v>
      </c>
      <c r="V43" s="87"/>
      <c r="W43" s="87"/>
    </row>
    <row r="44" spans="1:23" ht="40.5" customHeight="1">
      <c r="A44" s="87"/>
      <c r="B44" s="87"/>
      <c r="C44" s="87"/>
      <c r="D44" s="889"/>
      <c r="E44" s="1942" t="s">
        <v>5354</v>
      </c>
      <c r="F44" s="1942"/>
      <c r="G44" s="1942"/>
      <c r="H44" s="1942"/>
      <c r="I44" s="1942"/>
      <c r="J44" s="1942"/>
      <c r="K44" s="1942"/>
      <c r="L44" s="1942"/>
      <c r="M44" s="1942"/>
      <c r="N44" s="889"/>
      <c r="O44" s="87"/>
      <c r="P44" s="87"/>
      <c r="Q44" s="87"/>
      <c r="R44" s="87"/>
      <c r="S44" s="87"/>
      <c r="T44" s="87"/>
      <c r="U44" s="87"/>
      <c r="V44" s="87"/>
      <c r="W44" s="87"/>
    </row>
    <row r="45" spans="1:23" ht="36.6" customHeight="1">
      <c r="A45" s="87"/>
      <c r="B45" s="87"/>
      <c r="C45" s="87"/>
      <c r="D45" s="889"/>
      <c r="E45" s="1917" t="str">
        <f>IF(NDtieude1&lt;&gt;"","     - "&amp;Tieude1&amp;": "&amp;NDtieude1,"")</f>
        <v xml:space="preserve">     - Công trình: Gia cố nâng cấp kênh Bà Xoài từ K0+300÷K0+600 - Hệ thống thủy lợi Nha Trinh, huyện Ninh Hải, tỉnh Ninh Thuận</v>
      </c>
      <c r="F45" s="1917"/>
      <c r="G45" s="1917"/>
      <c r="H45" s="1917"/>
      <c r="I45" s="1917"/>
      <c r="J45" s="1917"/>
      <c r="K45" s="1917"/>
      <c r="L45" s="1917"/>
      <c r="M45" s="1917"/>
      <c r="N45" s="889"/>
      <c r="O45" s="87"/>
      <c r="P45" s="87"/>
      <c r="Q45" s="87"/>
      <c r="R45" s="87"/>
      <c r="S45" s="87"/>
      <c r="T45" s="87"/>
      <c r="U45" s="87">
        <f>ROW()</f>
        <v>45</v>
      </c>
      <c r="V45" s="87"/>
      <c r="W45" s="87"/>
    </row>
    <row r="46" spans="1:23" ht="20.100000000000001" hidden="1" customHeight="1">
      <c r="A46" s="87"/>
      <c r="B46" s="87"/>
      <c r="C46" s="87"/>
      <c r="D46" s="889"/>
      <c r="E46" s="1917" t="str">
        <f>IF(NDtieude2&lt;&gt;"","     - "&amp;Tieude2&amp;": "&amp;NDtieude2,"")</f>
        <v/>
      </c>
      <c r="F46" s="1917"/>
      <c r="G46" s="1917"/>
      <c r="H46" s="1917"/>
      <c r="I46" s="1917"/>
      <c r="J46" s="1917"/>
      <c r="K46" s="1917"/>
      <c r="L46" s="1917"/>
      <c r="M46" s="1917"/>
      <c r="N46" s="889"/>
      <c r="O46" s="87"/>
      <c r="P46" s="87"/>
      <c r="Q46" s="87"/>
      <c r="R46" s="87"/>
      <c r="S46" s="87"/>
      <c r="T46" s="87"/>
      <c r="U46" s="87">
        <f>ROW()</f>
        <v>46</v>
      </c>
      <c r="V46" s="87"/>
      <c r="W46" s="87"/>
    </row>
    <row r="47" spans="1:23" ht="20.100000000000001" customHeight="1">
      <c r="A47" s="87"/>
      <c r="B47" s="87"/>
      <c r="C47" s="87"/>
      <c r="D47" s="889"/>
      <c r="E47" s="1917" t="str">
        <f>IF(NDtieude3&lt;&gt;"","     - "&amp;Tieude3&amp;": "&amp;NDtieude3,"")</f>
        <v xml:space="preserve">     - Hạng mục: Kênh và Công trình trên kênh</v>
      </c>
      <c r="F47" s="1917"/>
      <c r="G47" s="1917"/>
      <c r="H47" s="1917"/>
      <c r="I47" s="1917"/>
      <c r="J47" s="1917"/>
      <c r="K47" s="1917"/>
      <c r="L47" s="1917"/>
      <c r="M47" s="1917"/>
      <c r="N47" s="889"/>
      <c r="O47" s="87"/>
      <c r="P47" s="87"/>
      <c r="Q47" s="87"/>
      <c r="R47" s="87"/>
      <c r="S47" s="87"/>
      <c r="T47" s="87"/>
      <c r="U47" s="87">
        <f>ROW()</f>
        <v>47</v>
      </c>
      <c r="V47" s="87"/>
      <c r="W47" s="87"/>
    </row>
    <row r="48" spans="1:23">
      <c r="A48" s="87"/>
      <c r="B48" s="87"/>
      <c r="C48" s="87"/>
      <c r="D48" s="889"/>
      <c r="E48" s="1945" t="s">
        <v>5459</v>
      </c>
      <c r="F48" s="1945"/>
      <c r="G48" s="1945"/>
      <c r="H48" s="1945"/>
      <c r="I48" s="1945"/>
      <c r="J48" s="1945"/>
      <c r="K48" s="1945"/>
      <c r="L48" s="1945"/>
      <c r="M48" s="1945"/>
      <c r="N48" s="889"/>
      <c r="O48" s="87"/>
      <c r="P48" s="87"/>
      <c r="Q48" s="87"/>
      <c r="R48" s="87"/>
      <c r="S48" s="87"/>
      <c r="T48" s="87"/>
      <c r="U48" s="87"/>
      <c r="V48" s="87"/>
      <c r="W48" s="87"/>
    </row>
    <row r="49" spans="1:23">
      <c r="A49" s="87"/>
      <c r="B49" s="87"/>
      <c r="C49" s="87"/>
      <c r="D49" s="889"/>
      <c r="E49" s="1962" t="s">
        <v>5355</v>
      </c>
      <c r="F49" s="1962"/>
      <c r="G49" s="1962"/>
      <c r="H49" s="1962"/>
      <c r="I49" s="1962"/>
      <c r="J49" s="1962"/>
      <c r="K49" s="1962"/>
      <c r="L49" s="1962"/>
      <c r="M49" s="1962"/>
      <c r="N49" s="889"/>
      <c r="O49" s="87"/>
      <c r="P49" s="87"/>
      <c r="Q49" s="87"/>
      <c r="R49" s="87"/>
      <c r="S49" s="87"/>
      <c r="T49" s="87"/>
      <c r="U49" s="87"/>
      <c r="V49" s="87"/>
      <c r="W49" s="87"/>
    </row>
    <row r="50" spans="1:23">
      <c r="A50" s="87"/>
      <c r="B50" s="87"/>
      <c r="C50" s="87"/>
      <c r="D50" s="889"/>
      <c r="E50" s="1945" t="s">
        <v>5356</v>
      </c>
      <c r="F50" s="1945"/>
      <c r="G50" s="1945"/>
      <c r="H50" s="1945"/>
      <c r="I50" s="1945"/>
      <c r="J50" s="1945"/>
      <c r="K50" s="1945"/>
      <c r="L50" s="1945"/>
      <c r="M50" s="1945"/>
      <c r="N50" s="889"/>
      <c r="O50" s="87"/>
      <c r="P50" s="87"/>
      <c r="Q50" s="87"/>
      <c r="R50" s="87"/>
      <c r="S50" s="87"/>
      <c r="T50" s="87"/>
      <c r="U50" s="87"/>
      <c r="V50" s="87"/>
      <c r="W50" s="87"/>
    </row>
    <row r="51" spans="1:23" ht="48" customHeight="1">
      <c r="A51" s="87"/>
      <c r="B51" s="87"/>
      <c r="C51" s="87"/>
      <c r="D51" s="889"/>
      <c r="E51" s="902" t="s">
        <v>254</v>
      </c>
      <c r="F51" s="1948" t="s">
        <v>5357</v>
      </c>
      <c r="G51" s="1949"/>
      <c r="H51" s="1949"/>
      <c r="I51" s="1950"/>
      <c r="J51" s="1948" t="s">
        <v>5358</v>
      </c>
      <c r="K51" s="1949"/>
      <c r="L51" s="1949"/>
      <c r="M51" s="1950"/>
      <c r="N51" s="889"/>
      <c r="O51" s="87"/>
      <c r="P51" s="87"/>
      <c r="Q51" s="87"/>
      <c r="R51" s="87"/>
      <c r="S51" s="87"/>
      <c r="T51" s="87"/>
      <c r="U51" s="87"/>
      <c r="V51" s="87"/>
      <c r="W51" s="87"/>
    </row>
    <row r="52" spans="1:23">
      <c r="A52" s="87"/>
      <c r="B52" s="87"/>
      <c r="C52" s="87"/>
      <c r="D52" s="889"/>
      <c r="E52" s="903">
        <v>1</v>
      </c>
      <c r="F52" s="1951"/>
      <c r="G52" s="1952"/>
      <c r="H52" s="1952"/>
      <c r="I52" s="1953"/>
      <c r="J52" s="1951"/>
      <c r="K52" s="1952"/>
      <c r="L52" s="1952"/>
      <c r="M52" s="1953"/>
      <c r="N52" s="889"/>
      <c r="O52" s="87"/>
      <c r="P52" s="87"/>
      <c r="Q52" s="87"/>
      <c r="R52" s="87"/>
      <c r="S52" s="87"/>
      <c r="T52" s="87"/>
      <c r="U52" s="87"/>
      <c r="V52" s="87"/>
      <c r="W52" s="87"/>
    </row>
    <row r="53" spans="1:23">
      <c r="A53" s="87"/>
      <c r="B53" s="87"/>
      <c r="C53" s="87"/>
      <c r="D53" s="889"/>
      <c r="E53" s="903">
        <v>2</v>
      </c>
      <c r="F53" s="1951"/>
      <c r="G53" s="1952"/>
      <c r="H53" s="1952"/>
      <c r="I53" s="1953"/>
      <c r="J53" s="1951"/>
      <c r="K53" s="1952"/>
      <c r="L53" s="1952"/>
      <c r="M53" s="1953"/>
      <c r="N53" s="889"/>
      <c r="O53" s="87"/>
      <c r="P53" s="87"/>
      <c r="Q53" s="87"/>
      <c r="R53" s="87"/>
      <c r="S53" s="87"/>
      <c r="T53" s="87"/>
      <c r="U53" s="87"/>
      <c r="V53" s="87"/>
      <c r="W53" s="87"/>
    </row>
    <row r="54" spans="1:23">
      <c r="A54" s="87"/>
      <c r="B54" s="87"/>
      <c r="C54" s="87"/>
      <c r="D54" s="889"/>
      <c r="E54" s="903"/>
      <c r="F54" s="1951"/>
      <c r="G54" s="1952"/>
      <c r="H54" s="1952"/>
      <c r="I54" s="1953"/>
      <c r="J54" s="1951"/>
      <c r="K54" s="1952"/>
      <c r="L54" s="1952"/>
      <c r="M54" s="1953"/>
      <c r="N54" s="889"/>
      <c r="O54" s="87"/>
      <c r="P54" s="87"/>
      <c r="Q54" s="87"/>
      <c r="R54" s="87"/>
      <c r="S54" s="87"/>
      <c r="T54" s="87"/>
      <c r="U54" s="87"/>
      <c r="V54" s="87"/>
      <c r="W54" s="87"/>
    </row>
    <row r="55" spans="1:23">
      <c r="A55" s="87"/>
      <c r="B55" s="87"/>
      <c r="C55" s="87"/>
      <c r="D55" s="889"/>
      <c r="E55" s="1947" t="s">
        <v>5359</v>
      </c>
      <c r="F55" s="1947"/>
      <c r="G55" s="1947"/>
      <c r="H55" s="1947"/>
      <c r="I55" s="1947"/>
      <c r="J55" s="1947"/>
      <c r="K55" s="1947"/>
      <c r="L55" s="1947"/>
      <c r="M55" s="1947"/>
      <c r="N55" s="889"/>
      <c r="O55" s="87"/>
      <c r="P55" s="87"/>
      <c r="Q55" s="87"/>
      <c r="R55" s="87"/>
      <c r="S55" s="87"/>
      <c r="T55" s="87"/>
      <c r="U55" s="87"/>
      <c r="V55" s="87"/>
      <c r="W55" s="87"/>
    </row>
    <row r="56" spans="1:23">
      <c r="A56" s="87"/>
      <c r="B56" s="87"/>
      <c r="C56" s="87"/>
      <c r="D56" s="889"/>
      <c r="E56" s="1944" t="str">
        <f>"+    Khởi công: "&amp;TEXT(Ngaykhoicong,"dd/mm/yyyy")</f>
        <v>+    Khởi công: 02/05/2020</v>
      </c>
      <c r="F56" s="1944"/>
      <c r="G56" s="1944"/>
      <c r="H56" s="1944"/>
      <c r="I56" s="1944"/>
      <c r="J56" s="1944"/>
      <c r="K56" s="1944"/>
      <c r="L56" s="1944"/>
      <c r="M56" s="1944"/>
      <c r="N56" s="889"/>
      <c r="O56" s="87"/>
      <c r="P56" s="87"/>
      <c r="Q56" s="87"/>
      <c r="R56" s="87"/>
      <c r="S56" s="87"/>
      <c r="T56" s="87"/>
      <c r="U56" s="87"/>
      <c r="V56" s="87"/>
      <c r="W56" s="87"/>
    </row>
    <row r="57" spans="1:23">
      <c r="A57" s="87"/>
      <c r="B57" s="87"/>
      <c r="C57" s="87"/>
      <c r="D57" s="889"/>
      <c r="E57" s="1944" t="str">
        <f ca="1">"+    Hoàn thành: "&amp;TEXT(Ngayhoanthanh,"dd/mm/yyyy")</f>
        <v>+    Hoàn thành: 18/06/2020</v>
      </c>
      <c r="F57" s="1944"/>
      <c r="G57" s="1944"/>
      <c r="H57" s="1944"/>
      <c r="I57" s="1944"/>
      <c r="J57" s="1944"/>
      <c r="K57" s="1944"/>
      <c r="L57" s="1944"/>
      <c r="M57" s="1944"/>
      <c r="N57" s="889"/>
      <c r="O57" s="87"/>
      <c r="P57" s="87"/>
      <c r="Q57" s="87"/>
      <c r="R57" s="87"/>
      <c r="S57" s="87"/>
      <c r="T57" s="87"/>
      <c r="U57" s="87"/>
      <c r="V57" s="87"/>
      <c r="W57" s="87"/>
    </row>
    <row r="58" spans="1:23">
      <c r="A58" s="87"/>
      <c r="B58" s="87"/>
      <c r="C58" s="87"/>
      <c r="D58" s="889"/>
      <c r="E58" s="1873" t="s">
        <v>5360</v>
      </c>
      <c r="F58" s="1873"/>
      <c r="G58" s="1873"/>
      <c r="H58" s="1873"/>
      <c r="I58" s="1873"/>
      <c r="J58" s="1873"/>
      <c r="K58" s="1873"/>
      <c r="L58" s="1873"/>
      <c r="M58" s="1873"/>
      <c r="N58" s="889"/>
      <c r="O58" s="87"/>
      <c r="P58" s="87"/>
      <c r="Q58" s="87"/>
      <c r="R58" s="87"/>
      <c r="S58" s="87"/>
      <c r="T58" s="87"/>
      <c r="U58" s="87"/>
      <c r="V58" s="87"/>
      <c r="W58" s="87"/>
    </row>
    <row r="59" spans="1:23">
      <c r="A59" s="87"/>
      <c r="B59" s="87"/>
      <c r="C59" s="87"/>
      <c r="D59" s="889"/>
      <c r="E59" s="1873" t="s">
        <v>5361</v>
      </c>
      <c r="F59" s="1873"/>
      <c r="G59" s="1873"/>
      <c r="H59" s="1873"/>
      <c r="I59" s="1873"/>
      <c r="J59" s="1873"/>
      <c r="K59" s="1873"/>
      <c r="L59" s="1873"/>
      <c r="M59" s="1873"/>
      <c r="N59" s="889"/>
      <c r="O59" s="87"/>
      <c r="P59" s="87"/>
      <c r="Q59" s="87"/>
      <c r="R59" s="87"/>
      <c r="S59" s="87"/>
      <c r="T59" s="87"/>
      <c r="U59" s="87"/>
      <c r="V59" s="87"/>
      <c r="W59" s="87"/>
    </row>
    <row r="60" spans="1:23" ht="36.75" customHeight="1">
      <c r="A60" s="87"/>
      <c r="B60" s="87"/>
      <c r="C60" s="87"/>
      <c r="D60" s="889"/>
      <c r="E60" s="1917" t="s">
        <v>5362</v>
      </c>
      <c r="F60" s="1917"/>
      <c r="G60" s="1917"/>
      <c r="H60" s="1917"/>
      <c r="I60" s="1917"/>
      <c r="J60" s="1917"/>
      <c r="K60" s="1917"/>
      <c r="L60" s="1917"/>
      <c r="M60" s="1917"/>
      <c r="N60" s="889"/>
      <c r="O60" s="87"/>
      <c r="P60" s="87"/>
      <c r="Q60" s="87"/>
      <c r="R60" s="87"/>
      <c r="S60" s="87"/>
      <c r="T60" s="87"/>
      <c r="U60" s="87"/>
      <c r="V60" s="87"/>
      <c r="W60" s="87"/>
    </row>
    <row r="61" spans="1:23">
      <c r="A61" s="87"/>
      <c r="B61" s="87"/>
      <c r="C61" s="87"/>
      <c r="D61" s="889"/>
      <c r="E61" s="1524" t="s">
        <v>5363</v>
      </c>
      <c r="F61" s="1524"/>
      <c r="G61" s="1524"/>
      <c r="H61" s="1524"/>
      <c r="I61" s="1524"/>
      <c r="J61" s="1524"/>
      <c r="K61" s="1524"/>
      <c r="L61" s="1524"/>
      <c r="M61" s="1524"/>
      <c r="N61" s="889"/>
      <c r="O61" s="87"/>
      <c r="P61" s="87"/>
      <c r="Q61" s="87"/>
      <c r="R61" s="87"/>
      <c r="S61" s="87"/>
      <c r="T61" s="87"/>
      <c r="U61" s="87"/>
      <c r="V61" s="87"/>
      <c r="W61" s="87"/>
    </row>
    <row r="62" spans="1:23">
      <c r="A62" s="87"/>
      <c r="B62" s="87"/>
      <c r="C62" s="87"/>
      <c r="D62" s="889"/>
      <c r="E62" s="1524" t="s">
        <v>5364</v>
      </c>
      <c r="F62" s="1524"/>
      <c r="G62" s="1524"/>
      <c r="H62" s="1524"/>
      <c r="I62" s="1524"/>
      <c r="J62" s="1524"/>
      <c r="K62" s="1524"/>
      <c r="L62" s="1524"/>
      <c r="M62" s="1524"/>
      <c r="N62" s="889"/>
      <c r="O62" s="87"/>
      <c r="P62" s="87"/>
      <c r="Q62" s="87"/>
      <c r="R62" s="87"/>
      <c r="S62" s="87"/>
      <c r="T62" s="87"/>
      <c r="U62" s="87"/>
      <c r="V62" s="87"/>
      <c r="W62" s="87"/>
    </row>
    <row r="63" spans="1:23">
      <c r="A63" s="87"/>
      <c r="B63" s="87"/>
      <c r="C63" s="87"/>
      <c r="D63" s="889"/>
      <c r="E63" s="1524" t="s">
        <v>5365</v>
      </c>
      <c r="F63" s="1524"/>
      <c r="G63" s="1524"/>
      <c r="H63" s="1524"/>
      <c r="I63" s="1524"/>
      <c r="J63" s="1524"/>
      <c r="K63" s="1524"/>
      <c r="L63" s="1524"/>
      <c r="M63" s="1524"/>
      <c r="N63" s="889"/>
      <c r="O63" s="87"/>
      <c r="P63" s="87"/>
      <c r="Q63" s="87"/>
      <c r="R63" s="87"/>
      <c r="S63" s="87"/>
      <c r="T63" s="87"/>
      <c r="U63" s="87"/>
      <c r="V63" s="87"/>
      <c r="W63" s="87"/>
    </row>
    <row r="64" spans="1:23">
      <c r="A64" s="87"/>
      <c r="B64" s="87"/>
      <c r="C64" s="87"/>
      <c r="D64" s="889"/>
      <c r="E64" s="1524" t="s">
        <v>5366</v>
      </c>
      <c r="F64" s="1524"/>
      <c r="G64" s="1524"/>
      <c r="H64" s="1524"/>
      <c r="I64" s="1524"/>
      <c r="J64" s="1524"/>
      <c r="K64" s="1524"/>
      <c r="L64" s="1524"/>
      <c r="M64" s="1524"/>
      <c r="N64" s="889"/>
      <c r="O64" s="87"/>
      <c r="P64" s="87"/>
      <c r="Q64" s="87"/>
      <c r="R64" s="87"/>
      <c r="S64" s="87"/>
      <c r="T64" s="87"/>
      <c r="U64" s="87"/>
      <c r="V64" s="87"/>
      <c r="W64" s="87"/>
    </row>
    <row r="65" spans="1:23" ht="108.75" customHeight="1">
      <c r="A65" s="87"/>
      <c r="B65" s="87"/>
      <c r="C65" s="87"/>
      <c r="D65" s="889"/>
      <c r="E65" s="1943" t="s">
        <v>5367</v>
      </c>
      <c r="F65" s="1524"/>
      <c r="G65" s="1524"/>
      <c r="H65" s="1524"/>
      <c r="I65" s="1524"/>
      <c r="J65" s="1524"/>
      <c r="K65" s="1524"/>
      <c r="L65" s="1524"/>
      <c r="M65" s="1524"/>
      <c r="N65" s="889"/>
      <c r="O65" s="87"/>
      <c r="P65" s="87"/>
      <c r="Q65" s="87"/>
      <c r="R65" s="87"/>
      <c r="S65" s="87"/>
      <c r="T65" s="87"/>
      <c r="U65" s="87"/>
      <c r="V65" s="87"/>
      <c r="W65" s="87"/>
    </row>
    <row r="66" spans="1:23">
      <c r="A66" s="87"/>
      <c r="B66" s="87"/>
      <c r="C66" s="87"/>
      <c r="D66" s="889"/>
      <c r="E66" s="1943" t="s">
        <v>5368</v>
      </c>
      <c r="F66" s="1524"/>
      <c r="G66" s="1524"/>
      <c r="H66" s="1524"/>
      <c r="I66" s="1524"/>
      <c r="J66" s="1524"/>
      <c r="K66" s="1524"/>
      <c r="L66" s="1524"/>
      <c r="M66" s="1524"/>
      <c r="N66" s="889"/>
      <c r="O66" s="87"/>
      <c r="P66" s="87"/>
      <c r="Q66" s="87"/>
      <c r="R66" s="87"/>
      <c r="S66" s="87"/>
      <c r="T66" s="87"/>
      <c r="U66" s="87"/>
      <c r="V66" s="87"/>
      <c r="W66" s="87"/>
    </row>
    <row r="67" spans="1:23" ht="36.75" customHeight="1">
      <c r="A67" s="87"/>
      <c r="B67" s="87"/>
      <c r="C67" s="87"/>
      <c r="D67" s="889"/>
      <c r="E67" s="1943" t="s">
        <v>5369</v>
      </c>
      <c r="F67" s="1524"/>
      <c r="G67" s="1524"/>
      <c r="H67" s="1524"/>
      <c r="I67" s="1524"/>
      <c r="J67" s="1524"/>
      <c r="K67" s="1524"/>
      <c r="L67" s="1524"/>
      <c r="M67" s="1524"/>
      <c r="N67" s="889"/>
      <c r="O67" s="87"/>
      <c r="P67" s="87"/>
      <c r="Q67" s="87"/>
      <c r="R67" s="87"/>
      <c r="S67" s="87"/>
      <c r="T67" s="87"/>
      <c r="U67" s="87"/>
      <c r="V67" s="87"/>
      <c r="W67" s="87"/>
    </row>
    <row r="68" spans="1:23">
      <c r="A68" s="87"/>
      <c r="B68" s="87"/>
      <c r="C68" s="87"/>
      <c r="D68" s="889"/>
      <c r="E68" s="1943" t="s">
        <v>5370</v>
      </c>
      <c r="F68" s="1524"/>
      <c r="G68" s="1524"/>
      <c r="H68" s="1524"/>
      <c r="I68" s="1524"/>
      <c r="J68" s="1524"/>
      <c r="K68" s="1524"/>
      <c r="L68" s="1524"/>
      <c r="M68" s="1524"/>
      <c r="N68" s="889"/>
      <c r="O68" s="87"/>
      <c r="P68" s="87"/>
      <c r="Q68" s="87"/>
      <c r="R68" s="87"/>
      <c r="S68" s="87"/>
      <c r="T68" s="87"/>
      <c r="U68" s="87"/>
      <c r="V68" s="87"/>
      <c r="W68" s="87"/>
    </row>
    <row r="69" spans="1:23">
      <c r="A69" s="87"/>
      <c r="B69" s="87"/>
      <c r="C69" s="87"/>
      <c r="D69" s="889"/>
      <c r="E69" s="1524" t="s">
        <v>5371</v>
      </c>
      <c r="F69" s="1524"/>
      <c r="G69" s="1524"/>
      <c r="H69" s="1524"/>
      <c r="I69" s="1524"/>
      <c r="J69" s="1524"/>
      <c r="K69" s="1524"/>
      <c r="L69" s="1524"/>
      <c r="M69" s="1524"/>
      <c r="N69" s="889"/>
      <c r="O69" s="87"/>
      <c r="P69" s="87"/>
      <c r="Q69" s="87"/>
      <c r="R69" s="87"/>
      <c r="S69" s="87"/>
      <c r="T69" s="87"/>
      <c r="U69" s="87"/>
      <c r="V69" s="87"/>
      <c r="W69" s="87"/>
    </row>
    <row r="70" spans="1:23">
      <c r="A70" s="87"/>
      <c r="B70" s="87"/>
      <c r="C70" s="87"/>
      <c r="D70" s="889"/>
      <c r="E70" s="1932" t="s">
        <v>5372</v>
      </c>
      <c r="F70" s="1932"/>
      <c r="G70" s="1932"/>
      <c r="H70" s="1932"/>
      <c r="I70" s="1932"/>
      <c r="J70" s="1932"/>
      <c r="K70" s="1932"/>
      <c r="L70" s="1932"/>
      <c r="M70" s="1932"/>
      <c r="N70" s="889"/>
      <c r="O70" s="87"/>
      <c r="P70" s="87"/>
      <c r="Q70" s="87"/>
      <c r="R70" s="87"/>
      <c r="S70" s="87"/>
      <c r="T70" s="87"/>
      <c r="U70" s="87"/>
      <c r="V70" s="87"/>
      <c r="W70" s="87"/>
    </row>
    <row r="71" spans="1:23" ht="87.75" customHeight="1">
      <c r="A71" s="87"/>
      <c r="B71" s="87"/>
      <c r="C71" s="87"/>
      <c r="D71" s="889"/>
      <c r="E71" s="1917" t="s">
        <v>5373</v>
      </c>
      <c r="F71" s="1524"/>
      <c r="G71" s="1524"/>
      <c r="H71" s="1524"/>
      <c r="I71" s="1524"/>
      <c r="J71" s="1524"/>
      <c r="K71" s="1524"/>
      <c r="L71" s="1524"/>
      <c r="M71" s="1524"/>
      <c r="N71" s="889"/>
      <c r="O71" s="87"/>
      <c r="P71" s="87"/>
      <c r="Q71" s="87"/>
      <c r="R71" s="87"/>
      <c r="S71" s="87"/>
      <c r="T71" s="87"/>
      <c r="U71" s="87"/>
      <c r="V71" s="87"/>
      <c r="W71" s="87"/>
    </row>
    <row r="72" spans="1:23">
      <c r="A72" s="87"/>
      <c r="B72" s="87"/>
      <c r="C72" s="87"/>
      <c r="D72" s="889"/>
      <c r="E72" s="1942" t="s">
        <v>5374</v>
      </c>
      <c r="F72" s="1524"/>
      <c r="G72" s="1524"/>
      <c r="H72" s="1524"/>
      <c r="I72" s="1524"/>
      <c r="J72" s="1524"/>
      <c r="K72" s="1524"/>
      <c r="L72" s="1524"/>
      <c r="M72" s="1524"/>
      <c r="N72" s="889"/>
      <c r="O72" s="87"/>
      <c r="P72" s="87"/>
      <c r="Q72" s="87"/>
      <c r="R72" s="87"/>
      <c r="S72" s="87"/>
      <c r="T72" s="87"/>
      <c r="U72" s="87"/>
      <c r="V72" s="87"/>
      <c r="W72" s="87"/>
    </row>
    <row r="73" spans="1:23" ht="53.25" customHeight="1">
      <c r="A73" s="87"/>
      <c r="B73" s="87"/>
      <c r="C73" s="87"/>
      <c r="D73" s="889"/>
      <c r="E73" s="1954" t="s">
        <v>5375</v>
      </c>
      <c r="F73" s="1615"/>
      <c r="G73" s="1615"/>
      <c r="H73" s="1615"/>
      <c r="I73" s="1615"/>
      <c r="J73" s="1615"/>
      <c r="K73" s="1615"/>
      <c r="L73" s="1615"/>
      <c r="M73" s="1615"/>
      <c r="N73" s="889"/>
      <c r="O73" s="87"/>
      <c r="P73" s="87"/>
      <c r="Q73" s="87"/>
      <c r="R73" s="87"/>
      <c r="S73" s="87"/>
      <c r="T73" s="87"/>
      <c r="U73" s="87"/>
      <c r="V73" s="87"/>
      <c r="W73" s="87"/>
    </row>
    <row r="74" spans="1:23">
      <c r="A74" s="87"/>
      <c r="B74" s="87"/>
      <c r="C74" s="87"/>
      <c r="D74" s="889"/>
      <c r="E74" s="1524" t="s">
        <v>5376</v>
      </c>
      <c r="F74" s="1524"/>
      <c r="G74" s="1524"/>
      <c r="H74" s="1524"/>
      <c r="I74" s="1524"/>
      <c r="J74" s="1524"/>
      <c r="K74" s="1524"/>
      <c r="L74" s="1524"/>
      <c r="M74" s="1524"/>
      <c r="N74" s="889"/>
      <c r="O74" s="87"/>
      <c r="P74" s="87"/>
      <c r="Q74" s="87"/>
      <c r="R74" s="87"/>
      <c r="S74" s="87"/>
      <c r="T74" s="87"/>
      <c r="U74" s="87"/>
      <c r="V74" s="87"/>
      <c r="W74" s="87"/>
    </row>
    <row r="75" spans="1:23">
      <c r="A75" s="87"/>
      <c r="B75" s="87"/>
      <c r="C75" s="87"/>
      <c r="D75" s="889"/>
      <c r="E75" s="1941" t="s">
        <v>5377</v>
      </c>
      <c r="F75" s="1941"/>
      <c r="G75" s="1941"/>
      <c r="H75" s="1941"/>
      <c r="I75" s="1941"/>
      <c r="J75" s="1941"/>
      <c r="K75" s="1941"/>
      <c r="L75" s="1941"/>
      <c r="M75" s="1941"/>
      <c r="N75" s="889"/>
      <c r="O75" s="87"/>
      <c r="P75" s="87"/>
      <c r="Q75" s="87"/>
      <c r="R75" s="87"/>
      <c r="S75" s="87"/>
      <c r="T75" s="87"/>
      <c r="U75" s="87"/>
      <c r="V75" s="87"/>
      <c r="W75" s="87"/>
    </row>
    <row r="76" spans="1:23">
      <c r="A76" s="87"/>
      <c r="B76" s="87"/>
      <c r="C76" s="87"/>
      <c r="D76" s="889"/>
      <c r="E76" s="1942" t="s">
        <v>5378</v>
      </c>
      <c r="F76" s="1524"/>
      <c r="G76" s="1524"/>
      <c r="H76" s="1524"/>
      <c r="I76" s="1524"/>
      <c r="J76" s="1524"/>
      <c r="K76" s="1524"/>
      <c r="L76" s="1524"/>
      <c r="M76" s="1524"/>
      <c r="N76" s="889"/>
      <c r="O76" s="87"/>
      <c r="P76" s="87"/>
      <c r="Q76" s="87"/>
      <c r="R76" s="87"/>
      <c r="S76" s="87"/>
      <c r="T76" s="87"/>
      <c r="U76" s="87"/>
      <c r="V76" s="87"/>
      <c r="W76" s="87"/>
    </row>
    <row r="77" spans="1:23" ht="21" customHeight="1">
      <c r="A77" s="87"/>
      <c r="B77" s="87"/>
      <c r="C77" s="87"/>
      <c r="D77" s="889"/>
      <c r="E77" s="1955"/>
      <c r="F77" s="1955"/>
      <c r="G77" s="1955"/>
      <c r="H77" s="1955"/>
      <c r="I77" s="1955"/>
      <c r="J77" s="1955"/>
      <c r="K77" s="1955"/>
      <c r="L77" s="1955"/>
      <c r="M77" s="1955"/>
      <c r="N77" s="889"/>
      <c r="O77" s="87"/>
      <c r="P77" s="87"/>
      <c r="Q77" s="87"/>
      <c r="R77" s="87"/>
      <c r="S77" s="87"/>
      <c r="T77" s="87"/>
      <c r="U77" s="87"/>
      <c r="V77" s="87"/>
      <c r="W77" s="87"/>
    </row>
    <row r="78" spans="1:23" ht="21" customHeight="1">
      <c r="A78" s="87"/>
      <c r="B78" s="87"/>
      <c r="C78" s="87"/>
      <c r="D78" s="889"/>
      <c r="E78" s="1956"/>
      <c r="F78" s="1956"/>
      <c r="G78" s="1956"/>
      <c r="H78" s="1956"/>
      <c r="I78" s="1956"/>
      <c r="J78" s="1956"/>
      <c r="K78" s="1956"/>
      <c r="L78" s="1956"/>
      <c r="M78" s="1956"/>
      <c r="N78" s="889"/>
      <c r="O78" s="87"/>
      <c r="P78" s="87"/>
      <c r="Q78" s="87"/>
      <c r="R78" s="87"/>
      <c r="S78" s="87"/>
      <c r="T78" s="87"/>
      <c r="U78" s="87"/>
      <c r="V78" s="87"/>
      <c r="W78" s="87"/>
    </row>
    <row r="79" spans="1:23" ht="21" customHeight="1">
      <c r="A79" s="87"/>
      <c r="B79" s="87"/>
      <c r="C79" s="87"/>
      <c r="D79" s="889"/>
      <c r="E79" s="1956"/>
      <c r="F79" s="1956"/>
      <c r="G79" s="1956"/>
      <c r="H79" s="1956"/>
      <c r="I79" s="1956"/>
      <c r="J79" s="1956"/>
      <c r="K79" s="1956"/>
      <c r="L79" s="1956"/>
      <c r="M79" s="1956"/>
      <c r="N79" s="889"/>
      <c r="O79" s="87"/>
      <c r="P79" s="87"/>
      <c r="Q79" s="87"/>
      <c r="R79" s="87"/>
      <c r="S79" s="87"/>
      <c r="T79" s="87"/>
      <c r="U79" s="87"/>
      <c r="V79" s="87"/>
      <c r="W79" s="87"/>
    </row>
    <row r="80" spans="1:23" ht="12.75" customHeight="1">
      <c r="A80" s="87"/>
      <c r="B80" s="87"/>
      <c r="C80" s="87"/>
      <c r="D80" s="889"/>
      <c r="E80" s="904"/>
      <c r="F80" s="904"/>
      <c r="G80" s="904"/>
      <c r="H80" s="904"/>
      <c r="I80" s="904"/>
      <c r="J80" s="904"/>
      <c r="K80" s="904"/>
      <c r="L80" s="904"/>
      <c r="M80" s="904"/>
      <c r="N80" s="889"/>
      <c r="O80" s="87"/>
      <c r="P80" s="87"/>
      <c r="Q80" s="87"/>
      <c r="R80" s="87"/>
      <c r="S80" s="87"/>
      <c r="T80" s="87"/>
      <c r="U80" s="87"/>
      <c r="V80" s="87"/>
      <c r="W80" s="87"/>
    </row>
    <row r="81" spans="1:23">
      <c r="A81" s="87"/>
      <c r="B81" s="87"/>
      <c r="C81" s="87"/>
      <c r="D81" s="889"/>
      <c r="E81" s="1942" t="s">
        <v>5379</v>
      </c>
      <c r="F81" s="1524"/>
      <c r="G81" s="1524"/>
      <c r="H81" s="1524"/>
      <c r="I81" s="1524"/>
      <c r="J81" s="1524"/>
      <c r="K81" s="1524"/>
      <c r="L81" s="1524"/>
      <c r="M81" s="1524"/>
      <c r="N81" s="889"/>
      <c r="O81" s="87"/>
      <c r="P81" s="87"/>
      <c r="Q81" s="87"/>
      <c r="R81" s="87"/>
      <c r="S81" s="87"/>
      <c r="T81" s="87"/>
      <c r="U81" s="87"/>
      <c r="V81" s="87"/>
      <c r="W81" s="87"/>
    </row>
    <row r="82" spans="1:23" ht="27" customHeight="1">
      <c r="A82" s="87"/>
      <c r="B82" s="87"/>
      <c r="C82" s="87"/>
      <c r="D82" s="889"/>
      <c r="E82" s="1943" t="s">
        <v>5380</v>
      </c>
      <c r="F82" s="1524"/>
      <c r="G82" s="1524"/>
      <c r="H82" s="1524"/>
      <c r="I82" s="1524"/>
      <c r="J82" s="1524"/>
      <c r="K82" s="1524"/>
      <c r="L82" s="1524"/>
      <c r="M82" s="1524"/>
      <c r="N82" s="889"/>
      <c r="O82" s="87"/>
      <c r="P82" s="87"/>
      <c r="Q82" s="87"/>
      <c r="R82" s="87"/>
      <c r="S82" s="87"/>
      <c r="T82" s="87"/>
      <c r="U82" s="87"/>
      <c r="V82" s="87"/>
      <c r="W82" s="87"/>
    </row>
    <row r="83" spans="1:23" ht="54.75" customHeight="1">
      <c r="A83" s="87"/>
      <c r="B83" s="87"/>
      <c r="C83" s="87"/>
      <c r="D83" s="889"/>
      <c r="E83" s="1943" t="s">
        <v>5381</v>
      </c>
      <c r="F83" s="1524"/>
      <c r="G83" s="1524"/>
      <c r="H83" s="1524"/>
      <c r="I83" s="1524"/>
      <c r="J83" s="1524"/>
      <c r="K83" s="1524"/>
      <c r="L83" s="1524"/>
      <c r="M83" s="1524"/>
      <c r="N83" s="889"/>
      <c r="O83" s="87"/>
      <c r="P83" s="87"/>
      <c r="Q83" s="87"/>
      <c r="R83" s="87"/>
      <c r="S83" s="87"/>
      <c r="T83" s="87"/>
      <c r="U83" s="87"/>
      <c r="V83" s="87"/>
      <c r="W83" s="87"/>
    </row>
    <row r="84" spans="1:23" ht="37.5" customHeight="1">
      <c r="A84" s="87"/>
      <c r="B84" s="87"/>
      <c r="C84" s="87"/>
      <c r="D84" s="889"/>
      <c r="E84" s="1943" t="s">
        <v>5382</v>
      </c>
      <c r="F84" s="1524"/>
      <c r="G84" s="1524"/>
      <c r="H84" s="1524"/>
      <c r="I84" s="1524"/>
      <c r="J84" s="1524"/>
      <c r="K84" s="1524"/>
      <c r="L84" s="1524"/>
      <c r="M84" s="1524"/>
      <c r="N84" s="889"/>
      <c r="O84" s="87"/>
      <c r="P84" s="87"/>
      <c r="Q84" s="87"/>
      <c r="R84" s="87"/>
      <c r="S84" s="87"/>
      <c r="T84" s="87"/>
      <c r="U84" s="87"/>
      <c r="V84" s="87"/>
      <c r="W84" s="87"/>
    </row>
    <row r="85" spans="1:23" ht="14.25" customHeight="1">
      <c r="A85" s="87"/>
      <c r="B85" s="87"/>
      <c r="C85" s="87"/>
      <c r="D85" s="889"/>
      <c r="E85" s="905"/>
      <c r="F85" s="850"/>
      <c r="G85" s="850"/>
      <c r="H85" s="850"/>
      <c r="I85" s="850"/>
      <c r="J85" s="907"/>
      <c r="K85" s="850"/>
      <c r="L85" s="850"/>
      <c r="M85" s="850"/>
      <c r="N85" s="889"/>
      <c r="O85" s="87"/>
      <c r="P85" s="87"/>
      <c r="Q85" s="87"/>
      <c r="R85" s="87"/>
      <c r="S85" s="87"/>
      <c r="T85" s="87"/>
      <c r="U85" s="87"/>
      <c r="V85" s="87"/>
      <c r="W85" s="87"/>
    </row>
    <row r="86" spans="1:23">
      <c r="A86" s="87"/>
      <c r="B86" s="87"/>
      <c r="C86" s="87"/>
      <c r="D86" s="889"/>
      <c r="E86" s="1957" t="s">
        <v>5383</v>
      </c>
      <c r="F86" s="1958"/>
      <c r="G86" s="1958"/>
      <c r="H86" s="1958"/>
      <c r="I86" s="1958"/>
      <c r="J86" s="1958"/>
      <c r="K86" s="1958"/>
      <c r="L86" s="1958"/>
      <c r="M86" s="1958"/>
      <c r="N86" s="889"/>
      <c r="O86" s="87"/>
      <c r="P86" s="87"/>
      <c r="Q86" s="87"/>
      <c r="R86" s="87"/>
      <c r="S86" s="87"/>
      <c r="T86" s="87"/>
      <c r="U86" s="87"/>
      <c r="V86" s="87"/>
      <c r="W86" s="87"/>
    </row>
    <row r="87" spans="1:23">
      <c r="A87" s="87"/>
      <c r="B87" s="87"/>
      <c r="C87" s="87"/>
      <c r="D87" s="889"/>
      <c r="E87" s="1938" t="s">
        <v>4</v>
      </c>
      <c r="F87" s="1938"/>
      <c r="G87" s="1938"/>
      <c r="I87" s="1938" t="s">
        <v>5386</v>
      </c>
      <c r="J87" s="1938"/>
      <c r="K87" s="1938"/>
      <c r="L87" s="1938"/>
      <c r="M87" s="1938"/>
      <c r="N87" s="889"/>
      <c r="O87" s="87"/>
      <c r="P87" s="87"/>
      <c r="Q87" s="87"/>
      <c r="R87" s="87"/>
      <c r="S87" s="87"/>
      <c r="T87" s="87"/>
      <c r="U87" s="87"/>
      <c r="V87" s="87"/>
      <c r="W87" s="87"/>
    </row>
    <row r="88" spans="1:23">
      <c r="A88" s="87"/>
      <c r="B88" s="87"/>
      <c r="C88" s="87"/>
      <c r="D88" s="889"/>
      <c r="E88" s="1937" t="s">
        <v>5384</v>
      </c>
      <c r="F88" s="1937"/>
      <c r="G88" s="1937"/>
      <c r="I88" s="1937" t="s">
        <v>5387</v>
      </c>
      <c r="J88" s="1937"/>
      <c r="K88" s="1937"/>
      <c r="L88" s="1937"/>
      <c r="M88" s="1937"/>
      <c r="N88" s="889"/>
      <c r="O88" s="87"/>
      <c r="P88" s="87"/>
      <c r="Q88" s="87"/>
      <c r="R88" s="87"/>
      <c r="S88" s="87"/>
      <c r="T88" s="87"/>
      <c r="U88" s="87"/>
      <c r="V88" s="87"/>
      <c r="W88" s="87"/>
    </row>
    <row r="89" spans="1:23">
      <c r="A89" s="87"/>
      <c r="B89" s="87"/>
      <c r="C89" s="87"/>
      <c r="D89" s="889"/>
      <c r="E89" s="1946" t="s">
        <v>5385</v>
      </c>
      <c r="F89" s="1946"/>
      <c r="G89" s="1946"/>
      <c r="I89" s="1946" t="s">
        <v>5388</v>
      </c>
      <c r="J89" s="1946"/>
      <c r="K89" s="1946"/>
      <c r="L89" s="1946"/>
      <c r="M89" s="1946"/>
      <c r="N89" s="889"/>
      <c r="O89" s="87"/>
      <c r="P89" s="87"/>
      <c r="Q89" s="87"/>
      <c r="R89" s="87"/>
      <c r="S89" s="87"/>
      <c r="T89" s="87"/>
      <c r="U89" s="87"/>
      <c r="V89" s="87"/>
      <c r="W89" s="87"/>
    </row>
    <row r="90" spans="1:23">
      <c r="A90" s="87"/>
      <c r="B90" s="87"/>
      <c r="C90" s="87"/>
      <c r="D90" s="889"/>
      <c r="E90" s="900"/>
      <c r="F90" s="899"/>
      <c r="G90" s="853"/>
      <c r="N90" s="889"/>
      <c r="O90" s="87"/>
      <c r="P90" s="87"/>
      <c r="Q90" s="87"/>
      <c r="R90" s="87"/>
      <c r="S90" s="87"/>
      <c r="T90" s="87"/>
      <c r="U90" s="87"/>
      <c r="V90" s="87"/>
      <c r="W90" s="87"/>
    </row>
    <row r="91" spans="1:23">
      <c r="A91" s="87"/>
      <c r="B91" s="87"/>
      <c r="C91" s="87"/>
      <c r="D91" s="889"/>
      <c r="E91" s="900"/>
      <c r="F91" s="899"/>
      <c r="G91" s="853"/>
      <c r="N91" s="889"/>
      <c r="O91" s="87"/>
      <c r="P91" s="87"/>
      <c r="Q91" s="87"/>
      <c r="R91" s="87"/>
      <c r="S91" s="87"/>
      <c r="T91" s="87"/>
      <c r="U91" s="87"/>
      <c r="V91" s="87"/>
      <c r="W91" s="87"/>
    </row>
    <row r="92" spans="1:23">
      <c r="A92" s="87"/>
      <c r="B92" s="87"/>
      <c r="C92" s="87"/>
      <c r="D92" s="889"/>
      <c r="E92" s="900"/>
      <c r="F92" s="899"/>
      <c r="G92" s="853"/>
      <c r="N92" s="889"/>
      <c r="O92" s="87"/>
      <c r="P92" s="87"/>
      <c r="Q92" s="87"/>
      <c r="R92" s="87"/>
      <c r="S92" s="87"/>
      <c r="T92" s="87"/>
      <c r="U92" s="87"/>
      <c r="V92" s="87"/>
      <c r="W92" s="87"/>
    </row>
    <row r="93" spans="1:23">
      <c r="A93" s="87"/>
      <c r="B93" s="87"/>
      <c r="C93" s="87"/>
      <c r="D93" s="889"/>
      <c r="E93" s="900"/>
      <c r="F93" s="899"/>
      <c r="G93" s="853"/>
      <c r="N93" s="889"/>
      <c r="O93" s="87"/>
      <c r="P93" s="87"/>
      <c r="Q93" s="87"/>
      <c r="R93" s="87"/>
      <c r="S93" s="87"/>
      <c r="T93" s="87"/>
      <c r="U93" s="87"/>
      <c r="V93" s="87"/>
      <c r="W93" s="87"/>
    </row>
    <row r="94" spans="1:23">
      <c r="A94" s="87"/>
      <c r="B94" s="87"/>
      <c r="C94" s="87"/>
      <c r="D94" s="889"/>
      <c r="E94" s="900"/>
      <c r="F94" s="899"/>
      <c r="G94" s="853"/>
      <c r="N94" s="889"/>
      <c r="O94" s="87"/>
      <c r="P94" s="87"/>
      <c r="Q94" s="87"/>
      <c r="R94" s="87"/>
      <c r="S94" s="87"/>
      <c r="T94" s="87"/>
      <c r="U94" s="87"/>
      <c r="V94" s="87"/>
      <c r="W94" s="87"/>
    </row>
    <row r="95" spans="1:23">
      <c r="A95" s="87"/>
      <c r="B95" s="87"/>
      <c r="C95" s="87"/>
      <c r="D95" s="889"/>
      <c r="E95" s="900"/>
      <c r="F95" s="899"/>
      <c r="G95" s="853"/>
      <c r="N95" s="889"/>
      <c r="O95" s="87"/>
      <c r="P95" s="87"/>
      <c r="Q95" s="87"/>
      <c r="R95" s="87"/>
      <c r="S95" s="87"/>
      <c r="T95" s="87"/>
      <c r="U95" s="87"/>
      <c r="V95" s="87"/>
      <c r="W95" s="87"/>
    </row>
    <row r="96" spans="1:23">
      <c r="A96" s="87"/>
      <c r="B96" s="87"/>
      <c r="C96" s="87"/>
      <c r="D96" s="889"/>
      <c r="E96" s="900"/>
      <c r="F96" s="894"/>
      <c r="G96" s="853"/>
      <c r="N96" s="889"/>
      <c r="O96" s="87"/>
      <c r="P96" s="87"/>
      <c r="Q96" s="87"/>
      <c r="R96" s="87"/>
      <c r="S96" s="87"/>
      <c r="T96" s="87"/>
      <c r="U96" s="87"/>
      <c r="V96" s="87"/>
      <c r="W96" s="87"/>
    </row>
    <row r="97" spans="1:23">
      <c r="A97" s="87"/>
      <c r="B97" s="87"/>
      <c r="C97" s="87"/>
      <c r="D97" s="889"/>
      <c r="E97" s="1938" t="s">
        <v>5389</v>
      </c>
      <c r="F97" s="1938"/>
      <c r="G97" s="1938"/>
      <c r="I97" s="1938" t="s">
        <v>5</v>
      </c>
      <c r="J97" s="1938"/>
      <c r="K97" s="1938"/>
      <c r="L97" s="1938"/>
      <c r="M97" s="1938"/>
      <c r="N97" s="889"/>
      <c r="O97" s="87"/>
      <c r="P97" s="87"/>
      <c r="Q97" s="87"/>
      <c r="R97" s="87"/>
      <c r="S97" s="87"/>
      <c r="T97" s="87"/>
      <c r="U97" s="87"/>
      <c r="V97" s="87"/>
      <c r="W97" s="87"/>
    </row>
    <row r="98" spans="1:23">
      <c r="A98" s="87"/>
      <c r="B98" s="87"/>
      <c r="C98" s="87"/>
      <c r="D98" s="889"/>
      <c r="E98" s="1937" t="s">
        <v>5387</v>
      </c>
      <c r="F98" s="1937"/>
      <c r="G98" s="1937"/>
      <c r="I98" s="1937" t="s">
        <v>5387</v>
      </c>
      <c r="J98" s="1937"/>
      <c r="K98" s="1937"/>
      <c r="L98" s="1937"/>
      <c r="M98" s="1937"/>
      <c r="N98" s="889"/>
      <c r="O98" s="87"/>
      <c r="P98" s="87"/>
      <c r="Q98" s="87"/>
      <c r="R98" s="87"/>
      <c r="S98" s="87"/>
      <c r="T98" s="87"/>
      <c r="U98" s="87"/>
      <c r="V98" s="87"/>
      <c r="W98" s="87"/>
    </row>
    <row r="99" spans="1:23">
      <c r="A99" s="87"/>
      <c r="B99" s="87"/>
      <c r="C99" s="87"/>
      <c r="D99" s="889"/>
      <c r="E99" s="1946" t="s">
        <v>5388</v>
      </c>
      <c r="F99" s="1946"/>
      <c r="G99" s="1946"/>
      <c r="I99" s="1946" t="s">
        <v>5388</v>
      </c>
      <c r="J99" s="1946"/>
      <c r="K99" s="1946"/>
      <c r="L99" s="1946"/>
      <c r="M99" s="1946"/>
      <c r="N99" s="889"/>
      <c r="O99" s="87"/>
      <c r="P99" s="87"/>
      <c r="Q99" s="87"/>
      <c r="R99" s="87"/>
      <c r="S99" s="87"/>
      <c r="T99" s="87"/>
      <c r="U99" s="87"/>
      <c r="V99" s="87"/>
      <c r="W99" s="87"/>
    </row>
    <row r="100" spans="1:23">
      <c r="A100" s="87"/>
      <c r="B100" s="87"/>
      <c r="C100" s="87"/>
      <c r="D100" s="889"/>
      <c r="E100" s="875"/>
      <c r="F100" s="875"/>
      <c r="G100" s="875"/>
      <c r="I100" s="875"/>
      <c r="J100" s="918"/>
      <c r="K100" s="875"/>
      <c r="L100" s="875"/>
      <c r="M100" s="875"/>
      <c r="N100" s="889"/>
      <c r="O100" s="87"/>
      <c r="P100" s="87"/>
      <c r="Q100" s="87"/>
      <c r="R100" s="87"/>
      <c r="S100" s="87"/>
      <c r="T100" s="87"/>
      <c r="U100" s="87"/>
      <c r="V100" s="87"/>
      <c r="W100" s="87"/>
    </row>
    <row r="101" spans="1:23">
      <c r="A101" s="87"/>
      <c r="B101" s="87"/>
      <c r="C101" s="87"/>
      <c r="D101" s="889"/>
      <c r="E101" s="875"/>
      <c r="F101" s="875"/>
      <c r="G101" s="875"/>
      <c r="I101" s="875"/>
      <c r="J101" s="918"/>
      <c r="K101" s="875"/>
      <c r="L101" s="875"/>
      <c r="M101" s="875"/>
      <c r="N101" s="889"/>
      <c r="O101" s="87"/>
      <c r="P101" s="87"/>
      <c r="Q101" s="87"/>
      <c r="R101" s="87"/>
      <c r="S101" s="87"/>
      <c r="T101" s="87"/>
      <c r="U101" s="87"/>
      <c r="V101" s="87"/>
      <c r="W101" s="87"/>
    </row>
    <row r="102" spans="1:23">
      <c r="A102" s="87"/>
      <c r="B102" s="87"/>
      <c r="C102" s="87"/>
      <c r="D102" s="889"/>
      <c r="E102" s="875"/>
      <c r="F102" s="875"/>
      <c r="G102" s="875"/>
      <c r="I102" s="875"/>
      <c r="J102" s="918"/>
      <c r="K102" s="875"/>
      <c r="L102" s="875"/>
      <c r="M102" s="875"/>
      <c r="N102" s="889"/>
      <c r="O102" s="87"/>
      <c r="P102" s="87"/>
      <c r="Q102" s="87"/>
      <c r="R102" s="87"/>
      <c r="S102" s="87"/>
      <c r="T102" s="87"/>
      <c r="U102" s="87"/>
      <c r="V102" s="87"/>
      <c r="W102" s="87"/>
    </row>
    <row r="103" spans="1:23">
      <c r="A103" s="87"/>
      <c r="B103" s="87"/>
      <c r="C103" s="87"/>
      <c r="D103" s="889"/>
      <c r="E103" s="875"/>
      <c r="F103" s="875"/>
      <c r="G103" s="875"/>
      <c r="I103" s="875"/>
      <c r="J103" s="918"/>
      <c r="K103" s="875"/>
      <c r="L103" s="875"/>
      <c r="M103" s="875"/>
      <c r="N103" s="889"/>
      <c r="O103" s="87"/>
      <c r="P103" s="87"/>
      <c r="Q103" s="87"/>
      <c r="R103" s="87"/>
      <c r="S103" s="87"/>
      <c r="T103" s="87"/>
      <c r="U103" s="87"/>
      <c r="V103" s="87"/>
      <c r="W103" s="87"/>
    </row>
    <row r="104" spans="1:23">
      <c r="A104" s="87"/>
      <c r="B104" s="87"/>
      <c r="C104" s="87"/>
      <c r="D104" s="889"/>
      <c r="E104" s="875"/>
      <c r="F104" s="875"/>
      <c r="G104" s="875"/>
      <c r="I104" s="875"/>
      <c r="J104" s="918"/>
      <c r="K104" s="875"/>
      <c r="L104" s="875"/>
      <c r="M104" s="875"/>
      <c r="N104" s="889"/>
      <c r="O104" s="87"/>
      <c r="P104" s="87"/>
      <c r="Q104" s="87"/>
      <c r="R104" s="87"/>
      <c r="S104" s="87"/>
      <c r="T104" s="87"/>
      <c r="U104" s="87"/>
      <c r="V104" s="87"/>
      <c r="W104" s="87"/>
    </row>
    <row r="105" spans="1:23">
      <c r="A105" s="87"/>
      <c r="B105" s="87"/>
      <c r="C105" s="87"/>
      <c r="D105" s="889"/>
      <c r="E105" s="894"/>
      <c r="F105" s="894"/>
      <c r="G105" s="853"/>
      <c r="N105" s="889"/>
      <c r="O105" s="87"/>
      <c r="P105" s="87"/>
      <c r="Q105" s="87"/>
      <c r="R105" s="87"/>
      <c r="S105" s="87"/>
      <c r="T105" s="87"/>
      <c r="U105" s="87"/>
      <c r="V105" s="87"/>
      <c r="W105" s="87"/>
    </row>
    <row r="106" spans="1:23">
      <c r="A106" s="87"/>
      <c r="B106" s="87"/>
      <c r="C106" s="87"/>
      <c r="D106" s="889"/>
      <c r="E106" s="1938" t="s">
        <v>60</v>
      </c>
      <c r="F106" s="1938"/>
      <c r="G106" s="1938"/>
      <c r="H106" s="1938"/>
      <c r="I106" s="1938"/>
      <c r="J106" s="1938"/>
      <c r="K106" s="1938"/>
      <c r="L106" s="1938"/>
      <c r="M106" s="1938"/>
      <c r="N106" s="889"/>
      <c r="O106" s="87"/>
      <c r="P106" s="87"/>
      <c r="Q106" s="87"/>
      <c r="R106" s="87"/>
      <c r="S106" s="87"/>
      <c r="T106" s="87"/>
      <c r="U106" s="87"/>
      <c r="V106" s="87"/>
      <c r="W106" s="87"/>
    </row>
    <row r="107" spans="1:23">
      <c r="A107" s="87"/>
      <c r="B107" s="87"/>
      <c r="C107" s="87"/>
      <c r="D107" s="889"/>
      <c r="E107" s="1937" t="s">
        <v>5387</v>
      </c>
      <c r="F107" s="1937"/>
      <c r="G107" s="1937"/>
      <c r="H107" s="1937"/>
      <c r="I107" s="1937"/>
      <c r="J107" s="1937"/>
      <c r="K107" s="1937"/>
      <c r="L107" s="1937"/>
      <c r="M107" s="1937"/>
      <c r="N107" s="889"/>
      <c r="O107" s="87"/>
      <c r="P107" s="87"/>
      <c r="Q107" s="87"/>
      <c r="R107" s="87"/>
      <c r="S107" s="87"/>
      <c r="T107" s="87"/>
      <c r="U107" s="87"/>
      <c r="V107" s="87"/>
      <c r="W107" s="87"/>
    </row>
    <row r="108" spans="1:23">
      <c r="A108" s="87"/>
      <c r="B108" s="87"/>
      <c r="C108" s="87"/>
      <c r="D108" s="889"/>
      <c r="E108" s="1946" t="s">
        <v>5388</v>
      </c>
      <c r="F108" s="1946"/>
      <c r="G108" s="1946"/>
      <c r="H108" s="1946"/>
      <c r="I108" s="1946"/>
      <c r="J108" s="1946"/>
      <c r="K108" s="1946"/>
      <c r="L108" s="1946"/>
      <c r="M108" s="1946"/>
      <c r="N108" s="889"/>
      <c r="O108" s="87"/>
      <c r="P108" s="87"/>
      <c r="Q108" s="87"/>
      <c r="R108" s="87"/>
      <c r="S108" s="87"/>
      <c r="T108" s="87"/>
      <c r="U108" s="87"/>
      <c r="V108" s="87"/>
      <c r="W108" s="87"/>
    </row>
    <row r="109" spans="1:23">
      <c r="A109" s="87"/>
      <c r="B109" s="87"/>
      <c r="C109" s="87"/>
      <c r="D109" s="889"/>
      <c r="E109" s="893"/>
      <c r="N109" s="889"/>
      <c r="O109" s="87"/>
      <c r="P109" s="87"/>
      <c r="Q109" s="87"/>
      <c r="R109" s="87"/>
      <c r="S109" s="87"/>
      <c r="T109" s="87"/>
      <c r="U109" s="87"/>
      <c r="V109" s="87"/>
      <c r="W109" s="87"/>
    </row>
    <row r="110" spans="1:23">
      <c r="A110" s="87"/>
      <c r="B110" s="87"/>
      <c r="C110" s="87"/>
      <c r="D110" s="889"/>
      <c r="N110" s="889"/>
      <c r="O110" s="87"/>
      <c r="P110" s="87"/>
      <c r="Q110" s="87"/>
      <c r="R110" s="87"/>
      <c r="S110" s="87"/>
      <c r="T110" s="87"/>
      <c r="U110" s="87"/>
      <c r="V110" s="87"/>
      <c r="W110" s="87"/>
    </row>
    <row r="111" spans="1:23">
      <c r="A111" s="87"/>
      <c r="B111" s="87"/>
      <c r="C111" s="87"/>
      <c r="D111" s="889"/>
      <c r="N111" s="889"/>
      <c r="O111" s="87"/>
      <c r="P111" s="87"/>
      <c r="Q111" s="87"/>
      <c r="R111" s="87"/>
      <c r="S111" s="87"/>
      <c r="T111" s="87"/>
      <c r="U111" s="87"/>
      <c r="V111" s="87"/>
      <c r="W111" s="87"/>
    </row>
    <row r="112" spans="1:23">
      <c r="A112" s="87"/>
      <c r="B112" s="87"/>
      <c r="C112" s="87"/>
      <c r="D112" s="889"/>
      <c r="N112" s="889"/>
      <c r="O112" s="87"/>
      <c r="P112" s="87"/>
      <c r="Q112" s="87"/>
      <c r="R112" s="87"/>
      <c r="S112" s="87"/>
      <c r="T112" s="87"/>
      <c r="U112" s="87"/>
      <c r="V112" s="87"/>
      <c r="W112" s="87"/>
    </row>
    <row r="113" spans="1:23">
      <c r="A113" s="87"/>
      <c r="B113" s="87"/>
      <c r="C113" s="87"/>
      <c r="D113" s="889"/>
      <c r="N113" s="889"/>
      <c r="O113" s="87"/>
      <c r="P113" s="87"/>
      <c r="Q113" s="87"/>
      <c r="R113" s="87"/>
      <c r="S113" s="87"/>
      <c r="T113" s="87"/>
      <c r="U113" s="87"/>
      <c r="V113" s="87"/>
      <c r="W113" s="87"/>
    </row>
    <row r="114" spans="1:23">
      <c r="A114" s="87"/>
      <c r="B114" s="87"/>
      <c r="C114" s="87"/>
      <c r="D114" s="889"/>
      <c r="N114" s="889"/>
      <c r="O114" s="87"/>
      <c r="P114" s="87"/>
      <c r="Q114" s="87"/>
      <c r="R114" s="87"/>
      <c r="S114" s="87"/>
      <c r="T114" s="87"/>
      <c r="U114" s="87"/>
      <c r="V114" s="87"/>
      <c r="W114" s="87"/>
    </row>
    <row r="115" spans="1:23" ht="11.25" customHeight="1">
      <c r="A115" s="87"/>
      <c r="B115" s="87"/>
      <c r="C115" s="87"/>
      <c r="D115" s="889"/>
      <c r="E115" s="889"/>
      <c r="F115" s="889"/>
      <c r="G115" s="889"/>
      <c r="H115" s="889"/>
      <c r="I115" s="889"/>
      <c r="J115" s="889"/>
      <c r="K115" s="889"/>
      <c r="L115" s="889"/>
      <c r="M115" s="889"/>
      <c r="N115" s="889"/>
      <c r="O115" s="87"/>
      <c r="P115" s="87"/>
      <c r="Q115" s="87"/>
      <c r="R115" s="87"/>
      <c r="S115" s="87"/>
      <c r="T115" s="87"/>
      <c r="U115" s="87"/>
      <c r="V115" s="87"/>
      <c r="W115" s="87"/>
    </row>
    <row r="116" spans="1:23">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sheetData>
  <mergeCells count="83">
    <mergeCell ref="E48:M48"/>
    <mergeCell ref="E49:M49"/>
    <mergeCell ref="E46:M46"/>
    <mergeCell ref="E37:M37"/>
    <mergeCell ref="E40:M40"/>
    <mergeCell ref="E43:M43"/>
    <mergeCell ref="E44:M44"/>
    <mergeCell ref="E45:M45"/>
    <mergeCell ref="E6:M6"/>
    <mergeCell ref="E7:M7"/>
    <mergeCell ref="E8:M8"/>
    <mergeCell ref="E18:M18"/>
    <mergeCell ref="E34:M34"/>
    <mergeCell ref="E83:M83"/>
    <mergeCell ref="H9:M9"/>
    <mergeCell ref="E28:M28"/>
    <mergeCell ref="E31:M31"/>
    <mergeCell ref="E20:M20"/>
    <mergeCell ref="E21:M21"/>
    <mergeCell ref="E25:M25"/>
    <mergeCell ref="E11:M11"/>
    <mergeCell ref="E12:M12"/>
    <mergeCell ref="E13:M13"/>
    <mergeCell ref="E15:M15"/>
    <mergeCell ref="E16:M16"/>
    <mergeCell ref="F52:I52"/>
    <mergeCell ref="F53:I53"/>
    <mergeCell ref="F54:I54"/>
    <mergeCell ref="E17:M17"/>
    <mergeCell ref="E77:M77"/>
    <mergeCell ref="E47:M47"/>
    <mergeCell ref="E108:M108"/>
    <mergeCell ref="E78:M78"/>
    <mergeCell ref="E79:M79"/>
    <mergeCell ref="E97:G97"/>
    <mergeCell ref="E98:G98"/>
    <mergeCell ref="E99:G99"/>
    <mergeCell ref="I97:M97"/>
    <mergeCell ref="I98:M98"/>
    <mergeCell ref="I99:M99"/>
    <mergeCell ref="E84:M84"/>
    <mergeCell ref="E86:M86"/>
    <mergeCell ref="E87:G87"/>
    <mergeCell ref="E81:M81"/>
    <mergeCell ref="E82:M82"/>
    <mergeCell ref="E73:M73"/>
    <mergeCell ref="E74:M74"/>
    <mergeCell ref="E76:M76"/>
    <mergeCell ref="E58:M58"/>
    <mergeCell ref="E59:M59"/>
    <mergeCell ref="E60:M60"/>
    <mergeCell ref="E67:M67"/>
    <mergeCell ref="E68:M68"/>
    <mergeCell ref="E66:M66"/>
    <mergeCell ref="E55:M55"/>
    <mergeCell ref="J51:M51"/>
    <mergeCell ref="J52:M52"/>
    <mergeCell ref="J53:M53"/>
    <mergeCell ref="J54:M54"/>
    <mergeCell ref="F51:I51"/>
    <mergeCell ref="E107:M107"/>
    <mergeCell ref="I87:M87"/>
    <mergeCell ref="I88:M88"/>
    <mergeCell ref="I89:M89"/>
    <mergeCell ref="E88:G88"/>
    <mergeCell ref="E89:G89"/>
    <mergeCell ref="E106:M106"/>
    <mergeCell ref="D1:N1"/>
    <mergeCell ref="D2:N2"/>
    <mergeCell ref="D3:N3"/>
    <mergeCell ref="E75:M75"/>
    <mergeCell ref="E69:M69"/>
    <mergeCell ref="E70:M70"/>
    <mergeCell ref="E71:M71"/>
    <mergeCell ref="E72:M72"/>
    <mergeCell ref="E61:M61"/>
    <mergeCell ref="E62:M62"/>
    <mergeCell ref="E63:M63"/>
    <mergeCell ref="E64:M64"/>
    <mergeCell ref="E65:M65"/>
    <mergeCell ref="E57:M57"/>
    <mergeCell ref="E50:M50"/>
    <mergeCell ref="E56:M56"/>
  </mergeCells>
  <pageMargins left="0.9055118110236221" right="0.51181102362204722" top="0.55118110236220474" bottom="0.55118110236220474" header="0" footer="0"/>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3"/>
  <dimension ref="A1:B10000"/>
  <sheetViews>
    <sheetView workbookViewId="0">
      <pane xSplit="2" ySplit="5" topLeftCell="C231" activePane="bottomRight" state="frozen"/>
      <selection pane="topRight" activeCell="C1" sqref="C1"/>
      <selection pane="bottomLeft" activeCell="A6" sqref="A6"/>
      <selection pane="bottomRight" activeCell="B325" sqref="B325"/>
    </sheetView>
  </sheetViews>
  <sheetFormatPr defaultRowHeight="16.5"/>
  <cols>
    <col min="1" max="1" width="12.44140625" customWidth="1"/>
    <col min="2" max="2" width="66.77734375" customWidth="1"/>
  </cols>
  <sheetData>
    <row r="1" spans="1:2" ht="22.5">
      <c r="A1" s="1963" t="s">
        <v>426</v>
      </c>
      <c r="B1" s="1963"/>
    </row>
    <row r="2" spans="1:2">
      <c r="A2" s="1964" t="str">
        <f>"     "&amp;Tieude1&amp;": "&amp;NDtieude1</f>
        <v xml:space="preserve">     Công trình: Gia cố nâng cấp kênh Bà Xoài từ K0+300÷K0+600 - Hệ thống thủy lợi Nha Trinh, huyện Ninh Hải, tỉnh Ninh Thuận</v>
      </c>
      <c r="B2" s="1964"/>
    </row>
    <row r="3" spans="1:2">
      <c r="A3" s="1964" t="str">
        <f>"     Địa điểm XD: "&amp;DDXD</f>
        <v xml:space="preserve">     Địa điểm XD: Huyện Ninh Hải - Tỉnh Ninh Thuận</v>
      </c>
      <c r="B3" s="1964"/>
    </row>
    <row r="4" spans="1:2">
      <c r="A4" s="199"/>
      <c r="B4" s="200"/>
    </row>
    <row r="5" spans="1:2" ht="31.5">
      <c r="A5" s="322" t="s">
        <v>425</v>
      </c>
      <c r="B5" s="322" t="s">
        <v>4217</v>
      </c>
    </row>
    <row r="6" spans="1:2">
      <c r="A6" s="1288">
        <v>43954</v>
      </c>
      <c r="B6" s="1289" t="s">
        <v>5910</v>
      </c>
    </row>
    <row r="7" spans="1:2">
      <c r="A7" s="1290"/>
      <c r="B7" s="1291" t="s">
        <v>5911</v>
      </c>
    </row>
    <row r="8" spans="1:2">
      <c r="A8" s="1291"/>
      <c r="B8" s="1291" t="s">
        <v>5912</v>
      </c>
    </row>
    <row r="9" spans="1:2">
      <c r="A9" s="1291"/>
      <c r="B9" s="1291" t="s">
        <v>5913</v>
      </c>
    </row>
    <row r="10" spans="1:2">
      <c r="A10" s="1291"/>
      <c r="B10" s="1291" t="s">
        <v>5914</v>
      </c>
    </row>
    <row r="11" spans="1:2">
      <c r="A11" s="1290"/>
      <c r="B11" s="1291" t="s">
        <v>5915</v>
      </c>
    </row>
    <row r="12" spans="1:2">
      <c r="A12" s="1290"/>
      <c r="B12" s="1291" t="s">
        <v>5916</v>
      </c>
    </row>
    <row r="13" spans="1:2">
      <c r="A13" s="1291"/>
      <c r="B13" s="1291"/>
    </row>
    <row r="14" spans="1:2">
      <c r="A14" s="1290">
        <v>43955</v>
      </c>
      <c r="B14" s="1291" t="s">
        <v>5910</v>
      </c>
    </row>
    <row r="15" spans="1:2">
      <c r="A15" s="1291"/>
      <c r="B15" s="1291" t="s">
        <v>5911</v>
      </c>
    </row>
    <row r="16" spans="1:2">
      <c r="A16" s="1291"/>
      <c r="B16" s="1291" t="s">
        <v>5912</v>
      </c>
    </row>
    <row r="17" spans="1:2">
      <c r="A17" s="1291"/>
      <c r="B17" s="1291" t="s">
        <v>5913</v>
      </c>
    </row>
    <row r="18" spans="1:2">
      <c r="A18" s="1290"/>
      <c r="B18" s="1291" t="s">
        <v>5917</v>
      </c>
    </row>
    <row r="19" spans="1:2">
      <c r="A19" s="1291"/>
      <c r="B19" s="1291"/>
    </row>
    <row r="20" spans="1:2">
      <c r="A20" s="1290">
        <v>43956</v>
      </c>
      <c r="B20" s="1291" t="s">
        <v>5910</v>
      </c>
    </row>
    <row r="21" spans="1:2">
      <c r="A21" s="1291"/>
      <c r="B21" s="1291" t="s">
        <v>5911</v>
      </c>
    </row>
    <row r="22" spans="1:2">
      <c r="A22" s="1290"/>
      <c r="B22" s="1291" t="s">
        <v>5912</v>
      </c>
    </row>
    <row r="23" spans="1:2">
      <c r="A23" s="1291"/>
      <c r="B23" s="1291" t="s">
        <v>5913</v>
      </c>
    </row>
    <row r="24" spans="1:2">
      <c r="A24" s="1290"/>
      <c r="B24" s="1291" t="s">
        <v>5917</v>
      </c>
    </row>
    <row r="25" spans="1:2">
      <c r="A25" s="1291"/>
      <c r="B25" s="1291"/>
    </row>
    <row r="26" spans="1:2">
      <c r="A26" s="1290">
        <v>43957</v>
      </c>
      <c r="B26" s="1291" t="s">
        <v>5910</v>
      </c>
    </row>
    <row r="27" spans="1:2">
      <c r="A27" s="1291"/>
      <c r="B27" s="1291" t="s">
        <v>5911</v>
      </c>
    </row>
    <row r="28" spans="1:2">
      <c r="A28" s="1290"/>
      <c r="B28" s="1291" t="s">
        <v>5912</v>
      </c>
    </row>
    <row r="29" spans="1:2">
      <c r="A29" s="1291"/>
      <c r="B29" s="1291" t="s">
        <v>5913</v>
      </c>
    </row>
    <row r="30" spans="1:2">
      <c r="A30" s="1290"/>
      <c r="B30" s="1291" t="s">
        <v>5917</v>
      </c>
    </row>
    <row r="31" spans="1:2">
      <c r="A31" s="1291"/>
      <c r="B31" s="1291" t="s">
        <v>5918</v>
      </c>
    </row>
    <row r="32" spans="1:2">
      <c r="A32" s="1291"/>
      <c r="B32" s="1291" t="s">
        <v>5919</v>
      </c>
    </row>
    <row r="33" spans="1:2">
      <c r="A33" s="1291"/>
      <c r="B33" s="1291" t="s">
        <v>5920</v>
      </c>
    </row>
    <row r="34" spans="1:2">
      <c r="A34" s="1291"/>
      <c r="B34" s="1291"/>
    </row>
    <row r="35" spans="1:2">
      <c r="A35" s="1290">
        <v>43958</v>
      </c>
      <c r="B35" s="1291" t="s">
        <v>5910</v>
      </c>
    </row>
    <row r="36" spans="1:2">
      <c r="A36" s="1291"/>
      <c r="B36" s="1291" t="s">
        <v>5921</v>
      </c>
    </row>
    <row r="37" spans="1:2">
      <c r="A37" s="1290"/>
      <c r="B37" s="1291" t="s">
        <v>5912</v>
      </c>
    </row>
    <row r="38" spans="1:2">
      <c r="A38" s="1291"/>
      <c r="B38" s="1291" t="s">
        <v>5913</v>
      </c>
    </row>
    <row r="39" spans="1:2">
      <c r="A39" s="1291"/>
      <c r="B39" s="1291" t="s">
        <v>5920</v>
      </c>
    </row>
    <row r="40" spans="1:2">
      <c r="A40" s="1291"/>
      <c r="B40" s="1291" t="s">
        <v>6272</v>
      </c>
    </row>
    <row r="41" spans="1:2" ht="33">
      <c r="A41" s="1291"/>
      <c r="B41" s="1291" t="s">
        <v>6115</v>
      </c>
    </row>
    <row r="42" spans="1:2">
      <c r="A42" s="1290"/>
      <c r="B42" s="1291"/>
    </row>
    <row r="43" spans="1:2">
      <c r="A43" s="1290">
        <v>43959</v>
      </c>
      <c r="B43" s="1291" t="s">
        <v>5910</v>
      </c>
    </row>
    <row r="44" spans="1:2">
      <c r="A44" s="1290"/>
      <c r="B44" s="1291" t="s">
        <v>5921</v>
      </c>
    </row>
    <row r="45" spans="1:2">
      <c r="A45" s="1290"/>
      <c r="B45" s="1291" t="s">
        <v>5922</v>
      </c>
    </row>
    <row r="46" spans="1:2">
      <c r="A46" s="1290"/>
      <c r="B46" s="1291" t="s">
        <v>5913</v>
      </c>
    </row>
    <row r="47" spans="1:2">
      <c r="A47" s="1291"/>
      <c r="B47" s="1291" t="s">
        <v>6253</v>
      </c>
    </row>
    <row r="48" spans="1:2" ht="33">
      <c r="A48" s="1291"/>
      <c r="B48" s="1291" t="s">
        <v>6116</v>
      </c>
    </row>
    <row r="49" spans="1:2">
      <c r="A49" s="1290"/>
      <c r="B49" s="1291" t="s">
        <v>6117</v>
      </c>
    </row>
    <row r="50" spans="1:2">
      <c r="A50" s="1290"/>
      <c r="B50" s="1291"/>
    </row>
    <row r="51" spans="1:2">
      <c r="A51" s="1290">
        <v>43960</v>
      </c>
      <c r="B51" s="1291" t="s">
        <v>5910</v>
      </c>
    </row>
    <row r="52" spans="1:2">
      <c r="A52" s="1290"/>
      <c r="B52" s="1291" t="s">
        <v>5921</v>
      </c>
    </row>
    <row r="53" spans="1:2">
      <c r="A53" s="1291"/>
      <c r="B53" s="1291" t="s">
        <v>5922</v>
      </c>
    </row>
    <row r="54" spans="1:2">
      <c r="A54" s="1290"/>
      <c r="B54" s="1291" t="s">
        <v>5913</v>
      </c>
    </row>
    <row r="55" spans="1:2">
      <c r="A55" s="1291"/>
      <c r="B55" s="1291" t="s">
        <v>6117</v>
      </c>
    </row>
    <row r="56" spans="1:2" ht="33">
      <c r="A56" s="1290"/>
      <c r="B56" s="1291" t="s">
        <v>6118</v>
      </c>
    </row>
    <row r="57" spans="1:2">
      <c r="A57" s="1291"/>
      <c r="B57" s="1291"/>
    </row>
    <row r="58" spans="1:2">
      <c r="A58" s="1290">
        <v>43961</v>
      </c>
      <c r="B58" s="1291" t="s">
        <v>5910</v>
      </c>
    </row>
    <row r="59" spans="1:2">
      <c r="A59" s="1291"/>
      <c r="B59" s="1291" t="s">
        <v>5921</v>
      </c>
    </row>
    <row r="60" spans="1:2">
      <c r="A60" s="1291"/>
      <c r="B60" s="1291" t="s">
        <v>6119</v>
      </c>
    </row>
    <row r="61" spans="1:2">
      <c r="A61" s="1291"/>
      <c r="B61" s="1291" t="s">
        <v>5913</v>
      </c>
    </row>
    <row r="62" spans="1:2">
      <c r="A62" s="1291"/>
      <c r="B62" s="1291" t="s">
        <v>6117</v>
      </c>
    </row>
    <row r="63" spans="1:2">
      <c r="A63" s="1291"/>
      <c r="B63" s="1291" t="s">
        <v>6120</v>
      </c>
    </row>
    <row r="64" spans="1:2">
      <c r="A64" s="1291"/>
      <c r="B64" s="1291" t="s">
        <v>6121</v>
      </c>
    </row>
    <row r="65" spans="1:2">
      <c r="A65" s="1290"/>
      <c r="B65" s="1291" t="s">
        <v>6122</v>
      </c>
    </row>
    <row r="66" spans="1:2">
      <c r="A66" s="1290"/>
      <c r="B66" s="1291" t="s">
        <v>6123</v>
      </c>
    </row>
    <row r="67" spans="1:2">
      <c r="A67" s="1290"/>
      <c r="B67" s="1291"/>
    </row>
    <row r="68" spans="1:2">
      <c r="A68" s="1290">
        <v>43962</v>
      </c>
      <c r="B68" s="1291" t="s">
        <v>5910</v>
      </c>
    </row>
    <row r="69" spans="1:2">
      <c r="A69" s="1291"/>
      <c r="B69" s="1291" t="s">
        <v>5921</v>
      </c>
    </row>
    <row r="70" spans="1:2">
      <c r="A70" s="1291"/>
      <c r="B70" s="1291" t="s">
        <v>5922</v>
      </c>
    </row>
    <row r="71" spans="1:2">
      <c r="A71" s="1291"/>
      <c r="B71" s="1291" t="s">
        <v>5913</v>
      </c>
    </row>
    <row r="72" spans="1:2">
      <c r="A72" s="1291"/>
      <c r="B72" s="1291" t="s">
        <v>6124</v>
      </c>
    </row>
    <row r="73" spans="1:2">
      <c r="A73" s="1290"/>
      <c r="B73" s="1291" t="s">
        <v>6123</v>
      </c>
    </row>
    <row r="74" spans="1:2" ht="33">
      <c r="A74" s="1291"/>
      <c r="B74" s="1291" t="s">
        <v>6125</v>
      </c>
    </row>
    <row r="75" spans="1:2">
      <c r="A75" s="1291"/>
      <c r="B75" s="1291"/>
    </row>
    <row r="76" spans="1:2">
      <c r="A76" s="1290">
        <v>43963</v>
      </c>
      <c r="B76" s="1291" t="s">
        <v>5910</v>
      </c>
    </row>
    <row r="77" spans="1:2">
      <c r="A77" s="1291"/>
      <c r="B77" s="1291" t="s">
        <v>5921</v>
      </c>
    </row>
    <row r="78" spans="1:2">
      <c r="A78" s="1290"/>
      <c r="B78" s="1291" t="s">
        <v>6119</v>
      </c>
    </row>
    <row r="79" spans="1:2">
      <c r="A79" s="1291"/>
      <c r="B79" s="1291" t="s">
        <v>5913</v>
      </c>
    </row>
    <row r="80" spans="1:2">
      <c r="A80" s="1291"/>
      <c r="B80" s="1291" t="s">
        <v>6124</v>
      </c>
    </row>
    <row r="81" spans="1:2">
      <c r="A81" s="1291"/>
      <c r="B81" s="1291" t="s">
        <v>6123</v>
      </c>
    </row>
    <row r="82" spans="1:2">
      <c r="A82" s="1290"/>
      <c r="B82" s="1291" t="s">
        <v>6126</v>
      </c>
    </row>
    <row r="83" spans="1:2">
      <c r="A83" s="1290"/>
      <c r="B83" s="1291" t="s">
        <v>6127</v>
      </c>
    </row>
    <row r="84" spans="1:2">
      <c r="A84" s="1291"/>
      <c r="B84" s="1291" t="s">
        <v>6128</v>
      </c>
    </row>
    <row r="85" spans="1:2">
      <c r="A85" s="1290"/>
      <c r="B85" s="1291" t="s">
        <v>6129</v>
      </c>
    </row>
    <row r="86" spans="1:2">
      <c r="A86" s="1290"/>
      <c r="B86" s="1291"/>
    </row>
    <row r="87" spans="1:2">
      <c r="A87" s="1290">
        <v>43964</v>
      </c>
      <c r="B87" s="1291" t="s">
        <v>5910</v>
      </c>
    </row>
    <row r="88" spans="1:2">
      <c r="A88" s="1291"/>
      <c r="B88" s="1291" t="s">
        <v>5921</v>
      </c>
    </row>
    <row r="89" spans="1:2">
      <c r="A89" s="1291"/>
      <c r="B89" s="1291" t="s">
        <v>5922</v>
      </c>
    </row>
    <row r="90" spans="1:2">
      <c r="A90" s="1291"/>
      <c r="B90" s="1291" t="s">
        <v>5913</v>
      </c>
    </row>
    <row r="91" spans="1:2">
      <c r="A91" s="1290"/>
      <c r="B91" s="1291" t="s">
        <v>6124</v>
      </c>
    </row>
    <row r="92" spans="1:2">
      <c r="A92" s="1290"/>
      <c r="B92" s="1291" t="s">
        <v>6130</v>
      </c>
    </row>
    <row r="93" spans="1:2">
      <c r="A93" s="1291"/>
      <c r="B93" s="1291" t="s">
        <v>6129</v>
      </c>
    </row>
    <row r="94" spans="1:2" ht="33">
      <c r="A94" s="1290"/>
      <c r="B94" s="1291" t="s">
        <v>6131</v>
      </c>
    </row>
    <row r="95" spans="1:2">
      <c r="A95" s="1291"/>
      <c r="B95" s="1291"/>
    </row>
    <row r="96" spans="1:2">
      <c r="A96" s="1290">
        <v>43965</v>
      </c>
      <c r="B96" s="1291" t="s">
        <v>5910</v>
      </c>
    </row>
    <row r="97" spans="1:2">
      <c r="A97" s="1291"/>
      <c r="B97" s="1291" t="s">
        <v>5921</v>
      </c>
    </row>
    <row r="98" spans="1:2">
      <c r="A98" s="1291"/>
      <c r="B98" s="1291" t="s">
        <v>5923</v>
      </c>
    </row>
    <row r="99" spans="1:2">
      <c r="A99" s="1290"/>
      <c r="B99" s="1291" t="s">
        <v>5913</v>
      </c>
    </row>
    <row r="100" spans="1:2">
      <c r="A100" s="1291"/>
      <c r="B100" s="1291" t="s">
        <v>6130</v>
      </c>
    </row>
    <row r="101" spans="1:2">
      <c r="A101" s="1290"/>
      <c r="B101" s="1291" t="s">
        <v>6129</v>
      </c>
    </row>
    <row r="102" spans="1:2">
      <c r="A102" s="1291"/>
      <c r="B102" s="1291" t="s">
        <v>6132</v>
      </c>
    </row>
    <row r="103" spans="1:2">
      <c r="A103" s="1291"/>
      <c r="B103" s="1291" t="s">
        <v>6133</v>
      </c>
    </row>
    <row r="104" spans="1:2">
      <c r="A104" s="1291"/>
      <c r="B104" s="1291" t="s">
        <v>6134</v>
      </c>
    </row>
    <row r="105" spans="1:2">
      <c r="A105" s="1290"/>
      <c r="B105" s="1291"/>
    </row>
    <row r="106" spans="1:2">
      <c r="A106" s="1290">
        <v>43966</v>
      </c>
      <c r="B106" s="1291" t="s">
        <v>5910</v>
      </c>
    </row>
    <row r="107" spans="1:2">
      <c r="A107" s="1291"/>
      <c r="B107" s="1291" t="s">
        <v>5921</v>
      </c>
    </row>
    <row r="108" spans="1:2">
      <c r="A108" s="1290"/>
      <c r="B108" s="1291" t="s">
        <v>5912</v>
      </c>
    </row>
    <row r="109" spans="1:2">
      <c r="A109" s="1291"/>
      <c r="B109" s="1291" t="s">
        <v>5913</v>
      </c>
    </row>
    <row r="110" spans="1:2">
      <c r="A110" s="1291"/>
      <c r="B110" s="1291" t="s">
        <v>6130</v>
      </c>
    </row>
    <row r="111" spans="1:2">
      <c r="A111" s="1290"/>
      <c r="B111" s="1291" t="s">
        <v>6135</v>
      </c>
    </row>
    <row r="112" spans="1:2">
      <c r="A112" s="1290"/>
      <c r="B112" s="1291"/>
    </row>
    <row r="113" spans="1:2">
      <c r="A113" s="1290">
        <v>43967</v>
      </c>
      <c r="B113" s="1291" t="s">
        <v>5910</v>
      </c>
    </row>
    <row r="114" spans="1:2">
      <c r="A114" s="1290"/>
      <c r="B114" s="1291" t="s">
        <v>5921</v>
      </c>
    </row>
    <row r="115" spans="1:2">
      <c r="A115" s="1291"/>
      <c r="B115" s="1291" t="s">
        <v>5912</v>
      </c>
    </row>
    <row r="116" spans="1:2">
      <c r="A116" s="1291"/>
      <c r="B116" s="1291" t="s">
        <v>5913</v>
      </c>
    </row>
    <row r="117" spans="1:2">
      <c r="A117" s="1290"/>
      <c r="B117" s="1291" t="s">
        <v>6135</v>
      </c>
    </row>
    <row r="118" spans="1:2">
      <c r="A118" s="1290"/>
      <c r="B118" s="1291"/>
    </row>
    <row r="119" spans="1:2">
      <c r="A119" s="1290">
        <v>43968</v>
      </c>
      <c r="B119" s="1291" t="s">
        <v>5910</v>
      </c>
    </row>
    <row r="120" spans="1:2">
      <c r="A120" s="1290"/>
      <c r="B120" s="1291" t="s">
        <v>5921</v>
      </c>
    </row>
    <row r="121" spans="1:2">
      <c r="A121" s="1291"/>
      <c r="B121" s="1291" t="s">
        <v>5912</v>
      </c>
    </row>
    <row r="122" spans="1:2">
      <c r="A122" s="1291"/>
      <c r="B122" s="1291" t="s">
        <v>5913</v>
      </c>
    </row>
    <row r="123" spans="1:2">
      <c r="A123" s="1291"/>
      <c r="B123" s="1291" t="s">
        <v>6135</v>
      </c>
    </row>
    <row r="124" spans="1:2">
      <c r="A124" s="1291"/>
      <c r="B124" s="1291"/>
    </row>
    <row r="125" spans="1:2">
      <c r="A125" s="1290">
        <v>43969</v>
      </c>
      <c r="B125" s="1291" t="s">
        <v>5910</v>
      </c>
    </row>
    <row r="126" spans="1:2">
      <c r="A126" s="1291"/>
      <c r="B126" s="1291" t="s">
        <v>5921</v>
      </c>
    </row>
    <row r="127" spans="1:2">
      <c r="A127" s="1291"/>
      <c r="B127" s="1291" t="s">
        <v>5924</v>
      </c>
    </row>
    <row r="128" spans="1:2">
      <c r="A128" s="1290"/>
      <c r="B128" s="1291" t="s">
        <v>5913</v>
      </c>
    </row>
    <row r="129" spans="1:2">
      <c r="A129" s="1291"/>
      <c r="B129" s="1291" t="s">
        <v>6254</v>
      </c>
    </row>
    <row r="130" spans="1:2">
      <c r="A130" s="1291"/>
      <c r="B130" s="1291" t="s">
        <v>6136</v>
      </c>
    </row>
    <row r="131" spans="1:2">
      <c r="A131" s="1290"/>
      <c r="B131" s="1291" t="s">
        <v>6137</v>
      </c>
    </row>
    <row r="132" spans="1:2">
      <c r="A132" s="1290"/>
      <c r="B132" s="1291" t="s">
        <v>6138</v>
      </c>
    </row>
    <row r="133" spans="1:2">
      <c r="A133" s="1291"/>
      <c r="B133" s="1291"/>
    </row>
    <row r="134" spans="1:2">
      <c r="A134" s="1290">
        <v>43970</v>
      </c>
      <c r="B134" s="1291" t="s">
        <v>5910</v>
      </c>
    </row>
    <row r="135" spans="1:2">
      <c r="A135" s="1290"/>
      <c r="B135" s="1291" t="s">
        <v>5921</v>
      </c>
    </row>
    <row r="136" spans="1:2">
      <c r="A136" s="1290"/>
      <c r="B136" s="1291" t="s">
        <v>6139</v>
      </c>
    </row>
    <row r="137" spans="1:2">
      <c r="A137" s="1291"/>
      <c r="B137" s="1291" t="s">
        <v>5913</v>
      </c>
    </row>
    <row r="138" spans="1:2">
      <c r="A138" s="1290"/>
      <c r="B138" s="1291" t="s">
        <v>6137</v>
      </c>
    </row>
    <row r="139" spans="1:2">
      <c r="A139" s="1291"/>
      <c r="B139" s="1291" t="s">
        <v>6140</v>
      </c>
    </row>
    <row r="140" spans="1:2">
      <c r="A140" s="1291"/>
      <c r="B140" s="1291" t="s">
        <v>6141</v>
      </c>
    </row>
    <row r="141" spans="1:2">
      <c r="A141" s="1291"/>
      <c r="B141" s="1291" t="s">
        <v>6142</v>
      </c>
    </row>
    <row r="142" spans="1:2">
      <c r="A142" s="1291"/>
      <c r="B142" s="1291"/>
    </row>
    <row r="143" spans="1:2">
      <c r="A143" s="1290">
        <v>43971</v>
      </c>
      <c r="B143" s="1291" t="s">
        <v>5910</v>
      </c>
    </row>
    <row r="144" spans="1:2">
      <c r="A144" s="1290"/>
      <c r="B144" s="1291" t="s">
        <v>5921</v>
      </c>
    </row>
    <row r="145" spans="1:2">
      <c r="A145" s="1290"/>
      <c r="B145" s="1291" t="s">
        <v>6143</v>
      </c>
    </row>
    <row r="146" spans="1:2">
      <c r="A146" s="1291"/>
      <c r="B146" s="1291" t="s">
        <v>5913</v>
      </c>
    </row>
    <row r="147" spans="1:2">
      <c r="A147" s="1290"/>
      <c r="B147" s="1291" t="s">
        <v>6141</v>
      </c>
    </row>
    <row r="148" spans="1:2">
      <c r="A148" s="1291"/>
      <c r="B148" s="1291" t="s">
        <v>6144</v>
      </c>
    </row>
    <row r="149" spans="1:2">
      <c r="A149" s="1290"/>
      <c r="B149" s="1291" t="s">
        <v>6145</v>
      </c>
    </row>
    <row r="150" spans="1:2">
      <c r="A150" s="1291"/>
      <c r="B150" s="1291" t="s">
        <v>6146</v>
      </c>
    </row>
    <row r="151" spans="1:2">
      <c r="A151" s="1291"/>
      <c r="B151" s="1291" t="s">
        <v>6147</v>
      </c>
    </row>
    <row r="152" spans="1:2" ht="33">
      <c r="A152" s="1291"/>
      <c r="B152" s="1291" t="s">
        <v>6148</v>
      </c>
    </row>
    <row r="153" spans="1:2">
      <c r="A153" s="1291"/>
      <c r="B153" s="1291" t="s">
        <v>6255</v>
      </c>
    </row>
    <row r="154" spans="1:2">
      <c r="A154" s="1290"/>
      <c r="B154" s="1291" t="s">
        <v>6149</v>
      </c>
    </row>
    <row r="155" spans="1:2">
      <c r="A155" s="1291"/>
      <c r="B155" s="1291" t="s">
        <v>6150</v>
      </c>
    </row>
    <row r="156" spans="1:2">
      <c r="A156" s="1291"/>
      <c r="B156" s="1291" t="s">
        <v>6151</v>
      </c>
    </row>
    <row r="157" spans="1:2">
      <c r="A157" s="1290"/>
      <c r="B157" s="1291"/>
    </row>
    <row r="158" spans="1:2">
      <c r="A158" s="1290">
        <v>43972</v>
      </c>
      <c r="B158" s="1291" t="s">
        <v>5910</v>
      </c>
    </row>
    <row r="159" spans="1:2">
      <c r="A159" s="1291"/>
      <c r="B159" s="1291" t="s">
        <v>5921</v>
      </c>
    </row>
    <row r="160" spans="1:2">
      <c r="A160" s="1291"/>
      <c r="B160" s="1291" t="s">
        <v>6139</v>
      </c>
    </row>
    <row r="161" spans="1:2">
      <c r="A161" s="1291"/>
      <c r="B161" s="1291" t="s">
        <v>5913</v>
      </c>
    </row>
    <row r="162" spans="1:2">
      <c r="A162" s="1291"/>
      <c r="B162" s="1291" t="s">
        <v>4433</v>
      </c>
    </row>
    <row r="163" spans="1:2">
      <c r="A163" s="1291"/>
      <c r="B163" s="1291" t="s">
        <v>6150</v>
      </c>
    </row>
    <row r="164" spans="1:2">
      <c r="A164" s="1291"/>
      <c r="B164" s="1291" t="s">
        <v>6152</v>
      </c>
    </row>
    <row r="165" spans="1:2">
      <c r="A165" s="1291"/>
      <c r="B165" s="1291" t="s">
        <v>6153</v>
      </c>
    </row>
    <row r="166" spans="1:2">
      <c r="A166" s="1291"/>
      <c r="B166" s="1291" t="s">
        <v>6154</v>
      </c>
    </row>
    <row r="167" spans="1:2">
      <c r="A167" s="1290"/>
      <c r="B167" s="1291"/>
    </row>
    <row r="168" spans="1:2">
      <c r="A168" s="1290">
        <v>43973</v>
      </c>
      <c r="B168" s="1291" t="s">
        <v>5910</v>
      </c>
    </row>
    <row r="169" spans="1:2">
      <c r="A169" s="1290"/>
      <c r="B169" s="1291" t="s">
        <v>5921</v>
      </c>
    </row>
    <row r="170" spans="1:2">
      <c r="A170" s="1290"/>
      <c r="B170" s="1291" t="s">
        <v>6143</v>
      </c>
    </row>
    <row r="171" spans="1:2">
      <c r="A171" s="1291"/>
      <c r="B171" s="1291" t="s">
        <v>5913</v>
      </c>
    </row>
    <row r="172" spans="1:2">
      <c r="A172" s="1290"/>
      <c r="B172" s="1291" t="s">
        <v>4433</v>
      </c>
    </row>
    <row r="173" spans="1:2">
      <c r="A173" s="1291"/>
      <c r="B173" s="1291" t="s">
        <v>6153</v>
      </c>
    </row>
    <row r="174" spans="1:2">
      <c r="A174" s="1291"/>
      <c r="B174" s="1291" t="s">
        <v>6155</v>
      </c>
    </row>
    <row r="175" spans="1:2">
      <c r="A175" s="1291"/>
      <c r="B175" s="1291" t="s">
        <v>6156</v>
      </c>
    </row>
    <row r="176" spans="1:2">
      <c r="A176" s="1291"/>
      <c r="B176" s="1291" t="s">
        <v>6157</v>
      </c>
    </row>
    <row r="177" spans="1:2">
      <c r="A177" s="1290"/>
      <c r="B177" s="1291" t="s">
        <v>6158</v>
      </c>
    </row>
    <row r="178" spans="1:2" ht="33">
      <c r="A178" s="1291"/>
      <c r="B178" s="1291" t="s">
        <v>6159</v>
      </c>
    </row>
    <row r="179" spans="1:2">
      <c r="A179" s="1291"/>
      <c r="B179" s="1291" t="s">
        <v>6256</v>
      </c>
    </row>
    <row r="180" spans="1:2">
      <c r="A180" s="1291"/>
      <c r="B180" s="1291" t="s">
        <v>6160</v>
      </c>
    </row>
    <row r="181" spans="1:2">
      <c r="A181" s="1290"/>
      <c r="B181" s="1291" t="s">
        <v>6161</v>
      </c>
    </row>
    <row r="182" spans="1:2">
      <c r="A182" s="1290"/>
      <c r="B182" s="1291" t="s">
        <v>6162</v>
      </c>
    </row>
    <row r="183" spans="1:2">
      <c r="A183" s="1291"/>
      <c r="B183" s="1291"/>
    </row>
    <row r="184" spans="1:2">
      <c r="A184" s="1290">
        <v>43974</v>
      </c>
      <c r="B184" s="1291" t="s">
        <v>5910</v>
      </c>
    </row>
    <row r="185" spans="1:2">
      <c r="A185" s="1291"/>
      <c r="B185" s="1291" t="s">
        <v>5921</v>
      </c>
    </row>
    <row r="186" spans="1:2">
      <c r="A186" s="1291"/>
      <c r="B186" s="1291" t="s">
        <v>6139</v>
      </c>
    </row>
    <row r="187" spans="1:2">
      <c r="A187" s="1290"/>
      <c r="B187" s="1291" t="s">
        <v>5913</v>
      </c>
    </row>
    <row r="188" spans="1:2">
      <c r="A188" s="1291"/>
      <c r="B188" s="1291" t="s">
        <v>4433</v>
      </c>
    </row>
    <row r="189" spans="1:2">
      <c r="A189" s="1291"/>
      <c r="B189" s="1291" t="s">
        <v>6161</v>
      </c>
    </row>
    <row r="190" spans="1:2">
      <c r="A190" s="1290"/>
      <c r="B190" s="1291" t="s">
        <v>6163</v>
      </c>
    </row>
    <row r="191" spans="1:2">
      <c r="A191" s="1291"/>
      <c r="B191" s="1291" t="s">
        <v>6164</v>
      </c>
    </row>
    <row r="192" spans="1:2">
      <c r="A192" s="1290"/>
      <c r="B192" s="1291" t="s">
        <v>6165</v>
      </c>
    </row>
    <row r="193" spans="1:2">
      <c r="A193" s="1291"/>
      <c r="B193" s="1291"/>
    </row>
    <row r="194" spans="1:2">
      <c r="A194" s="1290">
        <v>43975</v>
      </c>
      <c r="B194" s="1291" t="s">
        <v>5910</v>
      </c>
    </row>
    <row r="195" spans="1:2">
      <c r="A195" s="1291"/>
      <c r="B195" s="1291" t="s">
        <v>5921</v>
      </c>
    </row>
    <row r="196" spans="1:2">
      <c r="A196" s="1290"/>
      <c r="B196" s="1291" t="s">
        <v>5925</v>
      </c>
    </row>
    <row r="197" spans="1:2">
      <c r="A197" s="1291"/>
      <c r="B197" s="1291" t="s">
        <v>5913</v>
      </c>
    </row>
    <row r="198" spans="1:2">
      <c r="A198" s="1290"/>
      <c r="B198" s="1291" t="s">
        <v>4433</v>
      </c>
    </row>
    <row r="199" spans="1:2">
      <c r="A199" s="1290"/>
      <c r="B199" s="1291" t="s">
        <v>6164</v>
      </c>
    </row>
    <row r="200" spans="1:2">
      <c r="A200" s="1290"/>
      <c r="B200" s="1291" t="s">
        <v>6166</v>
      </c>
    </row>
    <row r="201" spans="1:2">
      <c r="A201" s="1291"/>
      <c r="B201" s="1291" t="s">
        <v>6167</v>
      </c>
    </row>
    <row r="202" spans="1:2">
      <c r="A202" s="1291"/>
      <c r="B202" s="1291" t="s">
        <v>6168</v>
      </c>
    </row>
    <row r="203" spans="1:2">
      <c r="A203" s="1291"/>
      <c r="B203" s="1291" t="s">
        <v>6169</v>
      </c>
    </row>
    <row r="204" spans="1:2" ht="33">
      <c r="A204" s="1290"/>
      <c r="B204" s="1291" t="s">
        <v>6170</v>
      </c>
    </row>
    <row r="205" spans="1:2">
      <c r="A205" s="1290"/>
      <c r="B205" s="1291"/>
    </row>
    <row r="206" spans="1:2">
      <c r="A206" s="1290">
        <v>43976</v>
      </c>
      <c r="B206" s="1291" t="s">
        <v>5910</v>
      </c>
    </row>
    <row r="207" spans="1:2">
      <c r="A207" s="1290"/>
      <c r="B207" s="1291" t="s">
        <v>5921</v>
      </c>
    </row>
    <row r="208" spans="1:2">
      <c r="A208" s="1291"/>
      <c r="B208" s="1291" t="s">
        <v>5912</v>
      </c>
    </row>
    <row r="209" spans="1:2">
      <c r="A209" s="1291"/>
      <c r="B209" s="1291" t="s">
        <v>5913</v>
      </c>
    </row>
    <row r="210" spans="1:2">
      <c r="A210" s="1290"/>
      <c r="B210" s="1291" t="s">
        <v>4433</v>
      </c>
    </row>
    <row r="211" spans="1:2">
      <c r="A211" s="1290"/>
      <c r="B211" s="1291"/>
    </row>
    <row r="212" spans="1:2">
      <c r="A212" s="1290">
        <v>43977</v>
      </c>
      <c r="B212" s="1291" t="s">
        <v>5910</v>
      </c>
    </row>
    <row r="213" spans="1:2">
      <c r="A213" s="1290"/>
      <c r="B213" s="1291" t="s">
        <v>5921</v>
      </c>
    </row>
    <row r="214" spans="1:2">
      <c r="A214" s="1291"/>
      <c r="B214" s="1291" t="s">
        <v>5912</v>
      </c>
    </row>
    <row r="215" spans="1:2">
      <c r="A215" s="1291"/>
      <c r="B215" s="1291" t="s">
        <v>5913</v>
      </c>
    </row>
    <row r="216" spans="1:2">
      <c r="A216" s="1291"/>
      <c r="B216" s="1291" t="s">
        <v>4433</v>
      </c>
    </row>
    <row r="217" spans="1:2">
      <c r="A217" s="1290"/>
      <c r="B217" s="1291"/>
    </row>
    <row r="218" spans="1:2">
      <c r="A218" s="1290">
        <v>43978</v>
      </c>
      <c r="B218" s="1291" t="s">
        <v>5910</v>
      </c>
    </row>
    <row r="219" spans="1:2">
      <c r="A219" s="1291"/>
      <c r="B219" s="1291" t="s">
        <v>5921</v>
      </c>
    </row>
    <row r="220" spans="1:2">
      <c r="A220" s="1290"/>
      <c r="B220" s="1291" t="s">
        <v>5912</v>
      </c>
    </row>
    <row r="221" spans="1:2">
      <c r="A221" s="1291"/>
      <c r="B221" s="1291" t="s">
        <v>5913</v>
      </c>
    </row>
    <row r="222" spans="1:2" ht="33">
      <c r="A222" s="1290"/>
      <c r="B222" s="1291" t="s">
        <v>6171</v>
      </c>
    </row>
    <row r="223" spans="1:2" ht="33">
      <c r="A223" s="1290"/>
      <c r="B223" s="1291" t="s">
        <v>6172</v>
      </c>
    </row>
    <row r="224" spans="1:2">
      <c r="A224" s="1291"/>
      <c r="B224" s="1291" t="s">
        <v>4433</v>
      </c>
    </row>
    <row r="225" spans="1:2">
      <c r="A225" s="1290"/>
      <c r="B225" s="1291"/>
    </row>
    <row r="226" spans="1:2">
      <c r="A226" s="1290">
        <v>43979</v>
      </c>
      <c r="B226" s="1291" t="s">
        <v>5910</v>
      </c>
    </row>
    <row r="227" spans="1:2">
      <c r="A227" s="1291"/>
      <c r="B227" s="1291" t="s">
        <v>5921</v>
      </c>
    </row>
    <row r="228" spans="1:2">
      <c r="A228" s="1290"/>
      <c r="B228" s="1291" t="s">
        <v>5926</v>
      </c>
    </row>
    <row r="229" spans="1:2">
      <c r="A229" s="1291"/>
      <c r="B229" s="1291" t="s">
        <v>5913</v>
      </c>
    </row>
    <row r="230" spans="1:2">
      <c r="A230" s="1290"/>
      <c r="B230" s="1291" t="s">
        <v>6257</v>
      </c>
    </row>
    <row r="231" spans="1:2">
      <c r="A231" s="1291"/>
      <c r="B231" s="1291" t="s">
        <v>6173</v>
      </c>
    </row>
    <row r="232" spans="1:2">
      <c r="A232" s="1290"/>
      <c r="B232" s="1291" t="s">
        <v>6174</v>
      </c>
    </row>
    <row r="233" spans="1:2">
      <c r="A233" s="1291"/>
      <c r="B233" s="1291" t="s">
        <v>4433</v>
      </c>
    </row>
    <row r="234" spans="1:2">
      <c r="A234" s="1290"/>
      <c r="B234" s="1291"/>
    </row>
    <row r="235" spans="1:2">
      <c r="A235" s="1290">
        <v>43980</v>
      </c>
      <c r="B235" s="1291" t="s">
        <v>5910</v>
      </c>
    </row>
    <row r="236" spans="1:2">
      <c r="A236" s="1291"/>
      <c r="B236" s="1291" t="s">
        <v>5921</v>
      </c>
    </row>
    <row r="237" spans="1:2">
      <c r="A237" s="1291"/>
      <c r="B237" s="1291" t="s">
        <v>5926</v>
      </c>
    </row>
    <row r="238" spans="1:2">
      <c r="A238" s="1290"/>
      <c r="B238" s="1291" t="s">
        <v>5913</v>
      </c>
    </row>
    <row r="239" spans="1:2">
      <c r="A239" s="1291"/>
      <c r="B239" s="1291" t="s">
        <v>6174</v>
      </c>
    </row>
    <row r="240" spans="1:2" ht="33">
      <c r="A240" s="1290"/>
      <c r="B240" s="1291" t="s">
        <v>6175</v>
      </c>
    </row>
    <row r="241" spans="1:2">
      <c r="A241" s="1290"/>
      <c r="B241" s="1291" t="s">
        <v>6176</v>
      </c>
    </row>
    <row r="242" spans="1:2" ht="33">
      <c r="A242" s="1291"/>
      <c r="B242" s="1291" t="s">
        <v>6177</v>
      </c>
    </row>
    <row r="243" spans="1:2" ht="33">
      <c r="A243" s="1291"/>
      <c r="B243" s="1291" t="s">
        <v>6178</v>
      </c>
    </row>
    <row r="244" spans="1:2">
      <c r="A244" s="1291"/>
      <c r="B244" s="1291"/>
    </row>
    <row r="245" spans="1:2">
      <c r="A245" s="1290">
        <v>43981</v>
      </c>
      <c r="B245" s="1291" t="s">
        <v>5910</v>
      </c>
    </row>
    <row r="246" spans="1:2">
      <c r="A246" s="1291"/>
      <c r="B246" s="1291" t="s">
        <v>6179</v>
      </c>
    </row>
    <row r="247" spans="1:2">
      <c r="A247" s="1290"/>
      <c r="B247" s="1291" t="s">
        <v>5926</v>
      </c>
    </row>
    <row r="248" spans="1:2">
      <c r="A248" s="1291"/>
      <c r="B248" s="1291" t="s">
        <v>5913</v>
      </c>
    </row>
    <row r="249" spans="1:2">
      <c r="A249" s="1291"/>
      <c r="B249" s="1291" t="s">
        <v>6176</v>
      </c>
    </row>
    <row r="250" spans="1:2" ht="33">
      <c r="A250" s="1290"/>
      <c r="B250" s="1291" t="s">
        <v>6180</v>
      </c>
    </row>
    <row r="251" spans="1:2">
      <c r="A251" s="1291"/>
      <c r="B251" s="1291" t="s">
        <v>6181</v>
      </c>
    </row>
    <row r="252" spans="1:2">
      <c r="A252" s="1291"/>
      <c r="B252" s="1291" t="s">
        <v>6258</v>
      </c>
    </row>
    <row r="253" spans="1:2">
      <c r="A253" s="1290"/>
      <c r="B253" s="1291" t="s">
        <v>6182</v>
      </c>
    </row>
    <row r="254" spans="1:2">
      <c r="A254" s="1290"/>
      <c r="B254" s="1291" t="s">
        <v>6183</v>
      </c>
    </row>
    <row r="255" spans="1:2">
      <c r="A255" s="1290"/>
      <c r="B255" s="1291"/>
    </row>
    <row r="256" spans="1:2">
      <c r="A256" s="1290">
        <v>43982</v>
      </c>
      <c r="B256" s="1291" t="s">
        <v>5910</v>
      </c>
    </row>
    <row r="257" spans="1:2">
      <c r="A257" s="1291"/>
      <c r="B257" s="1291" t="s">
        <v>6179</v>
      </c>
    </row>
    <row r="258" spans="1:2">
      <c r="A258" s="1291"/>
      <c r="B258" s="1291" t="s">
        <v>5926</v>
      </c>
    </row>
    <row r="259" spans="1:2">
      <c r="A259" s="1291"/>
      <c r="B259" s="1291" t="s">
        <v>5913</v>
      </c>
    </row>
    <row r="260" spans="1:2">
      <c r="A260" s="1291"/>
      <c r="B260" s="1291" t="s">
        <v>6181</v>
      </c>
    </row>
    <row r="261" spans="1:2" ht="33">
      <c r="A261" s="1291"/>
      <c r="B261" s="1291" t="s">
        <v>6184</v>
      </c>
    </row>
    <row r="262" spans="1:2">
      <c r="A262" s="1291"/>
      <c r="B262" s="1291" t="s">
        <v>6185</v>
      </c>
    </row>
    <row r="263" spans="1:2">
      <c r="A263" s="1290"/>
      <c r="B263" s="1291" t="s">
        <v>6183</v>
      </c>
    </row>
    <row r="264" spans="1:2" ht="33">
      <c r="A264" s="1291"/>
      <c r="B264" s="1291" t="s">
        <v>6186</v>
      </c>
    </row>
    <row r="265" spans="1:2">
      <c r="A265" s="1290"/>
      <c r="B265" s="1291" t="s">
        <v>6187</v>
      </c>
    </row>
    <row r="266" spans="1:2" ht="33">
      <c r="A266" s="1290"/>
      <c r="B266" s="1291" t="s">
        <v>6188</v>
      </c>
    </row>
    <row r="267" spans="1:2" ht="33">
      <c r="A267" s="1291"/>
      <c r="B267" s="1291" t="s">
        <v>6189</v>
      </c>
    </row>
    <row r="268" spans="1:2">
      <c r="A268" s="1291"/>
      <c r="B268" s="1291"/>
    </row>
    <row r="269" spans="1:2">
      <c r="A269" s="1290">
        <v>43983</v>
      </c>
      <c r="B269" s="1291" t="s">
        <v>5910</v>
      </c>
    </row>
    <row r="270" spans="1:2">
      <c r="A270" s="1291"/>
      <c r="B270" s="1291" t="s">
        <v>6179</v>
      </c>
    </row>
    <row r="271" spans="1:2">
      <c r="A271" s="1291"/>
      <c r="B271" s="1291" t="s">
        <v>5926</v>
      </c>
    </row>
    <row r="272" spans="1:2">
      <c r="A272" s="1290"/>
      <c r="B272" s="1291" t="s">
        <v>5913</v>
      </c>
    </row>
    <row r="273" spans="1:2">
      <c r="A273" s="1290"/>
      <c r="B273" s="1291" t="s">
        <v>6185</v>
      </c>
    </row>
    <row r="274" spans="1:2" ht="33">
      <c r="A274" s="1291"/>
      <c r="B274" s="1291" t="s">
        <v>6190</v>
      </c>
    </row>
    <row r="275" spans="1:2">
      <c r="A275" s="1291"/>
      <c r="B275" s="1291" t="s">
        <v>6187</v>
      </c>
    </row>
    <row r="276" spans="1:2" ht="33">
      <c r="A276" s="1291"/>
      <c r="B276" s="1291" t="s">
        <v>6191</v>
      </c>
    </row>
    <row r="277" spans="1:2">
      <c r="A277" s="1290"/>
      <c r="B277" s="1291" t="s">
        <v>6192</v>
      </c>
    </row>
    <row r="278" spans="1:2">
      <c r="A278" s="1291"/>
      <c r="B278" s="1291" t="s">
        <v>6259</v>
      </c>
    </row>
    <row r="279" spans="1:2">
      <c r="A279" s="1291"/>
      <c r="B279" s="1291" t="s">
        <v>6193</v>
      </c>
    </row>
    <row r="280" spans="1:2">
      <c r="A280" s="1290"/>
      <c r="B280" s="1291" t="s">
        <v>6194</v>
      </c>
    </row>
    <row r="281" spans="1:2">
      <c r="A281" s="1290"/>
      <c r="B281" s="1291"/>
    </row>
    <row r="282" spans="1:2">
      <c r="A282" s="1290">
        <v>43984</v>
      </c>
      <c r="B282" s="1291" t="s">
        <v>5910</v>
      </c>
    </row>
    <row r="283" spans="1:2">
      <c r="A283" s="1290"/>
      <c r="B283" s="1291" t="s">
        <v>6179</v>
      </c>
    </row>
    <row r="284" spans="1:2">
      <c r="A284" s="1291"/>
      <c r="B284" s="1291" t="s">
        <v>5926</v>
      </c>
    </row>
    <row r="285" spans="1:2">
      <c r="A285" s="1291"/>
      <c r="B285" s="1291" t="s">
        <v>5913</v>
      </c>
    </row>
    <row r="286" spans="1:2">
      <c r="A286" s="1291"/>
      <c r="B286" s="1291" t="s">
        <v>6260</v>
      </c>
    </row>
    <row r="287" spans="1:2" ht="33">
      <c r="A287" s="1290"/>
      <c r="B287" s="1291" t="s">
        <v>6195</v>
      </c>
    </row>
    <row r="288" spans="1:2">
      <c r="A288" s="1291"/>
      <c r="B288" s="1291" t="s">
        <v>6192</v>
      </c>
    </row>
    <row r="289" spans="1:2" ht="33">
      <c r="A289" s="1291"/>
      <c r="B289" s="1291" t="s">
        <v>6196</v>
      </c>
    </row>
    <row r="290" spans="1:2">
      <c r="A290" s="1291"/>
      <c r="B290" s="1291" t="s">
        <v>6197</v>
      </c>
    </row>
    <row r="291" spans="1:2">
      <c r="A291" s="1291"/>
      <c r="B291" s="1291" t="s">
        <v>6194</v>
      </c>
    </row>
    <row r="292" spans="1:2" ht="33">
      <c r="A292" s="1290"/>
      <c r="B292" s="1291" t="s">
        <v>6198</v>
      </c>
    </row>
    <row r="293" spans="1:2">
      <c r="A293" s="1290"/>
      <c r="B293" s="1291" t="s">
        <v>6199</v>
      </c>
    </row>
    <row r="294" spans="1:2">
      <c r="A294" s="1290"/>
      <c r="B294" s="1291"/>
    </row>
    <row r="295" spans="1:2">
      <c r="A295" s="1290">
        <v>43985</v>
      </c>
      <c r="B295" s="1291" t="s">
        <v>5910</v>
      </c>
    </row>
    <row r="296" spans="1:2">
      <c r="A296" s="1290"/>
      <c r="B296" s="1291" t="s">
        <v>6179</v>
      </c>
    </row>
    <row r="297" spans="1:2">
      <c r="A297" s="1291"/>
      <c r="B297" s="1291" t="s">
        <v>5926</v>
      </c>
    </row>
    <row r="298" spans="1:2">
      <c r="A298" s="1291"/>
      <c r="B298" s="1291" t="s">
        <v>5913</v>
      </c>
    </row>
    <row r="299" spans="1:2">
      <c r="A299" s="1291"/>
      <c r="B299" s="1291" t="s">
        <v>6197</v>
      </c>
    </row>
    <row r="300" spans="1:2" ht="33">
      <c r="A300" s="1290"/>
      <c r="B300" s="1291" t="s">
        <v>6200</v>
      </c>
    </row>
    <row r="301" spans="1:2">
      <c r="A301" s="1291"/>
      <c r="B301" s="1291" t="s">
        <v>6199</v>
      </c>
    </row>
    <row r="302" spans="1:2" ht="33">
      <c r="A302" s="1291"/>
      <c r="B302" s="1291" t="s">
        <v>6201</v>
      </c>
    </row>
    <row r="303" spans="1:2">
      <c r="A303" s="1290"/>
      <c r="B303" s="1291" t="s">
        <v>6202</v>
      </c>
    </row>
    <row r="304" spans="1:2">
      <c r="A304" s="1290"/>
      <c r="B304" s="1291"/>
    </row>
    <row r="305" spans="1:2">
      <c r="A305" s="1290">
        <v>43986</v>
      </c>
      <c r="B305" s="1291" t="s">
        <v>5910</v>
      </c>
    </row>
    <row r="306" spans="1:2">
      <c r="A306" s="1290"/>
      <c r="B306" s="1291" t="s">
        <v>6179</v>
      </c>
    </row>
    <row r="307" spans="1:2">
      <c r="A307" s="1291"/>
      <c r="B307" s="1291" t="s">
        <v>5926</v>
      </c>
    </row>
    <row r="308" spans="1:2">
      <c r="A308" s="1291"/>
      <c r="B308" s="1291" t="s">
        <v>5913</v>
      </c>
    </row>
    <row r="309" spans="1:2">
      <c r="A309" s="1290"/>
      <c r="B309" s="1291" t="s">
        <v>6261</v>
      </c>
    </row>
    <row r="310" spans="1:2" ht="33">
      <c r="A310" s="1291"/>
      <c r="B310" s="1291" t="s">
        <v>6203</v>
      </c>
    </row>
    <row r="311" spans="1:2">
      <c r="A311" s="1291"/>
      <c r="B311" s="1291" t="s">
        <v>6202</v>
      </c>
    </row>
    <row r="312" spans="1:2" ht="33">
      <c r="A312" s="1291"/>
      <c r="B312" s="1291" t="s">
        <v>6204</v>
      </c>
    </row>
    <row r="313" spans="1:2">
      <c r="A313" s="1290"/>
      <c r="B313" s="1291" t="s">
        <v>6205</v>
      </c>
    </row>
    <row r="314" spans="1:2">
      <c r="A314" s="1290"/>
      <c r="B314" s="1291"/>
    </row>
    <row r="315" spans="1:2">
      <c r="A315" s="1290">
        <v>43987</v>
      </c>
      <c r="B315" s="1291" t="s">
        <v>5910</v>
      </c>
    </row>
    <row r="316" spans="1:2">
      <c r="A316" s="1291"/>
      <c r="B316" s="1291" t="s">
        <v>6179</v>
      </c>
    </row>
    <row r="317" spans="1:2">
      <c r="A317" s="1291"/>
      <c r="B317" s="1291" t="s">
        <v>5926</v>
      </c>
    </row>
    <row r="318" spans="1:2">
      <c r="A318" s="1291"/>
      <c r="B318" s="1291" t="s">
        <v>5913</v>
      </c>
    </row>
    <row r="319" spans="1:2">
      <c r="A319" s="1291"/>
      <c r="B319" s="1291" t="s">
        <v>6205</v>
      </c>
    </row>
    <row r="320" spans="1:2" ht="33">
      <c r="A320" s="1290"/>
      <c r="B320" s="1291" t="s">
        <v>6206</v>
      </c>
    </row>
    <row r="321" spans="1:2">
      <c r="A321" s="1290"/>
      <c r="B321" s="1291"/>
    </row>
    <row r="322" spans="1:2">
      <c r="A322" s="1290">
        <v>43988</v>
      </c>
      <c r="B322" s="1291" t="s">
        <v>5910</v>
      </c>
    </row>
    <row r="323" spans="1:2">
      <c r="A323" s="1291"/>
      <c r="B323" s="1291" t="s">
        <v>6179</v>
      </c>
    </row>
    <row r="324" spans="1:2">
      <c r="A324" s="1291"/>
      <c r="B324" s="1291" t="s">
        <v>5912</v>
      </c>
    </row>
    <row r="325" spans="1:2">
      <c r="A325" s="1291"/>
      <c r="B325" s="1291" t="s">
        <v>5913</v>
      </c>
    </row>
    <row r="326" spans="1:2">
      <c r="A326" s="1291"/>
      <c r="B326" s="1291" t="s">
        <v>6262</v>
      </c>
    </row>
    <row r="327" spans="1:2" ht="33">
      <c r="A327" s="1291"/>
      <c r="B327" s="1291" t="s">
        <v>6207</v>
      </c>
    </row>
    <row r="328" spans="1:2">
      <c r="A328" s="1290"/>
      <c r="B328" s="1291"/>
    </row>
    <row r="329" spans="1:2">
      <c r="A329" s="1290">
        <v>43989</v>
      </c>
      <c r="B329" s="1291" t="s">
        <v>5910</v>
      </c>
    </row>
    <row r="330" spans="1:2">
      <c r="A330" s="1290"/>
      <c r="B330" s="1291" t="s">
        <v>6179</v>
      </c>
    </row>
    <row r="331" spans="1:2">
      <c r="A331" s="1290"/>
      <c r="B331" s="1291" t="s">
        <v>5912</v>
      </c>
    </row>
    <row r="332" spans="1:2">
      <c r="A332" s="1291"/>
      <c r="B332" s="1291" t="s">
        <v>5913</v>
      </c>
    </row>
    <row r="333" spans="1:2">
      <c r="A333" s="1291"/>
      <c r="B333" s="1291" t="s">
        <v>6263</v>
      </c>
    </row>
    <row r="334" spans="1:2">
      <c r="A334" s="1291"/>
      <c r="B334" s="1291" t="s">
        <v>6208</v>
      </c>
    </row>
    <row r="335" spans="1:2">
      <c r="A335" s="1312"/>
      <c r="B335" s="1292"/>
    </row>
    <row r="336" spans="1:2">
      <c r="A336" s="1127"/>
      <c r="B336" s="1127"/>
    </row>
    <row r="337" spans="1:2">
      <c r="A337" s="1127"/>
      <c r="B337" s="1127"/>
    </row>
    <row r="338" spans="1:2">
      <c r="A338" s="1126"/>
      <c r="B338" s="1127"/>
    </row>
    <row r="339" spans="1:2">
      <c r="A339" s="1127"/>
      <c r="B339" s="1127"/>
    </row>
    <row r="340" spans="1:2">
      <c r="A340" s="1127"/>
      <c r="B340" s="1127"/>
    </row>
    <row r="341" spans="1:2">
      <c r="A341" s="1127"/>
      <c r="B341" s="1127"/>
    </row>
    <row r="342" spans="1:2">
      <c r="A342" s="1127"/>
      <c r="B342" s="1127"/>
    </row>
    <row r="343" spans="1:2">
      <c r="A343" s="1126"/>
      <c r="B343" s="1127"/>
    </row>
    <row r="344" spans="1:2">
      <c r="A344" s="1126"/>
      <c r="B344" s="1127"/>
    </row>
    <row r="345" spans="1:2">
      <c r="A345" s="1126"/>
      <c r="B345" s="1127"/>
    </row>
    <row r="346" spans="1:2">
      <c r="A346" s="1127"/>
      <c r="B346" s="1127"/>
    </row>
    <row r="347" spans="1:2">
      <c r="A347" s="1127"/>
      <c r="B347" s="1127"/>
    </row>
    <row r="348" spans="1:2">
      <c r="A348" s="1126"/>
      <c r="B348" s="1127"/>
    </row>
    <row r="349" spans="1:2">
      <c r="A349" s="1127"/>
      <c r="B349" s="1127"/>
    </row>
    <row r="350" spans="1:2">
      <c r="A350" s="1127"/>
      <c r="B350" s="1127"/>
    </row>
    <row r="351" spans="1:2">
      <c r="A351" s="1126"/>
      <c r="B351" s="1127"/>
    </row>
    <row r="352" spans="1:2">
      <c r="A352" s="1126"/>
      <c r="B352" s="1127"/>
    </row>
    <row r="353" spans="1:2">
      <c r="A353" s="1127"/>
      <c r="B353" s="1127"/>
    </row>
    <row r="354" spans="1:2">
      <c r="A354" s="1127"/>
      <c r="B354" s="1127"/>
    </row>
    <row r="355" spans="1:2">
      <c r="A355" s="1127"/>
      <c r="B355" s="1127"/>
    </row>
    <row r="356" spans="1:2">
      <c r="A356" s="1127"/>
      <c r="B356" s="1127"/>
    </row>
    <row r="357" spans="1:2">
      <c r="A357" s="1126"/>
      <c r="B357" s="1127"/>
    </row>
    <row r="358" spans="1:2">
      <c r="A358" s="1127"/>
      <c r="B358" s="1127"/>
    </row>
    <row r="359" spans="1:2">
      <c r="A359" s="1126"/>
      <c r="B359" s="1127"/>
    </row>
    <row r="360" spans="1:2">
      <c r="A360" s="1126"/>
      <c r="B360" s="1127"/>
    </row>
    <row r="361" spans="1:2">
      <c r="A361" s="1127"/>
      <c r="B361" s="1127"/>
    </row>
    <row r="362" spans="1:2">
      <c r="A362" s="1127"/>
      <c r="B362" s="1127"/>
    </row>
    <row r="363" spans="1:2">
      <c r="A363" s="1127"/>
      <c r="B363" s="1127"/>
    </row>
    <row r="364" spans="1:2">
      <c r="A364" s="1127"/>
      <c r="B364" s="1127"/>
    </row>
    <row r="365" spans="1:2">
      <c r="A365" s="1127"/>
      <c r="B365" s="1127"/>
    </row>
    <row r="366" spans="1:2">
      <c r="A366" s="1127"/>
      <c r="B366" s="1127"/>
    </row>
    <row r="367" spans="1:2">
      <c r="A367" s="1127"/>
      <c r="B367" s="1127"/>
    </row>
    <row r="368" spans="1:2">
      <c r="A368" s="1127"/>
      <c r="B368" s="1127"/>
    </row>
    <row r="369" spans="1:2">
      <c r="A369" s="1127"/>
      <c r="B369" s="1127"/>
    </row>
    <row r="370" spans="1:2">
      <c r="A370" s="1127"/>
      <c r="B370" s="1127"/>
    </row>
    <row r="371" spans="1:2">
      <c r="A371" s="1127"/>
      <c r="B371" s="1127"/>
    </row>
    <row r="372" spans="1:2">
      <c r="A372" s="1127"/>
      <c r="B372" s="1127"/>
    </row>
    <row r="373" spans="1:2">
      <c r="A373" s="1127"/>
      <c r="B373" s="1127"/>
    </row>
    <row r="374" spans="1:2">
      <c r="A374" s="1126"/>
      <c r="B374" s="1127"/>
    </row>
    <row r="375" spans="1:2">
      <c r="A375" s="1127"/>
      <c r="B375" s="1127"/>
    </row>
    <row r="376" spans="1:2">
      <c r="A376" s="1127"/>
      <c r="B376" s="1127"/>
    </row>
    <row r="377" spans="1:2">
      <c r="A377" s="1126"/>
      <c r="B377" s="1127"/>
    </row>
    <row r="378" spans="1:2">
      <c r="A378" s="1127"/>
      <c r="B378" s="1127"/>
    </row>
    <row r="379" spans="1:2">
      <c r="A379" s="1127"/>
      <c r="B379" s="1127"/>
    </row>
    <row r="380" spans="1:2">
      <c r="A380" s="1127"/>
      <c r="B380" s="1127"/>
    </row>
    <row r="381" spans="1:2">
      <c r="A381" s="1127"/>
      <c r="B381" s="1127"/>
    </row>
    <row r="382" spans="1:2">
      <c r="A382" s="1127"/>
      <c r="B382" s="1127"/>
    </row>
    <row r="383" spans="1:2">
      <c r="A383" s="1127"/>
      <c r="B383" s="1127"/>
    </row>
    <row r="384" spans="1:2">
      <c r="A384" s="1127"/>
      <c r="B384" s="1127"/>
    </row>
    <row r="385" spans="1:2">
      <c r="A385" s="1127"/>
      <c r="B385" s="1127"/>
    </row>
    <row r="386" spans="1:2">
      <c r="A386" s="1127"/>
      <c r="B386" s="1127"/>
    </row>
    <row r="387" spans="1:2">
      <c r="A387" s="1127"/>
      <c r="B387" s="1127"/>
    </row>
    <row r="388" spans="1:2">
      <c r="A388" s="1127"/>
      <c r="B388" s="1127"/>
    </row>
    <row r="389" spans="1:2">
      <c r="A389" s="1127"/>
      <c r="B389" s="1127"/>
    </row>
    <row r="390" spans="1:2">
      <c r="A390" s="1127"/>
      <c r="B390" s="1127"/>
    </row>
    <row r="391" spans="1:2">
      <c r="A391" s="1127"/>
      <c r="B391" s="1127"/>
    </row>
    <row r="392" spans="1:2">
      <c r="A392" s="1127"/>
      <c r="B392" s="1127"/>
    </row>
    <row r="393" spans="1:2">
      <c r="A393" s="1127"/>
      <c r="B393" s="1127"/>
    </row>
    <row r="394" spans="1:2">
      <c r="A394" s="1127"/>
      <c r="B394" s="1127"/>
    </row>
    <row r="395" spans="1:2">
      <c r="A395" s="1127"/>
      <c r="B395" s="1127"/>
    </row>
    <row r="396" spans="1:2">
      <c r="A396" s="1126"/>
      <c r="B396" s="1127"/>
    </row>
    <row r="397" spans="1:2">
      <c r="A397" s="1127"/>
      <c r="B397" s="1127"/>
    </row>
    <row r="398" spans="1:2">
      <c r="A398" s="1127"/>
      <c r="B398" s="1127"/>
    </row>
    <row r="399" spans="1:2">
      <c r="A399" s="1126"/>
      <c r="B399" s="1127"/>
    </row>
    <row r="400" spans="1:2">
      <c r="A400" s="1127"/>
      <c r="B400" s="1127"/>
    </row>
    <row r="401" spans="1:2">
      <c r="A401" s="1127"/>
      <c r="B401" s="1127"/>
    </row>
    <row r="402" spans="1:2">
      <c r="A402" s="1127"/>
      <c r="B402" s="1127"/>
    </row>
    <row r="403" spans="1:2">
      <c r="A403" s="1127"/>
      <c r="B403" s="1127"/>
    </row>
    <row r="404" spans="1:2">
      <c r="A404" s="1127"/>
      <c r="B404" s="1127"/>
    </row>
    <row r="405" spans="1:2">
      <c r="A405" s="1127"/>
      <c r="B405" s="1127"/>
    </row>
    <row r="406" spans="1:2">
      <c r="A406" s="1127"/>
      <c r="B406" s="1127"/>
    </row>
    <row r="407" spans="1:2">
      <c r="A407" s="1127"/>
      <c r="B407" s="1127"/>
    </row>
    <row r="408" spans="1:2">
      <c r="A408" s="1127"/>
      <c r="B408" s="1127"/>
    </row>
    <row r="409" spans="1:2">
      <c r="A409" s="1127"/>
      <c r="B409" s="1127"/>
    </row>
    <row r="410" spans="1:2">
      <c r="A410" s="1127"/>
      <c r="B410" s="1127"/>
    </row>
    <row r="411" spans="1:2">
      <c r="A411" s="1127"/>
      <c r="B411" s="1127"/>
    </row>
    <row r="412" spans="1:2">
      <c r="A412" s="1127"/>
      <c r="B412" s="1127"/>
    </row>
    <row r="413" spans="1:2">
      <c r="A413" s="1127"/>
      <c r="B413" s="1127"/>
    </row>
    <row r="414" spans="1:2">
      <c r="A414" s="1127"/>
      <c r="B414" s="1127"/>
    </row>
    <row r="415" spans="1:2">
      <c r="A415" s="1127"/>
      <c r="B415" s="1127"/>
    </row>
    <row r="416" spans="1:2">
      <c r="A416" s="1127"/>
      <c r="B416" s="1127"/>
    </row>
    <row r="417" spans="1:2">
      <c r="A417" s="1127"/>
      <c r="B417" s="1127"/>
    </row>
    <row r="418" spans="1:2">
      <c r="A418" s="1126"/>
      <c r="B418" s="1127"/>
    </row>
    <row r="419" spans="1:2">
      <c r="A419" s="1127"/>
      <c r="B419" s="1127"/>
    </row>
    <row r="420" spans="1:2">
      <c r="A420" s="1127"/>
      <c r="B420" s="1127"/>
    </row>
    <row r="421" spans="1:2">
      <c r="A421" s="1126"/>
      <c r="B421" s="1127"/>
    </row>
    <row r="422" spans="1:2">
      <c r="A422" s="1127"/>
      <c r="B422" s="1127"/>
    </row>
    <row r="423" spans="1:2">
      <c r="A423" s="1127"/>
      <c r="B423" s="1127"/>
    </row>
    <row r="424" spans="1:2">
      <c r="A424" s="1127"/>
      <c r="B424" s="1127"/>
    </row>
    <row r="425" spans="1:2">
      <c r="A425" s="1127"/>
      <c r="B425" s="1127"/>
    </row>
    <row r="426" spans="1:2">
      <c r="A426" s="1127"/>
      <c r="B426" s="1127"/>
    </row>
    <row r="427" spans="1:2">
      <c r="A427" s="1127"/>
      <c r="B427" s="1127"/>
    </row>
    <row r="428" spans="1:2">
      <c r="A428" s="1127"/>
      <c r="B428" s="1127"/>
    </row>
    <row r="429" spans="1:2">
      <c r="A429" s="1127"/>
      <c r="B429" s="1127"/>
    </row>
    <row r="430" spans="1:2">
      <c r="A430" s="1127"/>
      <c r="B430" s="1127"/>
    </row>
    <row r="431" spans="1:2">
      <c r="A431" s="1126"/>
      <c r="B431" s="1127"/>
    </row>
    <row r="432" spans="1:2">
      <c r="A432" s="1127"/>
      <c r="B432" s="1127"/>
    </row>
    <row r="433" spans="1:2">
      <c r="A433" s="1127"/>
      <c r="B433" s="1127"/>
    </row>
    <row r="434" spans="1:2">
      <c r="A434" s="1126"/>
      <c r="B434" s="1127"/>
    </row>
    <row r="435" spans="1:2">
      <c r="A435" s="1127"/>
      <c r="B435" s="1127"/>
    </row>
    <row r="436" spans="1:2">
      <c r="A436" s="1127"/>
      <c r="B436" s="1127"/>
    </row>
    <row r="437" spans="1:2">
      <c r="A437" s="1127"/>
      <c r="B437" s="1127"/>
    </row>
    <row r="438" spans="1:2">
      <c r="A438" s="1127"/>
      <c r="B438" s="1127"/>
    </row>
    <row r="439" spans="1:2">
      <c r="A439" s="1127"/>
      <c r="B439" s="1127"/>
    </row>
    <row r="440" spans="1:2">
      <c r="A440" s="1127"/>
      <c r="B440" s="1127"/>
    </row>
    <row r="441" spans="1:2">
      <c r="A441" s="1127"/>
      <c r="B441" s="1127"/>
    </row>
    <row r="442" spans="1:2">
      <c r="A442" s="1127"/>
      <c r="B442" s="1127"/>
    </row>
    <row r="443" spans="1:2">
      <c r="A443" s="1127"/>
      <c r="B443" s="1127"/>
    </row>
    <row r="444" spans="1:2">
      <c r="A444" s="1127"/>
      <c r="B444" s="1127"/>
    </row>
    <row r="445" spans="1:2">
      <c r="A445" s="1127"/>
      <c r="B445" s="1127"/>
    </row>
    <row r="446" spans="1:2">
      <c r="A446" s="1127"/>
      <c r="B446" s="1127"/>
    </row>
    <row r="447" spans="1:2">
      <c r="A447" s="1127"/>
      <c r="B447" s="1127"/>
    </row>
    <row r="448" spans="1:2">
      <c r="A448" s="1127"/>
      <c r="B448" s="1127"/>
    </row>
    <row r="449" spans="1:2">
      <c r="A449" s="1126"/>
      <c r="B449" s="1127"/>
    </row>
    <row r="450" spans="1:2">
      <c r="A450" s="1127"/>
      <c r="B450" s="1127"/>
    </row>
    <row r="451" spans="1:2">
      <c r="A451" s="1127"/>
      <c r="B451" s="1127"/>
    </row>
    <row r="452" spans="1:2">
      <c r="A452" s="1126"/>
      <c r="B452" s="1127"/>
    </row>
    <row r="453" spans="1:2">
      <c r="A453" s="1127"/>
      <c r="B453" s="1127"/>
    </row>
    <row r="454" spans="1:2">
      <c r="A454" s="1127"/>
      <c r="B454" s="1127"/>
    </row>
    <row r="455" spans="1:2">
      <c r="A455" s="1127"/>
      <c r="B455" s="1127"/>
    </row>
    <row r="456" spans="1:2">
      <c r="A456" s="1127"/>
      <c r="B456" s="1127"/>
    </row>
    <row r="457" spans="1:2">
      <c r="A457" s="1127"/>
      <c r="B457" s="1127"/>
    </row>
    <row r="458" spans="1:2">
      <c r="A458" s="1127"/>
      <c r="B458" s="1127"/>
    </row>
    <row r="459" spans="1:2">
      <c r="A459" s="1127"/>
      <c r="B459" s="1127"/>
    </row>
    <row r="460" spans="1:2">
      <c r="A460" s="1127"/>
      <c r="B460" s="1127"/>
    </row>
    <row r="461" spans="1:2">
      <c r="A461" s="1127"/>
      <c r="B461" s="1127"/>
    </row>
    <row r="462" spans="1:2">
      <c r="A462" s="1127"/>
      <c r="B462" s="1127"/>
    </row>
    <row r="463" spans="1:2">
      <c r="A463" s="1127"/>
      <c r="B463" s="1127"/>
    </row>
    <row r="464" spans="1:2">
      <c r="A464" s="1127"/>
      <c r="B464" s="1127"/>
    </row>
    <row r="465" spans="1:2">
      <c r="A465" s="1127"/>
      <c r="B465" s="1127"/>
    </row>
    <row r="466" spans="1:2">
      <c r="A466" s="1127"/>
      <c r="B466" s="1127"/>
    </row>
    <row r="467" spans="1:2">
      <c r="A467" s="1127"/>
      <c r="B467" s="1127"/>
    </row>
    <row r="468" spans="1:2">
      <c r="A468" s="1127"/>
      <c r="B468" s="1127"/>
    </row>
    <row r="469" spans="1:2">
      <c r="A469" s="1127"/>
      <c r="B469" s="1127"/>
    </row>
    <row r="470" spans="1:2">
      <c r="A470" s="1126"/>
      <c r="B470" s="1127"/>
    </row>
    <row r="471" spans="1:2">
      <c r="A471" s="1127"/>
      <c r="B471" s="1127"/>
    </row>
    <row r="472" spans="1:2">
      <c r="A472" s="1127"/>
      <c r="B472" s="1127"/>
    </row>
    <row r="473" spans="1:2">
      <c r="A473" s="1126"/>
      <c r="B473" s="1127"/>
    </row>
    <row r="474" spans="1:2">
      <c r="A474" s="1127"/>
      <c r="B474" s="1127"/>
    </row>
    <row r="475" spans="1:2">
      <c r="A475" s="1127"/>
      <c r="B475" s="1127"/>
    </row>
    <row r="476" spans="1:2">
      <c r="A476" s="1127"/>
      <c r="B476" s="1127"/>
    </row>
    <row r="477" spans="1:2">
      <c r="A477" s="1127"/>
      <c r="B477" s="1127"/>
    </row>
    <row r="478" spans="1:2">
      <c r="A478" s="1127"/>
      <c r="B478" s="1127"/>
    </row>
    <row r="479" spans="1:2">
      <c r="A479" s="1127"/>
      <c r="B479" s="1127"/>
    </row>
    <row r="480" spans="1:2">
      <c r="A480" s="1127"/>
      <c r="B480" s="1127"/>
    </row>
    <row r="481" spans="1:2">
      <c r="A481" s="1127"/>
      <c r="B481" s="1127"/>
    </row>
    <row r="482" spans="1:2">
      <c r="A482" s="1127"/>
      <c r="B482" s="1127"/>
    </row>
    <row r="483" spans="1:2">
      <c r="A483" s="1127"/>
      <c r="B483" s="1127"/>
    </row>
    <row r="484" spans="1:2">
      <c r="A484" s="1127"/>
      <c r="B484" s="1127"/>
    </row>
    <row r="485" spans="1:2">
      <c r="A485" s="1127"/>
      <c r="B485" s="1127"/>
    </row>
    <row r="486" spans="1:2">
      <c r="A486" s="1127"/>
      <c r="B486" s="1127"/>
    </row>
    <row r="487" spans="1:2">
      <c r="A487" s="1127"/>
      <c r="B487" s="1127"/>
    </row>
    <row r="488" spans="1:2">
      <c r="A488" s="1127"/>
      <c r="B488" s="1127"/>
    </row>
    <row r="489" spans="1:2">
      <c r="A489" s="1126"/>
      <c r="B489" s="1127"/>
    </row>
    <row r="490" spans="1:2">
      <c r="A490" s="1127"/>
      <c r="B490" s="1127"/>
    </row>
    <row r="491" spans="1:2">
      <c r="A491" s="1127"/>
      <c r="B491" s="1127"/>
    </row>
    <row r="492" spans="1:2">
      <c r="A492" s="1126"/>
      <c r="B492" s="1127"/>
    </row>
    <row r="493" spans="1:2">
      <c r="A493" s="1127"/>
      <c r="B493" s="1127"/>
    </row>
    <row r="494" spans="1:2">
      <c r="A494" s="1127"/>
      <c r="B494" s="1127"/>
    </row>
    <row r="495" spans="1:2">
      <c r="A495" s="1127"/>
      <c r="B495" s="1127"/>
    </row>
    <row r="496" spans="1:2">
      <c r="A496" s="1127"/>
      <c r="B496" s="1127"/>
    </row>
    <row r="497" spans="1:2">
      <c r="A497" s="1127"/>
      <c r="B497" s="1127"/>
    </row>
    <row r="498" spans="1:2">
      <c r="A498" s="1127"/>
      <c r="B498" s="1127"/>
    </row>
    <row r="499" spans="1:2">
      <c r="A499" s="1127"/>
      <c r="B499" s="1127"/>
    </row>
    <row r="500" spans="1:2">
      <c r="A500" s="1127"/>
      <c r="B500" s="1127"/>
    </row>
    <row r="501" spans="1:2">
      <c r="A501" s="1127"/>
      <c r="B501" s="1127"/>
    </row>
    <row r="502" spans="1:2">
      <c r="A502" s="1126"/>
      <c r="B502" s="1127"/>
    </row>
    <row r="503" spans="1:2">
      <c r="A503" s="1127"/>
      <c r="B503" s="1127"/>
    </row>
    <row r="504" spans="1:2">
      <c r="A504" s="1127"/>
      <c r="B504" s="1127"/>
    </row>
    <row r="505" spans="1:2">
      <c r="A505" s="1126"/>
      <c r="B505" s="1127"/>
    </row>
    <row r="506" spans="1:2">
      <c r="A506" s="1127"/>
      <c r="B506" s="1127"/>
    </row>
    <row r="507" spans="1:2">
      <c r="A507" s="1127"/>
      <c r="B507" s="1127"/>
    </row>
    <row r="508" spans="1:2">
      <c r="A508" s="1127"/>
      <c r="B508" s="1127"/>
    </row>
    <row r="509" spans="1:2">
      <c r="A509" s="1127"/>
      <c r="B509" s="1127"/>
    </row>
    <row r="510" spans="1:2">
      <c r="A510" s="1127"/>
      <c r="B510" s="1127"/>
    </row>
    <row r="511" spans="1:2">
      <c r="A511" s="1127"/>
      <c r="B511" s="1127"/>
    </row>
    <row r="512" spans="1:2">
      <c r="A512" s="1127"/>
      <c r="B512" s="1127"/>
    </row>
    <row r="513" spans="1:2">
      <c r="A513" s="1127"/>
      <c r="B513" s="1127"/>
    </row>
    <row r="514" spans="1:2">
      <c r="A514" s="1126"/>
      <c r="B514" s="1127"/>
    </row>
    <row r="515" spans="1:2">
      <c r="A515" s="1127"/>
      <c r="B515" s="1127"/>
    </row>
    <row r="516" spans="1:2">
      <c r="A516" s="1127"/>
      <c r="B516" s="1127"/>
    </row>
    <row r="517" spans="1:2">
      <c r="A517" s="1126"/>
      <c r="B517" s="1127"/>
    </row>
    <row r="518" spans="1:2">
      <c r="A518" s="1127"/>
      <c r="B518" s="1127"/>
    </row>
    <row r="519" spans="1:2">
      <c r="A519" s="1127"/>
      <c r="B519" s="1127"/>
    </row>
    <row r="520" spans="1:2">
      <c r="A520" s="1127"/>
      <c r="B520" s="1127"/>
    </row>
    <row r="521" spans="1:2">
      <c r="A521" s="1127"/>
      <c r="B521" s="1127"/>
    </row>
    <row r="522" spans="1:2">
      <c r="A522" s="1127"/>
      <c r="B522" s="1127"/>
    </row>
    <row r="523" spans="1:2">
      <c r="A523" s="1127"/>
      <c r="B523" s="1127"/>
    </row>
    <row r="524" spans="1:2">
      <c r="A524" s="1127"/>
      <c r="B524" s="1127"/>
    </row>
    <row r="525" spans="1:2">
      <c r="A525" s="1127"/>
      <c r="B525" s="1127"/>
    </row>
    <row r="526" spans="1:2">
      <c r="A526" s="1127"/>
      <c r="B526" s="1127"/>
    </row>
    <row r="527" spans="1:2">
      <c r="A527" s="1127"/>
      <c r="B527" s="1127"/>
    </row>
    <row r="528" spans="1:2">
      <c r="A528" s="1127"/>
      <c r="B528" s="1127"/>
    </row>
    <row r="529" spans="1:2">
      <c r="A529" s="1127"/>
      <c r="B529" s="1127"/>
    </row>
    <row r="530" spans="1:2">
      <c r="A530" s="1127"/>
      <c r="B530" s="1127"/>
    </row>
    <row r="531" spans="1:2">
      <c r="A531" s="1127"/>
      <c r="B531" s="1127"/>
    </row>
    <row r="532" spans="1:2">
      <c r="A532" s="1126"/>
      <c r="B532" s="1127"/>
    </row>
    <row r="533" spans="1:2">
      <c r="A533" s="1127"/>
      <c r="B533" s="1127"/>
    </row>
    <row r="534" spans="1:2">
      <c r="A534" s="1127"/>
      <c r="B534" s="1127"/>
    </row>
    <row r="535" spans="1:2">
      <c r="A535" s="1126"/>
      <c r="B535" s="1127"/>
    </row>
    <row r="536" spans="1:2">
      <c r="A536" s="1127"/>
      <c r="B536" s="1127"/>
    </row>
    <row r="537" spans="1:2">
      <c r="A537" s="1127"/>
      <c r="B537" s="1127"/>
    </row>
    <row r="538" spans="1:2">
      <c r="A538" s="1127"/>
      <c r="B538" s="1127"/>
    </row>
    <row r="539" spans="1:2">
      <c r="A539" s="1127"/>
      <c r="B539" s="1127"/>
    </row>
    <row r="540" spans="1:2">
      <c r="A540" s="1127"/>
      <c r="B540" s="1127"/>
    </row>
    <row r="541" spans="1:2">
      <c r="A541" s="1127"/>
      <c r="B541" s="1127"/>
    </row>
    <row r="542" spans="1:2">
      <c r="A542" s="1127"/>
      <c r="B542" s="1127"/>
    </row>
    <row r="543" spans="1:2">
      <c r="A543" s="1127"/>
      <c r="B543" s="1127"/>
    </row>
    <row r="544" spans="1:2">
      <c r="A544" s="1127"/>
      <c r="B544" s="1127"/>
    </row>
    <row r="545" spans="1:2">
      <c r="A545" s="1127"/>
      <c r="B545" s="1127"/>
    </row>
    <row r="546" spans="1:2">
      <c r="A546" s="1127"/>
      <c r="B546" s="1127"/>
    </row>
    <row r="547" spans="1:2">
      <c r="A547" s="1127"/>
      <c r="B547" s="1127"/>
    </row>
    <row r="548" spans="1:2">
      <c r="A548" s="1126"/>
      <c r="B548" s="1127"/>
    </row>
    <row r="549" spans="1:2">
      <c r="A549" s="1127"/>
      <c r="B549" s="1127"/>
    </row>
    <row r="550" spans="1:2">
      <c r="A550" s="1127"/>
      <c r="B550" s="1127"/>
    </row>
    <row r="551" spans="1:2">
      <c r="A551" s="1126"/>
      <c r="B551" s="1127"/>
    </row>
    <row r="552" spans="1:2">
      <c r="A552" s="1127"/>
      <c r="B552" s="1127"/>
    </row>
    <row r="553" spans="1:2">
      <c r="A553" s="1127"/>
      <c r="B553" s="1127"/>
    </row>
    <row r="554" spans="1:2">
      <c r="A554" s="1127"/>
      <c r="B554" s="1127"/>
    </row>
    <row r="555" spans="1:2">
      <c r="A555" s="1127"/>
      <c r="B555" s="1127"/>
    </row>
    <row r="556" spans="1:2">
      <c r="A556" s="1127"/>
      <c r="B556" s="1127"/>
    </row>
    <row r="557" spans="1:2">
      <c r="A557" s="1127"/>
      <c r="B557" s="1127"/>
    </row>
    <row r="558" spans="1:2">
      <c r="A558" s="1127"/>
      <c r="B558" s="1127"/>
    </row>
    <row r="559" spans="1:2">
      <c r="A559" s="1127"/>
      <c r="B559" s="1127"/>
    </row>
    <row r="560" spans="1:2">
      <c r="A560" s="1127"/>
      <c r="B560" s="1127"/>
    </row>
    <row r="561" spans="1:2">
      <c r="A561" s="1126"/>
      <c r="B561" s="1127"/>
    </row>
    <row r="562" spans="1:2">
      <c r="A562" s="1127"/>
      <c r="B562" s="1127"/>
    </row>
    <row r="563" spans="1:2">
      <c r="A563" s="1127"/>
      <c r="B563" s="1127"/>
    </row>
    <row r="564" spans="1:2">
      <c r="A564" s="1126"/>
      <c r="B564" s="1127"/>
    </row>
    <row r="565" spans="1:2">
      <c r="A565" s="1127"/>
      <c r="B565" s="1127"/>
    </row>
    <row r="566" spans="1:2">
      <c r="A566" s="1127"/>
      <c r="B566" s="1127"/>
    </row>
    <row r="567" spans="1:2">
      <c r="A567" s="1127"/>
      <c r="B567" s="1127"/>
    </row>
    <row r="568" spans="1:2">
      <c r="A568" s="1127"/>
      <c r="B568" s="1127"/>
    </row>
    <row r="569" spans="1:2">
      <c r="A569" s="1127"/>
      <c r="B569" s="1127"/>
    </row>
    <row r="570" spans="1:2">
      <c r="A570" s="1127"/>
      <c r="B570" s="1127"/>
    </row>
    <row r="571" spans="1:2">
      <c r="A571" s="1127"/>
      <c r="B571" s="1127"/>
    </row>
    <row r="572" spans="1:2">
      <c r="A572" s="1126"/>
      <c r="B572" s="1127"/>
    </row>
    <row r="573" spans="1:2">
      <c r="A573" s="1127"/>
      <c r="B573" s="1127"/>
    </row>
    <row r="574" spans="1:2">
      <c r="A574" s="1127"/>
      <c r="B574" s="1127"/>
    </row>
    <row r="575" spans="1:2">
      <c r="A575" s="1126"/>
      <c r="B575" s="1127"/>
    </row>
    <row r="576" spans="1:2">
      <c r="A576" s="1127"/>
      <c r="B576" s="1127"/>
    </row>
    <row r="577" spans="1:2">
      <c r="A577" s="1127"/>
      <c r="B577" s="1127"/>
    </row>
    <row r="578" spans="1:2">
      <c r="A578" s="1127"/>
      <c r="B578" s="1127"/>
    </row>
    <row r="579" spans="1:2">
      <c r="A579" s="1127"/>
      <c r="B579" s="1127"/>
    </row>
    <row r="580" spans="1:2">
      <c r="A580" s="1127"/>
      <c r="B580" s="1127"/>
    </row>
    <row r="581" spans="1:2">
      <c r="A581" s="1127"/>
      <c r="B581" s="1127"/>
    </row>
    <row r="582" spans="1:2">
      <c r="A582" s="1127"/>
      <c r="B582" s="1127"/>
    </row>
    <row r="583" spans="1:2">
      <c r="A583" s="1127"/>
      <c r="B583" s="1127"/>
    </row>
    <row r="584" spans="1:2">
      <c r="A584" s="1127"/>
      <c r="B584" s="1127"/>
    </row>
    <row r="585" spans="1:2">
      <c r="A585" s="1127"/>
      <c r="B585" s="1127"/>
    </row>
    <row r="586" spans="1:2">
      <c r="A586" s="1126"/>
      <c r="B586" s="1127"/>
    </row>
    <row r="587" spans="1:2">
      <c r="A587" s="1127"/>
      <c r="B587" s="1127"/>
    </row>
    <row r="588" spans="1:2">
      <c r="A588" s="1127"/>
      <c r="B588" s="1127"/>
    </row>
    <row r="589" spans="1:2">
      <c r="A589" s="1126"/>
      <c r="B589" s="1127"/>
    </row>
    <row r="590" spans="1:2">
      <c r="A590" s="1127"/>
      <c r="B590" s="1127"/>
    </row>
    <row r="591" spans="1:2">
      <c r="A591" s="1127"/>
      <c r="B591" s="1127"/>
    </row>
    <row r="592" spans="1:2">
      <c r="A592" s="1127"/>
      <c r="B592" s="1127"/>
    </row>
    <row r="593" spans="1:2">
      <c r="A593" s="1127"/>
      <c r="B593" s="1127"/>
    </row>
    <row r="594" spans="1:2">
      <c r="A594" s="1127"/>
      <c r="B594" s="1127"/>
    </row>
    <row r="595" spans="1:2">
      <c r="A595" s="1127"/>
      <c r="B595" s="1127"/>
    </row>
    <row r="596" spans="1:2">
      <c r="A596" s="1127"/>
      <c r="B596" s="1127"/>
    </row>
    <row r="597" spans="1:2">
      <c r="A597" s="1127"/>
      <c r="B597" s="1127"/>
    </row>
    <row r="598" spans="1:2">
      <c r="A598" s="1126"/>
      <c r="B598" s="1127"/>
    </row>
    <row r="599" spans="1:2">
      <c r="A599" s="1127"/>
      <c r="B599" s="1127"/>
    </row>
    <row r="600" spans="1:2">
      <c r="A600" s="1127"/>
      <c r="B600" s="1127"/>
    </row>
    <row r="601" spans="1:2">
      <c r="A601" s="1126"/>
      <c r="B601" s="1127"/>
    </row>
    <row r="602" spans="1:2">
      <c r="A602" s="1127"/>
      <c r="B602" s="1127"/>
    </row>
    <row r="603" spans="1:2">
      <c r="A603" s="1127"/>
      <c r="B603" s="1127"/>
    </row>
    <row r="604" spans="1:2">
      <c r="A604" s="1127"/>
      <c r="B604" s="1127"/>
    </row>
    <row r="605" spans="1:2">
      <c r="A605" s="1127"/>
      <c r="B605" s="1127"/>
    </row>
    <row r="606" spans="1:2">
      <c r="A606" s="1127"/>
      <c r="B606" s="1127"/>
    </row>
    <row r="607" spans="1:2">
      <c r="A607" s="1127"/>
      <c r="B607" s="1127"/>
    </row>
    <row r="608" spans="1:2">
      <c r="A608" s="1127"/>
      <c r="B608" s="1127"/>
    </row>
    <row r="609" spans="1:2">
      <c r="A609" s="1127"/>
      <c r="B609" s="1127"/>
    </row>
    <row r="610" spans="1:2">
      <c r="A610" s="1127"/>
      <c r="B610" s="1127"/>
    </row>
    <row r="611" spans="1:2">
      <c r="A611" s="1126"/>
      <c r="B611" s="1127"/>
    </row>
    <row r="612" spans="1:2">
      <c r="A612" s="1127"/>
      <c r="B612" s="1127"/>
    </row>
    <row r="613" spans="1:2">
      <c r="A613" s="1126"/>
      <c r="B613" s="1127"/>
    </row>
    <row r="614" spans="1:2">
      <c r="A614" s="1127"/>
      <c r="B614" s="1127"/>
    </row>
    <row r="615" spans="1:2">
      <c r="A615" s="1126"/>
      <c r="B615" s="1127"/>
    </row>
    <row r="616" spans="1:2">
      <c r="A616" s="1127"/>
      <c r="B616" s="1127"/>
    </row>
    <row r="617" spans="1:2">
      <c r="A617" s="1127"/>
      <c r="B617" s="1127"/>
    </row>
    <row r="618" spans="1:2">
      <c r="A618" s="1127"/>
      <c r="B618" s="1127"/>
    </row>
    <row r="619" spans="1:2">
      <c r="A619" s="1126"/>
      <c r="B619" s="1127"/>
    </row>
    <row r="620" spans="1:2">
      <c r="A620" s="1127"/>
      <c r="B620" s="1127"/>
    </row>
    <row r="621" spans="1:2">
      <c r="A621" s="1127"/>
      <c r="B621" s="1127"/>
    </row>
    <row r="622" spans="1:2">
      <c r="A622" s="1127"/>
      <c r="B622" s="1127"/>
    </row>
    <row r="623" spans="1:2">
      <c r="A623" s="1127"/>
      <c r="B623" s="1127"/>
    </row>
    <row r="624" spans="1:2">
      <c r="A624" s="1127"/>
      <c r="B624" s="1127"/>
    </row>
    <row r="625" spans="1:2">
      <c r="A625" s="1127"/>
      <c r="B625" s="1127"/>
    </row>
    <row r="626" spans="1:2">
      <c r="A626" s="1127"/>
      <c r="B626" s="1127"/>
    </row>
    <row r="627" spans="1:2">
      <c r="A627" s="1126"/>
      <c r="B627" s="1127"/>
    </row>
    <row r="628" spans="1:2">
      <c r="A628" s="1127"/>
      <c r="B628" s="1127"/>
    </row>
    <row r="629" spans="1:2">
      <c r="A629" s="1127"/>
      <c r="B629" s="1127"/>
    </row>
    <row r="630" spans="1:2">
      <c r="A630" s="1127"/>
      <c r="B630" s="1127"/>
    </row>
    <row r="631" spans="1:2">
      <c r="A631" s="1126"/>
      <c r="B631" s="1127"/>
    </row>
    <row r="632" spans="1:2">
      <c r="A632" s="1127"/>
      <c r="B632" s="1127"/>
    </row>
    <row r="633" spans="1:2">
      <c r="A633" s="1127"/>
      <c r="B633" s="1127"/>
    </row>
    <row r="634" spans="1:2">
      <c r="A634" s="1127"/>
      <c r="B634" s="1127"/>
    </row>
    <row r="635" spans="1:2">
      <c r="A635" s="1127"/>
      <c r="B635" s="1127"/>
    </row>
    <row r="636" spans="1:2">
      <c r="A636" s="1127"/>
      <c r="B636" s="1127"/>
    </row>
    <row r="637" spans="1:2">
      <c r="A637" s="1127"/>
      <c r="B637" s="1127"/>
    </row>
    <row r="638" spans="1:2">
      <c r="A638" s="1126"/>
      <c r="B638" s="1127"/>
    </row>
    <row r="639" spans="1:2">
      <c r="A639" s="1127"/>
      <c r="B639" s="1127"/>
    </row>
    <row r="640" spans="1:2">
      <c r="A640" s="1127"/>
      <c r="B640" s="1127"/>
    </row>
    <row r="641" spans="1:2">
      <c r="A641" s="1127"/>
      <c r="B641" s="1127"/>
    </row>
    <row r="642" spans="1:2">
      <c r="A642" s="1126"/>
      <c r="B642" s="1127"/>
    </row>
    <row r="643" spans="1:2">
      <c r="A643" s="1127"/>
      <c r="B643" s="1127"/>
    </row>
    <row r="644" spans="1:2">
      <c r="A644" s="1127"/>
      <c r="B644" s="1127"/>
    </row>
    <row r="645" spans="1:2">
      <c r="A645" s="1127"/>
      <c r="B645" s="1127"/>
    </row>
    <row r="646" spans="1:2">
      <c r="A646" s="1127"/>
      <c r="B646" s="1127"/>
    </row>
    <row r="647" spans="1:2">
      <c r="A647" s="1127"/>
      <c r="B647" s="1127"/>
    </row>
    <row r="648" spans="1:2">
      <c r="A648" s="1127"/>
      <c r="B648" s="1127"/>
    </row>
    <row r="649" spans="1:2">
      <c r="A649" s="1127"/>
      <c r="B649" s="1127"/>
    </row>
    <row r="650" spans="1:2">
      <c r="A650" s="1126"/>
      <c r="B650" s="1127"/>
    </row>
    <row r="651" spans="1:2">
      <c r="A651" s="1127"/>
      <c r="B651" s="1127"/>
    </row>
    <row r="652" spans="1:2">
      <c r="A652" s="1127"/>
      <c r="B652" s="1127"/>
    </row>
    <row r="653" spans="1:2">
      <c r="A653" s="1127"/>
      <c r="B653" s="1127"/>
    </row>
    <row r="654" spans="1:2">
      <c r="A654" s="1126"/>
      <c r="B654" s="1127"/>
    </row>
    <row r="655" spans="1:2">
      <c r="A655" s="1127"/>
      <c r="B655" s="1127"/>
    </row>
    <row r="656" spans="1:2">
      <c r="A656" s="1127"/>
      <c r="B656" s="1127"/>
    </row>
    <row r="657" spans="1:2">
      <c r="A657" s="1127"/>
      <c r="B657" s="1127"/>
    </row>
    <row r="658" spans="1:2">
      <c r="A658" s="1126"/>
      <c r="B658" s="1127"/>
    </row>
    <row r="659" spans="1:2">
      <c r="A659" s="1127"/>
      <c r="B659" s="1127"/>
    </row>
    <row r="660" spans="1:2">
      <c r="A660" s="1127"/>
      <c r="B660" s="1127"/>
    </row>
    <row r="661" spans="1:2">
      <c r="A661" s="1126"/>
      <c r="B661" s="1127"/>
    </row>
    <row r="662" spans="1:2">
      <c r="A662" s="1126"/>
      <c r="B662" s="1127"/>
    </row>
    <row r="663" spans="1:2">
      <c r="A663" s="1127"/>
      <c r="B663" s="1127"/>
    </row>
    <row r="664" spans="1:2">
      <c r="A664" s="1127"/>
      <c r="B664" s="1127"/>
    </row>
    <row r="665" spans="1:2">
      <c r="A665" s="1127"/>
      <c r="B665" s="1127"/>
    </row>
    <row r="666" spans="1:2">
      <c r="A666" s="1127"/>
      <c r="B666" s="1127"/>
    </row>
    <row r="667" spans="1:2">
      <c r="A667" s="1126"/>
      <c r="B667" s="1127"/>
    </row>
    <row r="668" spans="1:2">
      <c r="A668" s="1127"/>
      <c r="B668" s="1127"/>
    </row>
    <row r="669" spans="1:2">
      <c r="A669" s="1127"/>
      <c r="B669" s="1127"/>
    </row>
    <row r="670" spans="1:2">
      <c r="A670" s="1127"/>
      <c r="B670" s="1127"/>
    </row>
    <row r="671" spans="1:2">
      <c r="A671" s="1127"/>
      <c r="B671" s="1127"/>
    </row>
    <row r="672" spans="1:2">
      <c r="A672" s="1127"/>
      <c r="B672" s="1127"/>
    </row>
    <row r="673" spans="1:2">
      <c r="A673" s="1127"/>
      <c r="B673" s="1127"/>
    </row>
    <row r="674" spans="1:2">
      <c r="A674" s="1126"/>
      <c r="B674" s="1127"/>
    </row>
    <row r="675" spans="1:2">
      <c r="A675" s="1127"/>
      <c r="B675" s="1127"/>
    </row>
    <row r="676" spans="1:2">
      <c r="A676" s="1127"/>
      <c r="B676" s="1127"/>
    </row>
    <row r="677" spans="1:2">
      <c r="A677" s="1127"/>
      <c r="B677" s="1127"/>
    </row>
    <row r="678" spans="1:2">
      <c r="A678" s="1127"/>
      <c r="B678" s="1127"/>
    </row>
    <row r="679" spans="1:2">
      <c r="A679" s="1126"/>
      <c r="B679" s="1127"/>
    </row>
    <row r="680" spans="1:2">
      <c r="A680" s="1127"/>
      <c r="B680" s="1127"/>
    </row>
    <row r="681" spans="1:2">
      <c r="A681" s="1127"/>
      <c r="B681" s="1127"/>
    </row>
    <row r="682" spans="1:2">
      <c r="A682" s="1127"/>
      <c r="B682" s="1127"/>
    </row>
    <row r="683" spans="1:2">
      <c r="A683" s="1127"/>
      <c r="B683" s="1127"/>
    </row>
    <row r="684" spans="1:2">
      <c r="A684" s="1127"/>
      <c r="B684" s="1127"/>
    </row>
    <row r="685" spans="1:2">
      <c r="A685" s="1127"/>
      <c r="B685" s="1127"/>
    </row>
    <row r="686" spans="1:2">
      <c r="A686" s="1126"/>
      <c r="B686" s="1127"/>
    </row>
    <row r="687" spans="1:2">
      <c r="A687" s="1127"/>
      <c r="B687" s="1127"/>
    </row>
    <row r="688" spans="1:2">
      <c r="A688" s="1127"/>
      <c r="B688" s="1127"/>
    </row>
    <row r="689" spans="1:2">
      <c r="A689" s="1127"/>
      <c r="B689" s="1127"/>
    </row>
    <row r="690" spans="1:2">
      <c r="A690" s="1127"/>
      <c r="B690" s="1127"/>
    </row>
    <row r="691" spans="1:2">
      <c r="A691" s="1126"/>
      <c r="B691" s="1127"/>
    </row>
    <row r="692" spans="1:2">
      <c r="A692" s="1127"/>
      <c r="B692" s="1127"/>
    </row>
    <row r="693" spans="1:2">
      <c r="A693" s="1127"/>
      <c r="B693" s="1127"/>
    </row>
    <row r="694" spans="1:2">
      <c r="A694" s="1127"/>
      <c r="B694" s="1127"/>
    </row>
    <row r="695" spans="1:2">
      <c r="A695" s="1127"/>
      <c r="B695" s="1127"/>
    </row>
    <row r="696" spans="1:2">
      <c r="A696" s="1126"/>
      <c r="B696" s="1127"/>
    </row>
    <row r="697" spans="1:2">
      <c r="A697" s="1127"/>
      <c r="B697" s="1127"/>
    </row>
    <row r="698" spans="1:2">
      <c r="A698" s="1127"/>
      <c r="B698" s="1127"/>
    </row>
    <row r="699" spans="1:2">
      <c r="A699" s="1127"/>
      <c r="B699" s="1127"/>
    </row>
    <row r="700" spans="1:2">
      <c r="A700" s="1127"/>
      <c r="B700" s="1127"/>
    </row>
    <row r="701" spans="1:2">
      <c r="A701" s="1126"/>
      <c r="B701" s="1127"/>
    </row>
    <row r="702" spans="1:2">
      <c r="A702" s="1127"/>
      <c r="B702" s="1127"/>
    </row>
    <row r="703" spans="1:2">
      <c r="A703" s="1127"/>
      <c r="B703" s="1127"/>
    </row>
    <row r="704" spans="1:2">
      <c r="A704" s="1127"/>
      <c r="B704" s="1127"/>
    </row>
    <row r="705" spans="1:2">
      <c r="A705" s="1127"/>
      <c r="B705" s="1127"/>
    </row>
    <row r="706" spans="1:2">
      <c r="A706" s="1127"/>
      <c r="B706" s="1127"/>
    </row>
    <row r="707" spans="1:2">
      <c r="A707" s="1127"/>
      <c r="B707" s="1127"/>
    </row>
    <row r="708" spans="1:2">
      <c r="A708" s="1126"/>
      <c r="B708" s="1127"/>
    </row>
    <row r="709" spans="1:2">
      <c r="A709" s="1127"/>
      <c r="B709" s="1127"/>
    </row>
    <row r="710" spans="1:2">
      <c r="A710" s="1127"/>
      <c r="B710" s="1127"/>
    </row>
    <row r="711" spans="1:2">
      <c r="A711" s="1127"/>
      <c r="B711" s="1127"/>
    </row>
    <row r="712" spans="1:2">
      <c r="A712" s="1127"/>
      <c r="B712" s="1127"/>
    </row>
    <row r="713" spans="1:2">
      <c r="A713" s="1126"/>
      <c r="B713" s="1127"/>
    </row>
    <row r="714" spans="1:2">
      <c r="A714" s="1127"/>
      <c r="B714" s="1127"/>
    </row>
    <row r="715" spans="1:2">
      <c r="A715" s="1127"/>
      <c r="B715" s="1127"/>
    </row>
    <row r="716" spans="1:2">
      <c r="A716" s="1127"/>
      <c r="B716" s="1127"/>
    </row>
    <row r="717" spans="1:2">
      <c r="A717" s="1127"/>
      <c r="B717" s="1127"/>
    </row>
    <row r="718" spans="1:2">
      <c r="A718" s="1127"/>
      <c r="B718" s="1127"/>
    </row>
    <row r="719" spans="1:2">
      <c r="A719" s="1127"/>
      <c r="B719" s="1127"/>
    </row>
    <row r="720" spans="1:2">
      <c r="A720" s="1127"/>
      <c r="B720" s="1127"/>
    </row>
    <row r="721" spans="1:2">
      <c r="A721" s="1127"/>
      <c r="B721" s="1127"/>
    </row>
    <row r="722" spans="1:2">
      <c r="A722" s="1127"/>
      <c r="B722" s="1127"/>
    </row>
    <row r="723" spans="1:2">
      <c r="A723" s="1127"/>
      <c r="B723" s="1127"/>
    </row>
    <row r="724" spans="1:2">
      <c r="A724" s="1127"/>
      <c r="B724" s="1127"/>
    </row>
    <row r="725" spans="1:2">
      <c r="A725" s="1127"/>
      <c r="B725" s="1127"/>
    </row>
    <row r="726" spans="1:2">
      <c r="A726" s="1126"/>
      <c r="B726" s="1127"/>
    </row>
    <row r="727" spans="1:2">
      <c r="A727" s="1127"/>
      <c r="B727" s="1127"/>
    </row>
    <row r="728" spans="1:2">
      <c r="A728" s="1127"/>
      <c r="B728" s="1127"/>
    </row>
    <row r="729" spans="1:2">
      <c r="A729" s="1127"/>
      <c r="B729" s="1127"/>
    </row>
    <row r="730" spans="1:2">
      <c r="A730" s="1126"/>
      <c r="B730" s="1127"/>
    </row>
    <row r="731" spans="1:2">
      <c r="A731" s="1127"/>
      <c r="B731" s="1127"/>
    </row>
    <row r="732" spans="1:2">
      <c r="A732" s="1127"/>
      <c r="B732" s="1127"/>
    </row>
    <row r="733" spans="1:2">
      <c r="A733" s="1127"/>
      <c r="B733" s="1127"/>
    </row>
    <row r="734" spans="1:2">
      <c r="A734" s="1127"/>
      <c r="B734" s="1127"/>
    </row>
    <row r="735" spans="1:2">
      <c r="A735" s="1127"/>
      <c r="B735" s="1127"/>
    </row>
    <row r="736" spans="1:2">
      <c r="A736" s="1126"/>
      <c r="B736" s="1127"/>
    </row>
    <row r="737" spans="1:2">
      <c r="A737" s="1127"/>
      <c r="B737" s="1127"/>
    </row>
    <row r="738" spans="1:2">
      <c r="A738" s="1127"/>
      <c r="B738" s="1127"/>
    </row>
    <row r="739" spans="1:2">
      <c r="A739" s="1127"/>
      <c r="B739" s="1127"/>
    </row>
    <row r="740" spans="1:2">
      <c r="A740" s="1127"/>
      <c r="B740" s="1127"/>
    </row>
    <row r="741" spans="1:2">
      <c r="A741" s="1127"/>
      <c r="B741" s="1127"/>
    </row>
    <row r="742" spans="1:2">
      <c r="A742" s="1127"/>
      <c r="B742" s="1127"/>
    </row>
    <row r="743" spans="1:2">
      <c r="A743" s="1127"/>
      <c r="B743" s="1127"/>
    </row>
    <row r="744" spans="1:2">
      <c r="A744" s="1127"/>
      <c r="B744" s="1127"/>
    </row>
    <row r="745" spans="1:2">
      <c r="A745" s="1127"/>
      <c r="B745" s="1127"/>
    </row>
    <row r="746" spans="1:2">
      <c r="A746" s="1127"/>
      <c r="B746" s="1127"/>
    </row>
    <row r="747" spans="1:2">
      <c r="A747" s="1127"/>
      <c r="B747" s="1127"/>
    </row>
    <row r="748" spans="1:2">
      <c r="A748" s="1127"/>
      <c r="B748" s="1127"/>
    </row>
    <row r="749" spans="1:2">
      <c r="A749" s="1127"/>
      <c r="B749" s="1127"/>
    </row>
    <row r="750" spans="1:2">
      <c r="A750" s="1126"/>
      <c r="B750" s="1127"/>
    </row>
    <row r="751" spans="1:2">
      <c r="A751" s="1127"/>
      <c r="B751" s="1127"/>
    </row>
    <row r="752" spans="1:2">
      <c r="A752" s="1127"/>
      <c r="B752" s="1127"/>
    </row>
    <row r="753" spans="1:2">
      <c r="A753" s="1127"/>
      <c r="B753" s="1127"/>
    </row>
    <row r="754" spans="1:2">
      <c r="A754" s="1127"/>
      <c r="B754" s="1127"/>
    </row>
    <row r="755" spans="1:2">
      <c r="A755" s="1127"/>
      <c r="B755" s="1127"/>
    </row>
    <row r="756" spans="1:2">
      <c r="A756" s="1126"/>
      <c r="B756" s="1127"/>
    </row>
    <row r="757" spans="1:2">
      <c r="A757" s="1127"/>
      <c r="B757" s="1127"/>
    </row>
    <row r="758" spans="1:2">
      <c r="A758" s="1127"/>
      <c r="B758" s="1127"/>
    </row>
    <row r="759" spans="1:2">
      <c r="A759" s="1127"/>
      <c r="B759" s="1127"/>
    </row>
    <row r="760" spans="1:2">
      <c r="A760" s="1127"/>
      <c r="B760" s="1127"/>
    </row>
    <row r="761" spans="1:2">
      <c r="A761" s="1127"/>
      <c r="B761" s="1127"/>
    </row>
    <row r="762" spans="1:2">
      <c r="A762" s="1127"/>
      <c r="B762" s="1127"/>
    </row>
    <row r="763" spans="1:2">
      <c r="A763" s="1127"/>
      <c r="B763" s="1127"/>
    </row>
    <row r="764" spans="1:2">
      <c r="A764" s="1127"/>
      <c r="B764" s="1127"/>
    </row>
    <row r="765" spans="1:2">
      <c r="A765" s="1127"/>
      <c r="B765" s="1127"/>
    </row>
    <row r="766" spans="1:2">
      <c r="A766" s="1127"/>
      <c r="B766" s="1127"/>
    </row>
    <row r="767" spans="1:2">
      <c r="A767" s="1127"/>
      <c r="B767" s="1127"/>
    </row>
    <row r="768" spans="1:2">
      <c r="A768" s="1126"/>
      <c r="B768" s="1127"/>
    </row>
    <row r="769" spans="1:2">
      <c r="A769" s="1127"/>
      <c r="B769" s="1127"/>
    </row>
    <row r="770" spans="1:2">
      <c r="A770" s="1127"/>
      <c r="B770" s="1127"/>
    </row>
    <row r="771" spans="1:2">
      <c r="A771" s="1127"/>
      <c r="B771" s="1127"/>
    </row>
    <row r="772" spans="1:2">
      <c r="A772" s="1127"/>
      <c r="B772" s="1127"/>
    </row>
    <row r="773" spans="1:2">
      <c r="A773" s="1127"/>
      <c r="B773" s="1127"/>
    </row>
    <row r="774" spans="1:2">
      <c r="A774" s="1126"/>
      <c r="B774" s="1127"/>
    </row>
    <row r="775" spans="1:2">
      <c r="A775" s="1127"/>
      <c r="B775" s="1127"/>
    </row>
    <row r="776" spans="1:2">
      <c r="A776" s="1127"/>
      <c r="B776" s="1127"/>
    </row>
    <row r="777" spans="1:2">
      <c r="A777" s="1127"/>
      <c r="B777" s="1127"/>
    </row>
    <row r="778" spans="1:2">
      <c r="A778" s="1127"/>
      <c r="B778" s="1127"/>
    </row>
    <row r="779" spans="1:2">
      <c r="A779" s="1127"/>
      <c r="B779" s="1127"/>
    </row>
    <row r="780" spans="1:2">
      <c r="A780" s="1127"/>
      <c r="B780" s="1127"/>
    </row>
    <row r="781" spans="1:2">
      <c r="A781" s="1127"/>
      <c r="B781" s="1127"/>
    </row>
    <row r="782" spans="1:2">
      <c r="A782" s="1127"/>
      <c r="B782" s="1127"/>
    </row>
    <row r="783" spans="1:2">
      <c r="A783" s="1127"/>
      <c r="B783" s="1127"/>
    </row>
    <row r="784" spans="1:2">
      <c r="A784" s="1127"/>
      <c r="B784" s="1127"/>
    </row>
    <row r="785" spans="1:2">
      <c r="A785" s="1127"/>
      <c r="B785" s="1127"/>
    </row>
    <row r="786" spans="1:2">
      <c r="A786" s="1126"/>
      <c r="B786" s="1127"/>
    </row>
    <row r="787" spans="1:2">
      <c r="A787" s="1127"/>
      <c r="B787" s="1127"/>
    </row>
    <row r="788" spans="1:2">
      <c r="A788" s="1127"/>
      <c r="B788" s="1127"/>
    </row>
    <row r="789" spans="1:2">
      <c r="A789" s="1127"/>
      <c r="B789" s="1127"/>
    </row>
    <row r="790" spans="1:2">
      <c r="A790" s="1126"/>
      <c r="B790" s="1127"/>
    </row>
    <row r="791" spans="1:2">
      <c r="A791" s="1126"/>
      <c r="B791" s="1127"/>
    </row>
    <row r="792" spans="1:2">
      <c r="A792" s="1127"/>
      <c r="B792" s="1127"/>
    </row>
    <row r="793" spans="1:2">
      <c r="A793" s="1127"/>
      <c r="B793" s="1127"/>
    </row>
    <row r="794" spans="1:2">
      <c r="A794" s="1127"/>
      <c r="B794" s="1127"/>
    </row>
    <row r="795" spans="1:2">
      <c r="A795" s="1127"/>
      <c r="B795" s="1127"/>
    </row>
    <row r="796" spans="1:2">
      <c r="A796" s="1127"/>
      <c r="B796" s="1127"/>
    </row>
    <row r="797" spans="1:2">
      <c r="A797" s="1126"/>
      <c r="B797" s="1127"/>
    </row>
    <row r="798" spans="1:2">
      <c r="A798" s="1127"/>
      <c r="B798" s="1127"/>
    </row>
    <row r="799" spans="1:2">
      <c r="A799" s="1127"/>
      <c r="B799" s="1127"/>
    </row>
    <row r="800" spans="1:2">
      <c r="A800" s="1127"/>
      <c r="B800" s="1127"/>
    </row>
    <row r="801" spans="1:2">
      <c r="A801" s="1127"/>
      <c r="B801" s="1127"/>
    </row>
    <row r="802" spans="1:2">
      <c r="A802" s="1127"/>
      <c r="B802" s="1127"/>
    </row>
    <row r="803" spans="1:2">
      <c r="A803" s="1127"/>
      <c r="B803" s="1127"/>
    </row>
    <row r="804" spans="1:2">
      <c r="A804" s="1126"/>
      <c r="B804" s="1127"/>
    </row>
    <row r="805" spans="1:2">
      <c r="A805" s="1127"/>
      <c r="B805" s="1127"/>
    </row>
    <row r="806" spans="1:2">
      <c r="A806" s="1127"/>
      <c r="B806" s="1127"/>
    </row>
    <row r="807" spans="1:2">
      <c r="A807" s="1127"/>
      <c r="B807" s="1127"/>
    </row>
    <row r="808" spans="1:2">
      <c r="A808" s="1127"/>
      <c r="B808" s="1127"/>
    </row>
    <row r="809" spans="1:2">
      <c r="A809" s="1127"/>
      <c r="B809" s="1127"/>
    </row>
    <row r="810" spans="1:2">
      <c r="A810" s="1127"/>
      <c r="B810" s="1127"/>
    </row>
    <row r="811" spans="1:2">
      <c r="A811" s="1126"/>
      <c r="B811" s="1127"/>
    </row>
    <row r="812" spans="1:2">
      <c r="A812" s="1127"/>
      <c r="B812" s="1127"/>
    </row>
    <row r="813" spans="1:2">
      <c r="A813" s="1127"/>
      <c r="B813" s="1127"/>
    </row>
    <row r="814" spans="1:2">
      <c r="A814" s="1127"/>
      <c r="B814" s="1127"/>
    </row>
    <row r="815" spans="1:2">
      <c r="A815" s="1127"/>
      <c r="B815" s="1127"/>
    </row>
    <row r="816" spans="1:2">
      <c r="A816" s="1127"/>
      <c r="B816" s="1127"/>
    </row>
    <row r="817" spans="1:2">
      <c r="A817" s="1126"/>
      <c r="B817" s="1127"/>
    </row>
    <row r="818" spans="1:2">
      <c r="A818" s="1127"/>
      <c r="B818" s="1127"/>
    </row>
    <row r="819" spans="1:2">
      <c r="A819" s="1127"/>
      <c r="B819" s="1127"/>
    </row>
    <row r="820" spans="1:2">
      <c r="A820" s="1127"/>
      <c r="B820" s="1127"/>
    </row>
    <row r="821" spans="1:2">
      <c r="A821" s="1127"/>
      <c r="B821" s="1127"/>
    </row>
    <row r="822" spans="1:2">
      <c r="A822" s="1127"/>
      <c r="B822" s="1127"/>
    </row>
    <row r="823" spans="1:2">
      <c r="A823" s="1127"/>
      <c r="B823" s="1127"/>
    </row>
    <row r="824" spans="1:2">
      <c r="A824" s="1126"/>
      <c r="B824" s="1127"/>
    </row>
    <row r="825" spans="1:2">
      <c r="A825" s="1127"/>
      <c r="B825" s="1127"/>
    </row>
    <row r="826" spans="1:2">
      <c r="A826" s="1127"/>
      <c r="B826" s="1127"/>
    </row>
    <row r="827" spans="1:2">
      <c r="A827" s="1127"/>
      <c r="B827" s="1127"/>
    </row>
    <row r="828" spans="1:2">
      <c r="A828" s="1127"/>
      <c r="B828" s="1127"/>
    </row>
    <row r="829" spans="1:2">
      <c r="A829" s="1127"/>
      <c r="B829" s="1127"/>
    </row>
    <row r="830" spans="1:2">
      <c r="A830" s="1127"/>
      <c r="B830" s="1127"/>
    </row>
    <row r="831" spans="1:2">
      <c r="A831" s="1126"/>
      <c r="B831" s="1127"/>
    </row>
    <row r="832" spans="1:2">
      <c r="A832" s="1127"/>
      <c r="B832" s="1127"/>
    </row>
    <row r="833" spans="1:2">
      <c r="A833" s="1127"/>
      <c r="B833" s="1127"/>
    </row>
    <row r="834" spans="1:2">
      <c r="A834" s="1127"/>
      <c r="B834" s="1127"/>
    </row>
    <row r="835" spans="1:2">
      <c r="A835" s="1126"/>
      <c r="B835" s="1127"/>
    </row>
    <row r="836" spans="1:2">
      <c r="A836" s="1127"/>
      <c r="B836" s="1127"/>
    </row>
    <row r="837" spans="1:2">
      <c r="A837" s="1126"/>
      <c r="B837" s="1127"/>
    </row>
    <row r="838" spans="1:2">
      <c r="A838" s="1127"/>
      <c r="B838" s="1127"/>
    </row>
    <row r="839" spans="1:2">
      <c r="A839" s="1127"/>
      <c r="B839" s="1127"/>
    </row>
    <row r="840" spans="1:2">
      <c r="A840" s="1127"/>
      <c r="B840" s="1127"/>
    </row>
    <row r="841" spans="1:2">
      <c r="A841" s="1127"/>
      <c r="B841" s="1127"/>
    </row>
    <row r="842" spans="1:2">
      <c r="A842" s="1127"/>
      <c r="B842" s="1127"/>
    </row>
    <row r="843" spans="1:2">
      <c r="A843" s="1126"/>
      <c r="B843" s="1127"/>
    </row>
    <row r="844" spans="1:2">
      <c r="A844" s="1127"/>
      <c r="B844" s="1127"/>
    </row>
    <row r="845" spans="1:2">
      <c r="A845" s="1127"/>
      <c r="B845" s="1127"/>
    </row>
    <row r="846" spans="1:2">
      <c r="A846" s="1127"/>
      <c r="B846" s="1127"/>
    </row>
    <row r="847" spans="1:2">
      <c r="A847" s="1127"/>
      <c r="B847" s="1127"/>
    </row>
    <row r="848" spans="1:2">
      <c r="A848" s="1127"/>
      <c r="B848" s="1127"/>
    </row>
    <row r="849" spans="1:2">
      <c r="A849" s="1127"/>
      <c r="B849" s="1127"/>
    </row>
    <row r="850" spans="1:2">
      <c r="A850" s="1127"/>
      <c r="B850" s="1127"/>
    </row>
    <row r="851" spans="1:2">
      <c r="A851" s="1127"/>
      <c r="B851" s="1127"/>
    </row>
    <row r="852" spans="1:2">
      <c r="A852" s="1127"/>
      <c r="B852" s="1127"/>
    </row>
    <row r="853" spans="1:2">
      <c r="A853" s="1127"/>
      <c r="B853" s="1127"/>
    </row>
    <row r="854" spans="1:2">
      <c r="A854" s="1126"/>
      <c r="B854" s="1127"/>
    </row>
    <row r="855" spans="1:2">
      <c r="A855" s="1127"/>
      <c r="B855" s="1127"/>
    </row>
    <row r="856" spans="1:2">
      <c r="A856" s="1127"/>
      <c r="B856" s="1127"/>
    </row>
    <row r="857" spans="1:2">
      <c r="A857" s="1127"/>
      <c r="B857" s="1127"/>
    </row>
    <row r="858" spans="1:2">
      <c r="A858" s="1127"/>
      <c r="B858" s="1127"/>
    </row>
    <row r="859" spans="1:2">
      <c r="A859" s="1127"/>
      <c r="B859" s="1127"/>
    </row>
    <row r="860" spans="1:2">
      <c r="A860" s="1127"/>
      <c r="B860" s="1127"/>
    </row>
    <row r="861" spans="1:2">
      <c r="A861" s="1127"/>
      <c r="B861" s="1127"/>
    </row>
    <row r="862" spans="1:2">
      <c r="A862" s="1126"/>
      <c r="B862" s="1127"/>
    </row>
    <row r="863" spans="1:2">
      <c r="A863" s="1127"/>
      <c r="B863" s="1127"/>
    </row>
    <row r="864" spans="1:2">
      <c r="A864" s="1127"/>
      <c r="B864" s="1127"/>
    </row>
    <row r="865" spans="1:2">
      <c r="A865" s="1127"/>
      <c r="B865" s="1127"/>
    </row>
    <row r="866" spans="1:2">
      <c r="A866" s="1127"/>
      <c r="B866" s="1127"/>
    </row>
    <row r="867" spans="1:2">
      <c r="A867" s="1127"/>
      <c r="B867" s="1127"/>
    </row>
    <row r="868" spans="1:2">
      <c r="A868" s="1127"/>
      <c r="B868" s="1127"/>
    </row>
    <row r="869" spans="1:2">
      <c r="A869" s="1127"/>
      <c r="B869" s="1127"/>
    </row>
    <row r="870" spans="1:2">
      <c r="A870" s="1127"/>
      <c r="B870" s="1127"/>
    </row>
    <row r="871" spans="1:2">
      <c r="A871" s="1127"/>
      <c r="B871" s="1127"/>
    </row>
    <row r="872" spans="1:2">
      <c r="A872" s="1127"/>
      <c r="B872" s="1127"/>
    </row>
    <row r="873" spans="1:2">
      <c r="A873" s="1127"/>
      <c r="B873" s="1127"/>
    </row>
    <row r="874" spans="1:2">
      <c r="A874" s="1126"/>
      <c r="B874" s="1127"/>
    </row>
    <row r="875" spans="1:2">
      <c r="A875" s="1127"/>
      <c r="B875" s="1127"/>
    </row>
    <row r="876" spans="1:2">
      <c r="A876" s="1127"/>
      <c r="B876" s="1127"/>
    </row>
    <row r="877" spans="1:2">
      <c r="A877" s="1127"/>
      <c r="B877" s="1127"/>
    </row>
    <row r="878" spans="1:2">
      <c r="A878" s="1127"/>
      <c r="B878" s="1127"/>
    </row>
    <row r="879" spans="1:2">
      <c r="A879" s="1127"/>
      <c r="B879" s="1127"/>
    </row>
    <row r="880" spans="1:2">
      <c r="A880" s="1127"/>
      <c r="B880" s="1127"/>
    </row>
    <row r="881" spans="1:2">
      <c r="A881" s="1127"/>
      <c r="B881" s="1127"/>
    </row>
    <row r="882" spans="1:2">
      <c r="A882" s="1126"/>
      <c r="B882" s="1127"/>
    </row>
    <row r="883" spans="1:2">
      <c r="A883" s="1127"/>
      <c r="B883" s="1127"/>
    </row>
    <row r="884" spans="1:2">
      <c r="A884" s="1127"/>
      <c r="B884" s="1127"/>
    </row>
    <row r="885" spans="1:2">
      <c r="A885" s="1127"/>
      <c r="B885" s="1127"/>
    </row>
    <row r="886" spans="1:2">
      <c r="A886" s="1127"/>
      <c r="B886" s="1127"/>
    </row>
    <row r="887" spans="1:2">
      <c r="A887" s="1127"/>
      <c r="B887" s="1127"/>
    </row>
    <row r="888" spans="1:2">
      <c r="A888" s="1127"/>
      <c r="B888" s="1127"/>
    </row>
    <row r="889" spans="1:2">
      <c r="A889" s="1127"/>
      <c r="B889" s="1127"/>
    </row>
    <row r="890" spans="1:2">
      <c r="A890" s="1127"/>
      <c r="B890" s="1127"/>
    </row>
    <row r="891" spans="1:2">
      <c r="A891" s="1127"/>
      <c r="B891" s="1127"/>
    </row>
    <row r="892" spans="1:2">
      <c r="A892" s="1126"/>
      <c r="B892" s="1127"/>
    </row>
    <row r="893" spans="1:2">
      <c r="A893" s="1127"/>
      <c r="B893" s="1127"/>
    </row>
    <row r="894" spans="1:2">
      <c r="A894" s="1127"/>
      <c r="B894" s="1127"/>
    </row>
    <row r="895" spans="1:2">
      <c r="A895" s="1127"/>
      <c r="B895" s="1127"/>
    </row>
    <row r="896" spans="1:2">
      <c r="A896" s="1127"/>
      <c r="B896" s="1127"/>
    </row>
    <row r="897" spans="1:2">
      <c r="A897" s="1126"/>
      <c r="B897" s="1127"/>
    </row>
    <row r="898" spans="1:2">
      <c r="A898" s="1127"/>
      <c r="B898" s="1127"/>
    </row>
    <row r="899" spans="1:2">
      <c r="A899" s="1126"/>
      <c r="B899" s="1127"/>
    </row>
    <row r="900" spans="1:2">
      <c r="A900" s="1127"/>
      <c r="B900" s="1127"/>
    </row>
    <row r="901" spans="1:2">
      <c r="A901" s="1126"/>
      <c r="B901" s="1127"/>
    </row>
    <row r="902" spans="1:2">
      <c r="A902" s="1127"/>
      <c r="B902" s="1127"/>
    </row>
    <row r="903" spans="1:2">
      <c r="A903" s="1127"/>
      <c r="B903" s="1127"/>
    </row>
    <row r="904" spans="1:2">
      <c r="A904" s="1127"/>
      <c r="B904" s="1127"/>
    </row>
    <row r="905" spans="1:2">
      <c r="A905" s="1126"/>
      <c r="B905" s="1127"/>
    </row>
    <row r="906" spans="1:2">
      <c r="A906" s="1127"/>
      <c r="B906" s="1127"/>
    </row>
    <row r="907" spans="1:2">
      <c r="A907" s="1127"/>
      <c r="B907" s="1127"/>
    </row>
    <row r="908" spans="1:2">
      <c r="A908" s="1127"/>
      <c r="B908" s="1127"/>
    </row>
    <row r="909" spans="1:2">
      <c r="A909" s="1126"/>
      <c r="B909" s="1127"/>
    </row>
    <row r="910" spans="1:2">
      <c r="A910" s="1127"/>
      <c r="B910" s="1127"/>
    </row>
    <row r="911" spans="1:2">
      <c r="A911" s="1126"/>
      <c r="B911" s="1127"/>
    </row>
    <row r="912" spans="1:2">
      <c r="A912" s="1127"/>
      <c r="B912" s="1127"/>
    </row>
    <row r="913" spans="1:2">
      <c r="A913" s="1127"/>
      <c r="B913" s="1127"/>
    </row>
    <row r="914" spans="1:2">
      <c r="A914" s="1127"/>
      <c r="B914" s="1127"/>
    </row>
    <row r="915" spans="1:2">
      <c r="A915" s="1127"/>
      <c r="B915" s="1127"/>
    </row>
    <row r="916" spans="1:2">
      <c r="A916" s="1127"/>
      <c r="B916" s="1127"/>
    </row>
    <row r="917" spans="1:2">
      <c r="A917" s="1126"/>
      <c r="B917" s="1127"/>
    </row>
    <row r="918" spans="1:2">
      <c r="A918" s="1127"/>
      <c r="B918" s="1127"/>
    </row>
    <row r="919" spans="1:2">
      <c r="A919" s="1126"/>
      <c r="B919" s="1127"/>
    </row>
    <row r="920" spans="1:2">
      <c r="A920" s="1127"/>
      <c r="B920" s="1127"/>
    </row>
    <row r="921" spans="1:2">
      <c r="A921" s="1127"/>
      <c r="B921" s="1127"/>
    </row>
    <row r="922" spans="1:2">
      <c r="A922" s="1127"/>
      <c r="B922" s="1127"/>
    </row>
    <row r="923" spans="1:2">
      <c r="A923" s="1127"/>
      <c r="B923" s="1127"/>
    </row>
    <row r="924" spans="1:2">
      <c r="A924" s="1127"/>
      <c r="B924" s="1127"/>
    </row>
    <row r="925" spans="1:2">
      <c r="A925" s="1126"/>
      <c r="B925" s="1127"/>
    </row>
    <row r="926" spans="1:2">
      <c r="A926" s="1127"/>
      <c r="B926" s="1127"/>
    </row>
    <row r="927" spans="1:2">
      <c r="A927" s="1126"/>
      <c r="B927" s="1127"/>
    </row>
    <row r="928" spans="1:2">
      <c r="A928" s="1127"/>
      <c r="B928" s="1127"/>
    </row>
    <row r="929" spans="1:2">
      <c r="A929" s="1127"/>
      <c r="B929" s="1127"/>
    </row>
    <row r="930" spans="1:2">
      <c r="A930" s="1127"/>
      <c r="B930" s="1127"/>
    </row>
    <row r="931" spans="1:2">
      <c r="A931" s="1127"/>
      <c r="B931" s="1127"/>
    </row>
    <row r="932" spans="1:2">
      <c r="A932" s="1127"/>
      <c r="B932" s="1127"/>
    </row>
    <row r="933" spans="1:2">
      <c r="A933" s="1127"/>
      <c r="B933" s="1127"/>
    </row>
    <row r="934" spans="1:2">
      <c r="A934" s="1127"/>
      <c r="B934" s="1127"/>
    </row>
    <row r="935" spans="1:2">
      <c r="A935" s="1126"/>
      <c r="B935" s="1127"/>
    </row>
    <row r="936" spans="1:2">
      <c r="A936" s="1127"/>
      <c r="B936" s="1127"/>
    </row>
    <row r="937" spans="1:2">
      <c r="A937" s="1127"/>
      <c r="B937" s="1127"/>
    </row>
    <row r="938" spans="1:2">
      <c r="A938" s="1127"/>
      <c r="B938" s="1127"/>
    </row>
    <row r="939" spans="1:2">
      <c r="A939" s="1127"/>
      <c r="B939" s="1127"/>
    </row>
    <row r="940" spans="1:2">
      <c r="A940" s="1127"/>
      <c r="B940" s="1127"/>
    </row>
    <row r="941" spans="1:2">
      <c r="A941" s="1127"/>
      <c r="B941" s="1127"/>
    </row>
    <row r="942" spans="1:2">
      <c r="A942" s="1127"/>
      <c r="B942" s="1127"/>
    </row>
    <row r="943" spans="1:2">
      <c r="A943" s="1127"/>
      <c r="B943" s="1127"/>
    </row>
    <row r="944" spans="1:2">
      <c r="A944" s="1126"/>
      <c r="B944" s="1127"/>
    </row>
    <row r="945" spans="1:2">
      <c r="A945" s="1126"/>
      <c r="B945" s="1127"/>
    </row>
    <row r="946" spans="1:2">
      <c r="A946" s="1127"/>
      <c r="B946" s="1127"/>
    </row>
    <row r="947" spans="1:2">
      <c r="A947" s="1127"/>
      <c r="B947" s="1127"/>
    </row>
    <row r="948" spans="1:2">
      <c r="A948" s="1127"/>
      <c r="B948" s="1127"/>
    </row>
    <row r="949" spans="1:2">
      <c r="A949" s="1127"/>
      <c r="B949" s="1127"/>
    </row>
    <row r="950" spans="1:2">
      <c r="A950" s="1127"/>
      <c r="B950" s="1127"/>
    </row>
    <row r="951" spans="1:2">
      <c r="A951" s="1127"/>
      <c r="B951" s="1127"/>
    </row>
    <row r="952" spans="1:2">
      <c r="A952" s="1127"/>
      <c r="B952" s="1127"/>
    </row>
    <row r="953" spans="1:2">
      <c r="A953" s="1127"/>
      <c r="B953" s="1127"/>
    </row>
    <row r="954" spans="1:2">
      <c r="A954" s="1126"/>
      <c r="B954" s="1127"/>
    </row>
    <row r="955" spans="1:2">
      <c r="A955" s="1127"/>
      <c r="B955" s="1127"/>
    </row>
    <row r="956" spans="1:2">
      <c r="A956" s="1127"/>
      <c r="B956" s="1127"/>
    </row>
    <row r="957" spans="1:2">
      <c r="A957" s="1127"/>
      <c r="B957" s="1127"/>
    </row>
    <row r="958" spans="1:2">
      <c r="A958" s="1127"/>
      <c r="B958" s="1127"/>
    </row>
    <row r="959" spans="1:2">
      <c r="A959" s="1127"/>
      <c r="B959" s="1127"/>
    </row>
    <row r="960" spans="1:2">
      <c r="A960" s="1127"/>
      <c r="B960" s="1127"/>
    </row>
    <row r="961" spans="1:2">
      <c r="A961" s="1127"/>
      <c r="B961" s="1127"/>
    </row>
    <row r="962" spans="1:2">
      <c r="A962" s="1126"/>
      <c r="B962" s="1127"/>
    </row>
    <row r="963" spans="1:2">
      <c r="A963" s="1127"/>
      <c r="B963" s="1127"/>
    </row>
    <row r="964" spans="1:2">
      <c r="A964" s="1126"/>
      <c r="B964" s="1127"/>
    </row>
    <row r="965" spans="1:2">
      <c r="A965" s="1127"/>
      <c r="B965" s="1127"/>
    </row>
    <row r="966" spans="1:2">
      <c r="A966" s="1127"/>
      <c r="B966" s="1127"/>
    </row>
    <row r="967" spans="1:2">
      <c r="A967" s="1127"/>
      <c r="B967" s="1127"/>
    </row>
    <row r="968" spans="1:2">
      <c r="A968" s="1127"/>
      <c r="B968" s="1127"/>
    </row>
    <row r="969" spans="1:2">
      <c r="A969" s="1127"/>
      <c r="B969" s="1127"/>
    </row>
    <row r="970" spans="1:2">
      <c r="A970" s="1126"/>
      <c r="B970" s="1127"/>
    </row>
    <row r="971" spans="1:2">
      <c r="A971" s="1127"/>
      <c r="B971" s="1127"/>
    </row>
    <row r="972" spans="1:2">
      <c r="A972" s="1126"/>
      <c r="B972" s="1127"/>
    </row>
    <row r="973" spans="1:2">
      <c r="A973" s="1127"/>
      <c r="B973" s="1127"/>
    </row>
    <row r="974" spans="1:2">
      <c r="A974" s="1127"/>
      <c r="B974" s="1127"/>
    </row>
    <row r="975" spans="1:2">
      <c r="A975" s="1127"/>
      <c r="B975" s="1127"/>
    </row>
    <row r="976" spans="1:2">
      <c r="A976" s="1126"/>
      <c r="B976" s="1127"/>
    </row>
    <row r="977" spans="1:2">
      <c r="A977" s="1127"/>
      <c r="B977" s="1127"/>
    </row>
    <row r="978" spans="1:2">
      <c r="A978" s="1127"/>
      <c r="B978" s="1127"/>
    </row>
    <row r="979" spans="1:2">
      <c r="A979" s="1127"/>
      <c r="B979" s="1127"/>
    </row>
    <row r="980" spans="1:2">
      <c r="A980" s="1126"/>
      <c r="B980" s="1127"/>
    </row>
    <row r="981" spans="1:2">
      <c r="A981" s="1127"/>
      <c r="B981" s="1127"/>
    </row>
    <row r="982" spans="1:2">
      <c r="A982" s="1127"/>
      <c r="B982" s="1127"/>
    </row>
    <row r="983" spans="1:2">
      <c r="A983" s="1126"/>
      <c r="B983" s="1127"/>
    </row>
    <row r="984" spans="1:2">
      <c r="A984" s="1127"/>
      <c r="B984" s="1127"/>
    </row>
    <row r="985" spans="1:2">
      <c r="A985" s="1127"/>
      <c r="B985" s="1127"/>
    </row>
    <row r="986" spans="1:2">
      <c r="A986" s="1126"/>
      <c r="B986" s="1127"/>
    </row>
    <row r="987" spans="1:2">
      <c r="A987" s="1127"/>
      <c r="B987" s="1127"/>
    </row>
    <row r="988" spans="1:2">
      <c r="A988" s="1127"/>
      <c r="B988" s="1127"/>
    </row>
    <row r="989" spans="1:2">
      <c r="A989" s="1127"/>
      <c r="B989" s="1127"/>
    </row>
    <row r="990" spans="1:2">
      <c r="A990" s="1126"/>
      <c r="B990" s="1127"/>
    </row>
    <row r="991" spans="1:2">
      <c r="A991" s="1127"/>
      <c r="B991" s="1127"/>
    </row>
    <row r="992" spans="1:2">
      <c r="A992" s="1127"/>
      <c r="B992" s="1127"/>
    </row>
    <row r="993" spans="1:2">
      <c r="A993" s="1126"/>
      <c r="B993" s="1127"/>
    </row>
    <row r="994" spans="1:2">
      <c r="A994" s="1127"/>
      <c r="B994" s="1127"/>
    </row>
    <row r="995" spans="1:2">
      <c r="A995" s="1127"/>
      <c r="B995" s="1127"/>
    </row>
    <row r="996" spans="1:2">
      <c r="A996" s="1127"/>
      <c r="B996" s="1127"/>
    </row>
    <row r="997" spans="1:2">
      <c r="A997" s="1126"/>
      <c r="B997" s="1127"/>
    </row>
    <row r="998" spans="1:2">
      <c r="A998" s="1127"/>
      <c r="B998" s="1127"/>
    </row>
    <row r="999" spans="1:2">
      <c r="A999" s="1127"/>
      <c r="B999" s="1127"/>
    </row>
    <row r="1000" spans="1:2">
      <c r="A1000" s="1126"/>
      <c r="B1000" s="1127"/>
    </row>
    <row r="1001" spans="1:2">
      <c r="A1001" s="1127"/>
      <c r="B1001" s="1127"/>
    </row>
    <row r="1002" spans="1:2">
      <c r="A1002" s="1127"/>
      <c r="B1002" s="1127"/>
    </row>
    <row r="1003" spans="1:2">
      <c r="A1003" s="1127"/>
      <c r="B1003" s="1127"/>
    </row>
    <row r="1004" spans="1:2">
      <c r="A1004" s="1127"/>
      <c r="B1004" s="1127"/>
    </row>
    <row r="1005" spans="1:2">
      <c r="A1005" s="1126"/>
      <c r="B1005" s="1127"/>
    </row>
    <row r="1006" spans="1:2">
      <c r="A1006" s="1127"/>
      <c r="B1006" s="1127"/>
    </row>
    <row r="1007" spans="1:2">
      <c r="A1007" s="1126"/>
      <c r="B1007" s="1127"/>
    </row>
    <row r="1008" spans="1:2">
      <c r="A1008" s="1127"/>
      <c r="B1008" s="1127"/>
    </row>
    <row r="1009" spans="1:2">
      <c r="A1009" s="1127"/>
      <c r="B1009" s="1127"/>
    </row>
    <row r="1010" spans="1:2">
      <c r="A1010" s="1127"/>
      <c r="B1010" s="1127"/>
    </row>
    <row r="1011" spans="1:2">
      <c r="A1011" s="1126"/>
      <c r="B1011" s="1127"/>
    </row>
    <row r="1012" spans="1:2">
      <c r="A1012" s="1127"/>
      <c r="B1012" s="1127"/>
    </row>
    <row r="1013" spans="1:2">
      <c r="A1013" s="1127"/>
      <c r="B1013" s="1127"/>
    </row>
    <row r="1014" spans="1:2">
      <c r="A1014" s="1127"/>
      <c r="B1014" s="1127"/>
    </row>
    <row r="1015" spans="1:2">
      <c r="A1015" s="1126"/>
      <c r="B1015" s="1127"/>
    </row>
    <row r="1016" spans="1:2">
      <c r="A1016" s="1127"/>
      <c r="B1016" s="1127"/>
    </row>
    <row r="1017" spans="1:2">
      <c r="A1017" s="1127"/>
      <c r="B1017" s="1127"/>
    </row>
    <row r="1018" spans="1:2">
      <c r="A1018" s="1127"/>
      <c r="B1018" s="1127"/>
    </row>
    <row r="1019" spans="1:2">
      <c r="A1019" s="1127"/>
      <c r="B1019" s="1127"/>
    </row>
    <row r="1020" spans="1:2">
      <c r="A1020" s="1126"/>
      <c r="B1020" s="1127"/>
    </row>
    <row r="1021" spans="1:2">
      <c r="A1021" s="1126"/>
      <c r="B1021" s="1127"/>
    </row>
    <row r="1022" spans="1:2">
      <c r="A1022" s="1127"/>
      <c r="B1022" s="1127"/>
    </row>
    <row r="1023" spans="1:2">
      <c r="A1023" s="1127"/>
      <c r="B1023" s="1127"/>
    </row>
    <row r="1024" spans="1:2">
      <c r="A1024" s="1127"/>
      <c r="B1024" s="1127"/>
    </row>
    <row r="1025" spans="1:2">
      <c r="A1025" s="1127"/>
      <c r="B1025" s="1127"/>
    </row>
    <row r="1026" spans="1:2">
      <c r="A1026" s="1127"/>
      <c r="B1026" s="1127"/>
    </row>
    <row r="1027" spans="1:2">
      <c r="A1027" s="1126"/>
      <c r="B1027" s="1127"/>
    </row>
    <row r="1028" spans="1:2">
      <c r="A1028" s="1127"/>
      <c r="B1028" s="1127"/>
    </row>
    <row r="1029" spans="1:2">
      <c r="A1029" s="1127"/>
      <c r="B1029" s="1127"/>
    </row>
    <row r="1030" spans="1:2">
      <c r="A1030" s="1126"/>
      <c r="B1030" s="1127"/>
    </row>
    <row r="1031" spans="1:2">
      <c r="A1031" s="1127"/>
      <c r="B1031" s="1127"/>
    </row>
    <row r="1032" spans="1:2">
      <c r="A1032" s="1127"/>
      <c r="B1032" s="1127"/>
    </row>
    <row r="1033" spans="1:2">
      <c r="A1033" s="1127"/>
      <c r="B1033" s="1127"/>
    </row>
    <row r="1034" spans="1:2">
      <c r="A1034" s="1126"/>
      <c r="B1034" s="1127"/>
    </row>
    <row r="1035" spans="1:2">
      <c r="A1035" s="1127"/>
      <c r="B1035" s="1127"/>
    </row>
    <row r="1036" spans="1:2">
      <c r="A1036" s="1127"/>
      <c r="B1036" s="1127"/>
    </row>
    <row r="1037" spans="1:2">
      <c r="A1037" s="1126"/>
      <c r="B1037" s="1127"/>
    </row>
    <row r="1038" spans="1:2">
      <c r="A1038" s="1127"/>
      <c r="B1038" s="1127"/>
    </row>
    <row r="1039" spans="1:2">
      <c r="A1039" s="1127"/>
      <c r="B1039" s="1127"/>
    </row>
    <row r="1040" spans="1:2">
      <c r="A1040" s="1127"/>
      <c r="B1040" s="1127"/>
    </row>
    <row r="1041" spans="1:2">
      <c r="A1041" s="1127"/>
      <c r="B1041" s="1127"/>
    </row>
    <row r="1042" spans="1:2">
      <c r="A1042" s="1126"/>
      <c r="B1042" s="1127"/>
    </row>
    <row r="1043" spans="1:2">
      <c r="A1043" s="1127"/>
      <c r="B1043" s="1127"/>
    </row>
    <row r="1044" spans="1:2">
      <c r="A1044" s="1126"/>
      <c r="B1044" s="1127"/>
    </row>
    <row r="1045" spans="1:2">
      <c r="A1045" s="1127"/>
      <c r="B1045" s="1127"/>
    </row>
    <row r="1046" spans="1:2">
      <c r="A1046" s="1127"/>
      <c r="B1046" s="1127"/>
    </row>
    <row r="1047" spans="1:2">
      <c r="A1047" s="1127"/>
      <c r="B1047" s="1127"/>
    </row>
    <row r="1048" spans="1:2">
      <c r="A1048" s="1127"/>
      <c r="B1048" s="1127"/>
    </row>
    <row r="1049" spans="1:2">
      <c r="A1049" s="1127"/>
      <c r="B1049" s="1127"/>
    </row>
    <row r="1050" spans="1:2">
      <c r="A1050" s="1127"/>
      <c r="B1050" s="1127"/>
    </row>
    <row r="1051" spans="1:2">
      <c r="A1051" s="1126"/>
      <c r="B1051" s="1127"/>
    </row>
    <row r="1052" spans="1:2">
      <c r="A1052" s="1126"/>
      <c r="B1052" s="1127"/>
    </row>
    <row r="1053" spans="1:2">
      <c r="A1053" s="1127"/>
      <c r="B1053" s="1127"/>
    </row>
    <row r="1054" spans="1:2">
      <c r="A1054" s="1127"/>
      <c r="B1054" s="1127"/>
    </row>
    <row r="1055" spans="1:2">
      <c r="A1055" s="1127"/>
      <c r="B1055" s="1127"/>
    </row>
    <row r="1056" spans="1:2">
      <c r="A1056" s="1127"/>
      <c r="B1056" s="1127"/>
    </row>
    <row r="1057" spans="1:2">
      <c r="A1057" s="1127"/>
      <c r="B1057" s="1127"/>
    </row>
    <row r="1058" spans="1:2">
      <c r="A1058" s="1127"/>
      <c r="B1058" s="1127"/>
    </row>
    <row r="1059" spans="1:2">
      <c r="A1059" s="1127"/>
      <c r="B1059" s="1127"/>
    </row>
    <row r="1060" spans="1:2">
      <c r="A1060" s="1127"/>
      <c r="B1060" s="1127"/>
    </row>
    <row r="1061" spans="1:2">
      <c r="A1061" s="1126"/>
      <c r="B1061" s="1127"/>
    </row>
    <row r="1062" spans="1:2">
      <c r="A1062" s="1127"/>
      <c r="B1062" s="1127"/>
    </row>
    <row r="1063" spans="1:2">
      <c r="A1063" s="1126"/>
      <c r="B1063" s="1127"/>
    </row>
    <row r="1064" spans="1:2">
      <c r="A1064" s="1127"/>
      <c r="B1064" s="1127"/>
    </row>
    <row r="1065" spans="1:2">
      <c r="A1065" s="1127"/>
      <c r="B1065" s="1127"/>
    </row>
    <row r="1066" spans="1:2">
      <c r="A1066" s="1127"/>
      <c r="B1066" s="1127"/>
    </row>
    <row r="1067" spans="1:2">
      <c r="A1067" s="1127"/>
      <c r="B1067" s="1127"/>
    </row>
    <row r="1068" spans="1:2">
      <c r="A1068" s="1127"/>
      <c r="B1068" s="1127"/>
    </row>
    <row r="1069" spans="1:2">
      <c r="A1069" s="1127"/>
      <c r="B1069" s="1127"/>
    </row>
    <row r="1070" spans="1:2">
      <c r="A1070" s="1127"/>
      <c r="B1070" s="1127"/>
    </row>
    <row r="1071" spans="1:2">
      <c r="A1071" s="1127"/>
      <c r="B1071" s="1127"/>
    </row>
    <row r="1072" spans="1:2">
      <c r="A1072" s="1127"/>
      <c r="B1072" s="1127"/>
    </row>
    <row r="1073" spans="1:2">
      <c r="A1073" s="1126"/>
      <c r="B1073" s="1127"/>
    </row>
    <row r="1074" spans="1:2">
      <c r="A1074" s="1127"/>
      <c r="B1074" s="1127"/>
    </row>
    <row r="1075" spans="1:2">
      <c r="A1075" s="1126"/>
      <c r="B1075" s="1127"/>
    </row>
    <row r="1076" spans="1:2">
      <c r="A1076" s="1127"/>
      <c r="B1076" s="1127"/>
    </row>
    <row r="1077" spans="1:2">
      <c r="A1077" s="1127"/>
      <c r="B1077" s="1127"/>
    </row>
    <row r="1078" spans="1:2">
      <c r="A1078" s="1127"/>
      <c r="B1078" s="1127"/>
    </row>
    <row r="1079" spans="1:2">
      <c r="A1079" s="1126"/>
      <c r="B1079" s="1127"/>
    </row>
    <row r="1080" spans="1:2">
      <c r="A1080" s="1127"/>
      <c r="B1080" s="1127"/>
    </row>
    <row r="1081" spans="1:2">
      <c r="A1081" s="1127"/>
      <c r="B1081" s="1127"/>
    </row>
    <row r="1082" spans="1:2">
      <c r="A1082" s="1127"/>
      <c r="B1082" s="1127"/>
    </row>
    <row r="1083" spans="1:2">
      <c r="A1083" s="1127"/>
      <c r="B1083" s="1127"/>
    </row>
    <row r="1084" spans="1:2">
      <c r="A1084" s="1126"/>
      <c r="B1084" s="1127"/>
    </row>
    <row r="1085" spans="1:2">
      <c r="A1085" s="1127"/>
      <c r="B1085" s="1127"/>
    </row>
    <row r="1086" spans="1:2">
      <c r="A1086" s="1127"/>
      <c r="B1086" s="1127"/>
    </row>
    <row r="1087" spans="1:2">
      <c r="A1087" s="1127"/>
      <c r="B1087" s="1127"/>
    </row>
    <row r="1088" spans="1:2">
      <c r="A1088" s="1127"/>
      <c r="B1088" s="1127"/>
    </row>
    <row r="1089" spans="1:2">
      <c r="A1089" s="1127"/>
      <c r="B1089" s="1127"/>
    </row>
    <row r="1090" spans="1:2">
      <c r="A1090" s="1126"/>
      <c r="B1090" s="1127"/>
    </row>
    <row r="1091" spans="1:2">
      <c r="A1091" s="1127"/>
      <c r="B1091" s="1127"/>
    </row>
    <row r="1092" spans="1:2">
      <c r="A1092" s="1127"/>
      <c r="B1092" s="1127"/>
    </row>
    <row r="1093" spans="1:2">
      <c r="A1093" s="1127"/>
      <c r="B1093" s="1127"/>
    </row>
    <row r="1094" spans="1:2">
      <c r="A1094" s="1127"/>
      <c r="B1094" s="1127"/>
    </row>
    <row r="1095" spans="1:2">
      <c r="A1095" s="1126"/>
      <c r="B1095" s="1127"/>
    </row>
    <row r="1096" spans="1:2">
      <c r="A1096" s="1127"/>
      <c r="B1096" s="1127"/>
    </row>
    <row r="1097" spans="1:2">
      <c r="A1097" s="1127"/>
      <c r="B1097" s="1127"/>
    </row>
    <row r="1098" spans="1:2">
      <c r="A1098" s="1127"/>
      <c r="B1098" s="1127"/>
    </row>
    <row r="1099" spans="1:2">
      <c r="A1099" s="1127"/>
      <c r="B1099" s="1127"/>
    </row>
    <row r="1100" spans="1:2">
      <c r="A1100" s="1126"/>
      <c r="B1100" s="1127"/>
    </row>
    <row r="1101" spans="1:2">
      <c r="A1101" s="1127"/>
      <c r="B1101" s="1127"/>
    </row>
    <row r="1102" spans="1:2">
      <c r="A1102" s="1127"/>
      <c r="B1102" s="1127"/>
    </row>
    <row r="1103" spans="1:2">
      <c r="A1103" s="1127"/>
      <c r="B1103" s="1127"/>
    </row>
    <row r="1104" spans="1:2">
      <c r="A1104" s="1127"/>
      <c r="B1104" s="1127"/>
    </row>
    <row r="1105" spans="1:2">
      <c r="A1105" s="1126"/>
      <c r="B1105" s="1127"/>
    </row>
    <row r="1106" spans="1:2">
      <c r="A1106" s="1126"/>
      <c r="B1106" s="1127"/>
    </row>
    <row r="1107" spans="1:2">
      <c r="A1107" s="1127"/>
      <c r="B1107" s="1127"/>
    </row>
    <row r="1108" spans="1:2">
      <c r="A1108" s="1127"/>
      <c r="B1108" s="1127"/>
    </row>
    <row r="1109" spans="1:2">
      <c r="A1109" s="1126"/>
      <c r="B1109" s="1127"/>
    </row>
    <row r="1110" spans="1:2">
      <c r="A1110" s="1127"/>
      <c r="B1110" s="1127"/>
    </row>
    <row r="1111" spans="1:2">
      <c r="A1111" s="1127"/>
      <c r="B1111" s="1127"/>
    </row>
    <row r="1112" spans="1:2">
      <c r="A1112" s="1126"/>
      <c r="B1112" s="1127"/>
    </row>
    <row r="1113" spans="1:2">
      <c r="A1113" s="1127"/>
      <c r="B1113" s="1127"/>
    </row>
    <row r="1114" spans="1:2">
      <c r="A1114" s="1127"/>
      <c r="B1114" s="1127"/>
    </row>
    <row r="1115" spans="1:2">
      <c r="A1115" s="1127"/>
      <c r="B1115" s="1127"/>
    </row>
    <row r="1116" spans="1:2">
      <c r="A1116" s="1127"/>
      <c r="B1116" s="1127"/>
    </row>
    <row r="1117" spans="1:2">
      <c r="A1117" s="1127"/>
      <c r="B1117" s="1127"/>
    </row>
    <row r="1118" spans="1:2">
      <c r="A1118" s="1126"/>
      <c r="B1118" s="1127"/>
    </row>
    <row r="1119" spans="1:2">
      <c r="A1119" s="1127"/>
      <c r="B1119" s="1127"/>
    </row>
    <row r="1120" spans="1:2">
      <c r="A1120" s="1127"/>
      <c r="B1120" s="1127"/>
    </row>
    <row r="1121" spans="1:2">
      <c r="A1121" s="1127"/>
      <c r="B1121" s="1127"/>
    </row>
    <row r="1122" spans="1:2">
      <c r="A1122" s="1127"/>
      <c r="B1122" s="1127"/>
    </row>
    <row r="1123" spans="1:2">
      <c r="A1123" s="1127"/>
      <c r="B1123" s="1127"/>
    </row>
    <row r="1124" spans="1:2">
      <c r="A1124" s="1126"/>
      <c r="B1124" s="1127"/>
    </row>
    <row r="1125" spans="1:2">
      <c r="A1125" s="1127"/>
      <c r="B1125" s="1127"/>
    </row>
    <row r="1126" spans="1:2">
      <c r="A1126" s="1127"/>
      <c r="B1126" s="1127"/>
    </row>
    <row r="1127" spans="1:2">
      <c r="A1127" s="1127"/>
      <c r="B1127" s="1127"/>
    </row>
    <row r="1128" spans="1:2">
      <c r="A1128" s="1127"/>
      <c r="B1128" s="1127"/>
    </row>
    <row r="1129" spans="1:2">
      <c r="A1129" s="1126"/>
      <c r="B1129" s="1127"/>
    </row>
    <row r="1130" spans="1:2">
      <c r="A1130" s="1127"/>
      <c r="B1130" s="1127"/>
    </row>
    <row r="1131" spans="1:2">
      <c r="A1131" s="1127"/>
      <c r="B1131" s="1127"/>
    </row>
    <row r="1132" spans="1:2">
      <c r="A1132" s="1127"/>
      <c r="B1132" s="1127"/>
    </row>
    <row r="1133" spans="1:2">
      <c r="A1133" s="1126"/>
      <c r="B1133" s="1127"/>
    </row>
    <row r="1134" spans="1:2">
      <c r="A1134" s="1127"/>
      <c r="B1134" s="1127"/>
    </row>
    <row r="1135" spans="1:2">
      <c r="A1135" s="1127"/>
      <c r="B1135" s="1127"/>
    </row>
    <row r="1136" spans="1:2">
      <c r="A1136" s="1127"/>
      <c r="B1136" s="1127"/>
    </row>
    <row r="1137" spans="1:2">
      <c r="A1137" s="1126"/>
      <c r="B1137" s="1127"/>
    </row>
    <row r="1138" spans="1:2">
      <c r="A1138" s="1127"/>
      <c r="B1138" s="1127"/>
    </row>
    <row r="1139" spans="1:2">
      <c r="A1139" s="1127"/>
      <c r="B1139" s="1127"/>
    </row>
    <row r="1140" spans="1:2">
      <c r="A1140" s="1127"/>
      <c r="B1140" s="1127"/>
    </row>
    <row r="1141" spans="1:2">
      <c r="A1141" s="1127"/>
      <c r="B1141" s="1127"/>
    </row>
    <row r="1142" spans="1:2">
      <c r="A1142" s="1127"/>
      <c r="B1142" s="1127"/>
    </row>
    <row r="1143" spans="1:2">
      <c r="A1143" s="1127"/>
      <c r="B1143" s="1127"/>
    </row>
    <row r="1144" spans="1:2">
      <c r="A1144" s="1126"/>
      <c r="B1144" s="1127"/>
    </row>
    <row r="1145" spans="1:2">
      <c r="A1145" s="1127"/>
      <c r="B1145" s="1127"/>
    </row>
    <row r="1146" spans="1:2">
      <c r="A1146" s="1127"/>
      <c r="B1146" s="1127"/>
    </row>
    <row r="1147" spans="1:2">
      <c r="A1147" s="1127"/>
      <c r="B1147" s="1127"/>
    </row>
    <row r="1148" spans="1:2">
      <c r="A1148" s="1127"/>
      <c r="B1148" s="1127"/>
    </row>
    <row r="1149" spans="1:2">
      <c r="A1149" s="1127"/>
      <c r="B1149" s="1127"/>
    </row>
    <row r="1150" spans="1:2">
      <c r="A1150" s="1127"/>
      <c r="B1150" s="1127"/>
    </row>
    <row r="1151" spans="1:2">
      <c r="A1151" s="1127"/>
      <c r="B1151" s="1127"/>
    </row>
    <row r="1152" spans="1:2">
      <c r="A1152" s="1126"/>
      <c r="B1152" s="1127"/>
    </row>
    <row r="1153" spans="1:2">
      <c r="A1153" s="1127"/>
      <c r="B1153" s="1127"/>
    </row>
    <row r="1154" spans="1:2">
      <c r="A1154" s="1127"/>
      <c r="B1154" s="1127"/>
    </row>
    <row r="1155" spans="1:2">
      <c r="A1155" s="1127"/>
      <c r="B1155" s="1127"/>
    </row>
    <row r="1156" spans="1:2">
      <c r="A1156" s="1127"/>
      <c r="B1156" s="1127"/>
    </row>
    <row r="1157" spans="1:2">
      <c r="A1157" s="1126"/>
      <c r="B1157" s="1127"/>
    </row>
    <row r="1158" spans="1:2">
      <c r="A1158" s="1127"/>
      <c r="B1158" s="1127"/>
    </row>
    <row r="1159" spans="1:2">
      <c r="A1159" s="1126"/>
      <c r="B1159" s="1127"/>
    </row>
    <row r="1160" spans="1:2">
      <c r="A1160" s="1127"/>
      <c r="B1160" s="1127"/>
    </row>
    <row r="1161" spans="1:2">
      <c r="A1161" s="1126"/>
      <c r="B1161" s="1127"/>
    </row>
    <row r="1162" spans="1:2">
      <c r="A1162" s="1127"/>
      <c r="B1162" s="1127"/>
    </row>
    <row r="1163" spans="1:2">
      <c r="A1163" s="1127"/>
      <c r="B1163" s="1127"/>
    </row>
    <row r="1164" spans="1:2">
      <c r="A1164" s="1127"/>
      <c r="B1164" s="1127"/>
    </row>
    <row r="1165" spans="1:2">
      <c r="A1165" s="1127"/>
      <c r="B1165" s="1127"/>
    </row>
    <row r="1166" spans="1:2">
      <c r="A1166" s="1126"/>
      <c r="B1166" s="1127"/>
    </row>
    <row r="1167" spans="1:2">
      <c r="A1167" s="1127"/>
      <c r="B1167" s="1127"/>
    </row>
    <row r="1168" spans="1:2">
      <c r="A1168" s="1127"/>
      <c r="B1168" s="1127"/>
    </row>
    <row r="1169" spans="1:2">
      <c r="A1169" s="1127"/>
      <c r="B1169" s="1127"/>
    </row>
    <row r="1170" spans="1:2">
      <c r="A1170" s="1127"/>
      <c r="B1170" s="1127"/>
    </row>
    <row r="1171" spans="1:2">
      <c r="A1171" s="1127"/>
      <c r="B1171" s="1127"/>
    </row>
    <row r="1172" spans="1:2">
      <c r="A1172" s="1126"/>
      <c r="B1172" s="1127"/>
    </row>
    <row r="1173" spans="1:2">
      <c r="A1173" s="1127"/>
      <c r="B1173" s="1127"/>
    </row>
    <row r="1174" spans="1:2">
      <c r="A1174" s="1127"/>
      <c r="B1174" s="1127"/>
    </row>
    <row r="1175" spans="1:2">
      <c r="A1175" s="1127"/>
      <c r="B1175" s="1127"/>
    </row>
    <row r="1176" spans="1:2">
      <c r="A1176" s="1127"/>
      <c r="B1176" s="1127"/>
    </row>
    <row r="1177" spans="1:2">
      <c r="A1177" s="1127"/>
      <c r="B1177" s="1127"/>
    </row>
    <row r="1178" spans="1:2">
      <c r="A1178" s="1126"/>
      <c r="B1178" s="1127"/>
    </row>
    <row r="1179" spans="1:2">
      <c r="A1179" s="1127"/>
      <c r="B1179" s="1127"/>
    </row>
    <row r="1180" spans="1:2">
      <c r="A1180" s="1127"/>
      <c r="B1180" s="1127"/>
    </row>
    <row r="1181" spans="1:2">
      <c r="A1181" s="1127"/>
      <c r="B1181" s="1127"/>
    </row>
    <row r="1182" spans="1:2">
      <c r="A1182" s="1127"/>
      <c r="B1182" s="1127"/>
    </row>
    <row r="1183" spans="1:2">
      <c r="A1183" s="1127"/>
      <c r="B1183" s="1127"/>
    </row>
    <row r="1184" spans="1:2">
      <c r="A1184" s="1127"/>
      <c r="B1184" s="1127"/>
    </row>
    <row r="1185" spans="1:2">
      <c r="A1185" s="951"/>
      <c r="B1185" s="951"/>
    </row>
    <row r="1186" spans="1:2">
      <c r="A1186" s="951"/>
      <c r="B1186" s="951"/>
    </row>
    <row r="1187" spans="1:2">
      <c r="A1187" s="951"/>
      <c r="B1187" s="951"/>
    </row>
    <row r="1188" spans="1:2">
      <c r="A1188" s="951"/>
      <c r="B1188" s="951"/>
    </row>
    <row r="1189" spans="1:2">
      <c r="A1189" s="951"/>
      <c r="B1189" s="951"/>
    </row>
    <row r="1190" spans="1:2">
      <c r="A1190" s="951"/>
      <c r="B1190" s="951"/>
    </row>
    <row r="1191" spans="1:2">
      <c r="A1191" s="951"/>
      <c r="B1191" s="951"/>
    </row>
    <row r="1192" spans="1:2">
      <c r="A1192" s="951"/>
      <c r="B1192" s="951"/>
    </row>
    <row r="1193" spans="1:2">
      <c r="A1193" s="951"/>
      <c r="B1193" s="951"/>
    </row>
    <row r="1194" spans="1:2">
      <c r="A1194" s="951"/>
      <c r="B1194" s="951"/>
    </row>
    <row r="1195" spans="1:2">
      <c r="A1195" s="951"/>
      <c r="B1195" s="951"/>
    </row>
    <row r="1196" spans="1:2">
      <c r="A1196" s="951"/>
      <c r="B1196" s="951"/>
    </row>
    <row r="1197" spans="1:2">
      <c r="A1197" s="951"/>
      <c r="B1197" s="951"/>
    </row>
    <row r="1198" spans="1:2">
      <c r="A1198" s="951"/>
      <c r="B1198" s="951"/>
    </row>
    <row r="1199" spans="1:2">
      <c r="A1199" s="951"/>
      <c r="B1199" s="951"/>
    </row>
    <row r="1200" spans="1:2">
      <c r="A1200" s="951"/>
      <c r="B1200" s="951"/>
    </row>
    <row r="1201" spans="1:2">
      <c r="A1201" s="951"/>
      <c r="B1201" s="951"/>
    </row>
    <row r="1202" spans="1:2">
      <c r="A1202" s="951"/>
      <c r="B1202" s="951"/>
    </row>
    <row r="1203" spans="1:2">
      <c r="A1203" s="951"/>
      <c r="B1203" s="951"/>
    </row>
    <row r="1204" spans="1:2">
      <c r="A1204" s="951"/>
      <c r="B1204" s="951"/>
    </row>
    <row r="1205" spans="1:2">
      <c r="A1205" s="951"/>
      <c r="B1205" s="951"/>
    </row>
    <row r="1206" spans="1:2">
      <c r="A1206" s="951"/>
      <c r="B1206" s="951"/>
    </row>
    <row r="1207" spans="1:2">
      <c r="A1207" s="951"/>
      <c r="B1207" s="951"/>
    </row>
    <row r="1208" spans="1:2">
      <c r="A1208" s="951"/>
      <c r="B1208" s="951"/>
    </row>
    <row r="1209" spans="1:2">
      <c r="A1209" s="951"/>
      <c r="B1209" s="951"/>
    </row>
    <row r="1210" spans="1:2">
      <c r="A1210" s="951"/>
      <c r="B1210" s="951"/>
    </row>
    <row r="1211" spans="1:2">
      <c r="A1211" s="951"/>
      <c r="B1211" s="951"/>
    </row>
    <row r="1212" spans="1:2">
      <c r="A1212" s="951"/>
      <c r="B1212" s="951"/>
    </row>
    <row r="1213" spans="1:2">
      <c r="A1213" s="951"/>
      <c r="B1213" s="951"/>
    </row>
    <row r="1214" spans="1:2">
      <c r="A1214" s="951"/>
      <c r="B1214" s="951"/>
    </row>
    <row r="1215" spans="1:2">
      <c r="A1215" s="951"/>
      <c r="B1215" s="951"/>
    </row>
    <row r="1216" spans="1:2">
      <c r="A1216" s="951"/>
      <c r="B1216" s="951"/>
    </row>
    <row r="1217" spans="1:2">
      <c r="A1217" s="951"/>
      <c r="B1217" s="951"/>
    </row>
    <row r="1218" spans="1:2">
      <c r="A1218" s="951"/>
      <c r="B1218" s="951"/>
    </row>
    <row r="1219" spans="1:2">
      <c r="A1219" s="951"/>
      <c r="B1219" s="951"/>
    </row>
    <row r="1220" spans="1:2">
      <c r="A1220" s="951"/>
      <c r="B1220" s="951"/>
    </row>
    <row r="1221" spans="1:2">
      <c r="A1221" s="951"/>
      <c r="B1221" s="951"/>
    </row>
    <row r="1222" spans="1:2">
      <c r="A1222" s="951"/>
      <c r="B1222" s="951"/>
    </row>
    <row r="1223" spans="1:2">
      <c r="A1223" s="951"/>
      <c r="B1223" s="951"/>
    </row>
    <row r="1224" spans="1:2">
      <c r="A1224" s="951"/>
      <c r="B1224" s="951"/>
    </row>
    <row r="1225" spans="1:2">
      <c r="A1225" s="951"/>
      <c r="B1225" s="951"/>
    </row>
    <row r="1226" spans="1:2">
      <c r="A1226" s="951"/>
      <c r="B1226" s="951"/>
    </row>
    <row r="1227" spans="1:2">
      <c r="A1227" s="951"/>
      <c r="B1227" s="951"/>
    </row>
    <row r="1228" spans="1:2">
      <c r="A1228" s="951"/>
      <c r="B1228" s="951"/>
    </row>
    <row r="1229" spans="1:2">
      <c r="A1229" s="951"/>
      <c r="B1229" s="951"/>
    </row>
    <row r="1230" spans="1:2">
      <c r="A1230" s="951"/>
      <c r="B1230" s="951"/>
    </row>
    <row r="1231" spans="1:2">
      <c r="A1231" s="951"/>
      <c r="B1231" s="951"/>
    </row>
    <row r="1232" spans="1:2">
      <c r="A1232" s="951"/>
      <c r="B1232" s="951"/>
    </row>
    <row r="1233" spans="1:2">
      <c r="A1233" s="951"/>
      <c r="B1233" s="951"/>
    </row>
    <row r="1234" spans="1:2">
      <c r="A1234" s="951"/>
      <c r="B1234" s="951"/>
    </row>
    <row r="1235" spans="1:2">
      <c r="A1235" s="951"/>
      <c r="B1235" s="951"/>
    </row>
    <row r="1236" spans="1:2">
      <c r="A1236" s="951"/>
      <c r="B1236" s="951"/>
    </row>
    <row r="1237" spans="1:2">
      <c r="A1237" s="951"/>
      <c r="B1237" s="951"/>
    </row>
    <row r="1238" spans="1:2">
      <c r="A1238" s="951"/>
      <c r="B1238" s="951"/>
    </row>
    <row r="1239" spans="1:2">
      <c r="A1239" s="951"/>
      <c r="B1239" s="951"/>
    </row>
    <row r="1240" spans="1:2">
      <c r="A1240" s="951"/>
      <c r="B1240" s="951"/>
    </row>
    <row r="1241" spans="1:2">
      <c r="A1241" s="951"/>
      <c r="B1241" s="951"/>
    </row>
    <row r="1242" spans="1:2">
      <c r="A1242" s="951"/>
      <c r="B1242" s="951"/>
    </row>
    <row r="1243" spans="1:2">
      <c r="A1243" s="951"/>
      <c r="B1243" s="951"/>
    </row>
    <row r="1244" spans="1:2">
      <c r="A1244" s="951"/>
      <c r="B1244" s="951"/>
    </row>
    <row r="1245" spans="1:2">
      <c r="A1245" s="951"/>
      <c r="B1245" s="951"/>
    </row>
    <row r="1246" spans="1:2">
      <c r="A1246" s="951"/>
      <c r="B1246" s="951"/>
    </row>
    <row r="1247" spans="1:2">
      <c r="A1247" s="951"/>
      <c r="B1247" s="951"/>
    </row>
    <row r="1248" spans="1:2">
      <c r="A1248" s="951"/>
      <c r="B1248" s="951"/>
    </row>
    <row r="1249" spans="1:2">
      <c r="A1249" s="951"/>
      <c r="B1249" s="951"/>
    </row>
    <row r="1250" spans="1:2">
      <c r="A1250" s="951"/>
      <c r="B1250" s="951"/>
    </row>
    <row r="1251" spans="1:2">
      <c r="A1251" s="951"/>
      <c r="B1251" s="951"/>
    </row>
    <row r="1252" spans="1:2">
      <c r="A1252" s="951"/>
      <c r="B1252" s="951"/>
    </row>
    <row r="1253" spans="1:2">
      <c r="A1253" s="951"/>
      <c r="B1253" s="951"/>
    </row>
    <row r="1254" spans="1:2">
      <c r="A1254" s="951"/>
      <c r="B1254" s="951"/>
    </row>
    <row r="1255" spans="1:2">
      <c r="A1255" s="951"/>
      <c r="B1255" s="951"/>
    </row>
    <row r="1256" spans="1:2">
      <c r="A1256" s="951"/>
      <c r="B1256" s="951"/>
    </row>
    <row r="1257" spans="1:2">
      <c r="A1257" s="951"/>
      <c r="B1257" s="951"/>
    </row>
    <row r="1258" spans="1:2">
      <c r="A1258" s="951"/>
      <c r="B1258" s="951"/>
    </row>
    <row r="1259" spans="1:2">
      <c r="A1259" s="951"/>
      <c r="B1259" s="951"/>
    </row>
    <row r="1260" spans="1:2">
      <c r="A1260" s="951"/>
      <c r="B1260" s="951"/>
    </row>
    <row r="1261" spans="1:2">
      <c r="A1261" s="951"/>
      <c r="B1261" s="951"/>
    </row>
    <row r="1262" spans="1:2">
      <c r="A1262" s="951"/>
      <c r="B1262" s="951"/>
    </row>
    <row r="1263" spans="1:2">
      <c r="A1263" s="951"/>
      <c r="B1263" s="951"/>
    </row>
    <row r="1264" spans="1:2">
      <c r="A1264" s="951"/>
      <c r="B1264" s="951"/>
    </row>
    <row r="1265" spans="1:2">
      <c r="A1265" s="951"/>
      <c r="B1265" s="951"/>
    </row>
    <row r="1266" spans="1:2">
      <c r="A1266" s="951"/>
      <c r="B1266" s="951"/>
    </row>
    <row r="1267" spans="1:2">
      <c r="A1267" s="951"/>
      <c r="B1267" s="951"/>
    </row>
    <row r="1268" spans="1:2">
      <c r="A1268" s="951"/>
      <c r="B1268" s="951"/>
    </row>
    <row r="1269" spans="1:2">
      <c r="A1269" s="951"/>
      <c r="B1269" s="951"/>
    </row>
    <row r="1270" spans="1:2">
      <c r="A1270" s="951"/>
      <c r="B1270" s="951"/>
    </row>
    <row r="1271" spans="1:2">
      <c r="A1271" s="951"/>
      <c r="B1271" s="951"/>
    </row>
    <row r="1272" spans="1:2">
      <c r="A1272" s="951"/>
      <c r="B1272" s="951"/>
    </row>
    <row r="1273" spans="1:2">
      <c r="A1273" s="951"/>
      <c r="B1273" s="951"/>
    </row>
    <row r="1274" spans="1:2">
      <c r="A1274" s="951"/>
      <c r="B1274" s="951"/>
    </row>
    <row r="1275" spans="1:2">
      <c r="A1275" s="951"/>
      <c r="B1275" s="951"/>
    </row>
    <row r="1276" spans="1:2">
      <c r="A1276" s="951"/>
      <c r="B1276" s="951"/>
    </row>
    <row r="1277" spans="1:2">
      <c r="A1277" s="951"/>
      <c r="B1277" s="951"/>
    </row>
    <row r="1278" spans="1:2">
      <c r="A1278" s="951"/>
      <c r="B1278" s="951"/>
    </row>
    <row r="1279" spans="1:2">
      <c r="A1279" s="951"/>
      <c r="B1279" s="951"/>
    </row>
    <row r="1280" spans="1:2">
      <c r="A1280" s="951"/>
      <c r="B1280" s="951"/>
    </row>
    <row r="1281" spans="1:2">
      <c r="A1281" s="951"/>
      <c r="B1281" s="951"/>
    </row>
    <row r="1282" spans="1:2">
      <c r="A1282" s="951"/>
      <c r="B1282" s="951"/>
    </row>
    <row r="1283" spans="1:2">
      <c r="A1283" s="951"/>
      <c r="B1283" s="951"/>
    </row>
    <row r="1284" spans="1:2">
      <c r="A1284" s="951"/>
      <c r="B1284" s="951"/>
    </row>
    <row r="1285" spans="1:2">
      <c r="A1285" s="951"/>
      <c r="B1285" s="951"/>
    </row>
    <row r="1286" spans="1:2">
      <c r="A1286" s="951"/>
      <c r="B1286" s="951"/>
    </row>
    <row r="1287" spans="1:2">
      <c r="A1287" s="951"/>
      <c r="B1287" s="951"/>
    </row>
    <row r="1288" spans="1:2">
      <c r="A1288" s="951"/>
      <c r="B1288" s="951"/>
    </row>
    <row r="1289" spans="1:2">
      <c r="A1289" s="951"/>
      <c r="B1289" s="951"/>
    </row>
    <row r="1290" spans="1:2">
      <c r="A1290" s="951"/>
      <c r="B1290" s="951"/>
    </row>
    <row r="1291" spans="1:2">
      <c r="A1291" s="951"/>
      <c r="B1291" s="951"/>
    </row>
    <row r="1292" spans="1:2">
      <c r="A1292" s="951"/>
      <c r="B1292" s="951"/>
    </row>
    <row r="1293" spans="1:2">
      <c r="A1293" s="951"/>
      <c r="B1293" s="951"/>
    </row>
    <row r="1294" spans="1:2">
      <c r="A1294" s="951"/>
      <c r="B1294" s="951"/>
    </row>
    <row r="1295" spans="1:2">
      <c r="A1295" s="951"/>
      <c r="B1295" s="951"/>
    </row>
    <row r="1296" spans="1:2">
      <c r="A1296" s="951"/>
      <c r="B1296" s="951"/>
    </row>
    <row r="1297" spans="1:2">
      <c r="A1297" s="951"/>
      <c r="B1297" s="951"/>
    </row>
    <row r="1298" spans="1:2">
      <c r="A1298" s="951"/>
      <c r="B1298" s="951"/>
    </row>
    <row r="1299" spans="1:2">
      <c r="A1299" s="951"/>
      <c r="B1299" s="951"/>
    </row>
    <row r="1300" spans="1:2">
      <c r="A1300" s="951"/>
      <c r="B1300" s="951"/>
    </row>
    <row r="1301" spans="1:2">
      <c r="A1301" s="951"/>
      <c r="B1301" s="951"/>
    </row>
    <row r="1302" spans="1:2">
      <c r="A1302" s="951"/>
      <c r="B1302" s="951"/>
    </row>
    <row r="1303" spans="1:2">
      <c r="A1303" s="951"/>
      <c r="B1303" s="951"/>
    </row>
    <row r="1304" spans="1:2">
      <c r="A1304" s="951"/>
      <c r="B1304" s="951"/>
    </row>
    <row r="1305" spans="1:2">
      <c r="A1305" s="951"/>
      <c r="B1305" s="951"/>
    </row>
    <row r="1306" spans="1:2">
      <c r="A1306" s="951"/>
      <c r="B1306" s="951"/>
    </row>
    <row r="1307" spans="1:2">
      <c r="A1307" s="951"/>
      <c r="B1307" s="951"/>
    </row>
    <row r="1308" spans="1:2">
      <c r="A1308" s="951"/>
      <c r="B1308" s="951"/>
    </row>
    <row r="1309" spans="1:2">
      <c r="A1309" s="951"/>
      <c r="B1309" s="951"/>
    </row>
    <row r="1310" spans="1:2">
      <c r="A1310" s="951"/>
      <c r="B1310" s="951"/>
    </row>
    <row r="1311" spans="1:2">
      <c r="A1311" s="951"/>
      <c r="B1311" s="951"/>
    </row>
    <row r="1312" spans="1:2">
      <c r="A1312" s="951"/>
      <c r="B1312" s="951"/>
    </row>
    <row r="1313" spans="1:2">
      <c r="A1313" s="951"/>
      <c r="B1313" s="951"/>
    </row>
    <row r="1314" spans="1:2">
      <c r="A1314" s="951"/>
      <c r="B1314" s="951"/>
    </row>
    <row r="1315" spans="1:2">
      <c r="A1315" s="951"/>
      <c r="B1315" s="951"/>
    </row>
    <row r="1316" spans="1:2">
      <c r="A1316" s="951"/>
      <c r="B1316" s="951"/>
    </row>
    <row r="1317" spans="1:2">
      <c r="A1317" s="951"/>
      <c r="B1317" s="951"/>
    </row>
    <row r="1318" spans="1:2">
      <c r="A1318" s="951"/>
      <c r="B1318" s="951"/>
    </row>
    <row r="1319" spans="1:2">
      <c r="A1319" s="951"/>
      <c r="B1319" s="951"/>
    </row>
    <row r="1320" spans="1:2">
      <c r="A1320" s="951"/>
      <c r="B1320" s="951"/>
    </row>
    <row r="1321" spans="1:2">
      <c r="A1321" s="951"/>
      <c r="B1321" s="951"/>
    </row>
    <row r="1322" spans="1:2">
      <c r="A1322" s="951"/>
      <c r="B1322" s="951"/>
    </row>
    <row r="1323" spans="1:2">
      <c r="A1323" s="951"/>
      <c r="B1323" s="951"/>
    </row>
    <row r="1324" spans="1:2">
      <c r="A1324" s="951"/>
      <c r="B1324" s="951"/>
    </row>
    <row r="1325" spans="1:2">
      <c r="A1325" s="951"/>
      <c r="B1325" s="951"/>
    </row>
    <row r="1326" spans="1:2">
      <c r="A1326" s="951"/>
      <c r="B1326" s="951"/>
    </row>
    <row r="1327" spans="1:2">
      <c r="A1327" s="951"/>
      <c r="B1327" s="951"/>
    </row>
    <row r="1328" spans="1:2">
      <c r="A1328" s="951"/>
      <c r="B1328" s="951"/>
    </row>
    <row r="1329" spans="1:2">
      <c r="A1329" s="951"/>
      <c r="B1329" s="951"/>
    </row>
    <row r="1330" spans="1:2">
      <c r="A1330" s="951"/>
      <c r="B1330" s="951"/>
    </row>
    <row r="1331" spans="1:2">
      <c r="A1331" s="951"/>
      <c r="B1331" s="951"/>
    </row>
    <row r="1332" spans="1:2">
      <c r="A1332" s="951"/>
      <c r="B1332" s="951"/>
    </row>
    <row r="1333" spans="1:2">
      <c r="A1333" s="951"/>
      <c r="B1333" s="951"/>
    </row>
    <row r="1334" spans="1:2">
      <c r="A1334" s="951"/>
      <c r="B1334" s="951"/>
    </row>
    <row r="1335" spans="1:2">
      <c r="A1335" s="951"/>
      <c r="B1335" s="951"/>
    </row>
    <row r="1336" spans="1:2">
      <c r="A1336" s="951"/>
      <c r="B1336" s="951"/>
    </row>
    <row r="1337" spans="1:2">
      <c r="A1337" s="951"/>
      <c r="B1337" s="951"/>
    </row>
    <row r="1338" spans="1:2">
      <c r="A1338" s="951"/>
      <c r="B1338" s="951"/>
    </row>
    <row r="1339" spans="1:2">
      <c r="A1339" s="951"/>
      <c r="B1339" s="951"/>
    </row>
    <row r="1340" spans="1:2">
      <c r="A1340" s="951"/>
      <c r="B1340" s="951"/>
    </row>
    <row r="1341" spans="1:2">
      <c r="A1341" s="951"/>
      <c r="B1341" s="951"/>
    </row>
    <row r="1342" spans="1:2">
      <c r="A1342" s="951"/>
      <c r="B1342" s="951"/>
    </row>
    <row r="1343" spans="1:2">
      <c r="A1343" s="951"/>
      <c r="B1343" s="951"/>
    </row>
    <row r="1344" spans="1:2">
      <c r="A1344" s="951"/>
      <c r="B1344" s="951"/>
    </row>
    <row r="1345" spans="1:2">
      <c r="A1345" s="951"/>
      <c r="B1345" s="951"/>
    </row>
    <row r="1346" spans="1:2">
      <c r="A1346" s="951"/>
      <c r="B1346" s="951"/>
    </row>
    <row r="1347" spans="1:2">
      <c r="A1347" s="951"/>
      <c r="B1347" s="951"/>
    </row>
    <row r="1348" spans="1:2">
      <c r="A1348" s="951"/>
      <c r="B1348" s="951"/>
    </row>
    <row r="1349" spans="1:2">
      <c r="A1349" s="951"/>
      <c r="B1349" s="951"/>
    </row>
    <row r="1350" spans="1:2">
      <c r="A1350" s="951"/>
      <c r="B1350" s="951"/>
    </row>
    <row r="1351" spans="1:2">
      <c r="A1351" s="951"/>
      <c r="B1351" s="951"/>
    </row>
    <row r="1352" spans="1:2">
      <c r="A1352" s="951"/>
      <c r="B1352" s="951"/>
    </row>
    <row r="1353" spans="1:2">
      <c r="A1353" s="951"/>
      <c r="B1353" s="951"/>
    </row>
    <row r="1354" spans="1:2">
      <c r="A1354" s="951"/>
      <c r="B1354" s="951"/>
    </row>
    <row r="1355" spans="1:2">
      <c r="A1355" s="951"/>
      <c r="B1355" s="951"/>
    </row>
    <row r="1356" spans="1:2">
      <c r="A1356" s="951"/>
      <c r="B1356" s="951"/>
    </row>
    <row r="1357" spans="1:2">
      <c r="A1357" s="951"/>
      <c r="B1357" s="951"/>
    </row>
    <row r="1358" spans="1:2">
      <c r="A1358" s="951"/>
      <c r="B1358" s="951"/>
    </row>
    <row r="1359" spans="1:2">
      <c r="A1359" s="951"/>
      <c r="B1359" s="951"/>
    </row>
    <row r="1360" spans="1:2">
      <c r="A1360" s="951"/>
      <c r="B1360" s="951"/>
    </row>
    <row r="1361" spans="1:2">
      <c r="A1361" s="951"/>
      <c r="B1361" s="951"/>
    </row>
    <row r="1362" spans="1:2">
      <c r="A1362" s="951"/>
      <c r="B1362" s="951"/>
    </row>
    <row r="1363" spans="1:2">
      <c r="A1363" s="951"/>
      <c r="B1363" s="951"/>
    </row>
    <row r="1364" spans="1:2">
      <c r="A1364" s="951"/>
      <c r="B1364" s="951"/>
    </row>
    <row r="1365" spans="1:2">
      <c r="A1365" s="951"/>
      <c r="B1365" s="951"/>
    </row>
    <row r="1366" spans="1:2">
      <c r="A1366" s="951"/>
      <c r="B1366" s="951"/>
    </row>
    <row r="1367" spans="1:2">
      <c r="A1367" s="951"/>
      <c r="B1367" s="951"/>
    </row>
    <row r="1368" spans="1:2">
      <c r="A1368" s="951"/>
      <c r="B1368" s="951"/>
    </row>
    <row r="1369" spans="1:2">
      <c r="A1369" s="951"/>
      <c r="B1369" s="951"/>
    </row>
    <row r="1370" spans="1:2">
      <c r="A1370" s="951"/>
      <c r="B1370" s="951"/>
    </row>
    <row r="1371" spans="1:2">
      <c r="A1371" s="951"/>
      <c r="B1371" s="951"/>
    </row>
    <row r="1372" spans="1:2">
      <c r="A1372" s="951"/>
      <c r="B1372" s="951"/>
    </row>
    <row r="1373" spans="1:2">
      <c r="A1373" s="951"/>
      <c r="B1373" s="951"/>
    </row>
    <row r="1374" spans="1:2">
      <c r="A1374" s="951"/>
      <c r="B1374" s="951"/>
    </row>
    <row r="1375" spans="1:2">
      <c r="A1375" s="951"/>
      <c r="B1375" s="951"/>
    </row>
    <row r="1376" spans="1:2">
      <c r="A1376" s="951"/>
      <c r="B1376" s="951"/>
    </row>
    <row r="1377" spans="1:2">
      <c r="A1377" s="951"/>
      <c r="B1377" s="951"/>
    </row>
    <row r="1378" spans="1:2">
      <c r="A1378" s="951"/>
      <c r="B1378" s="951"/>
    </row>
    <row r="1379" spans="1:2">
      <c r="A1379" s="951"/>
      <c r="B1379" s="951"/>
    </row>
    <row r="1380" spans="1:2">
      <c r="A1380" s="951"/>
      <c r="B1380" s="951"/>
    </row>
    <row r="1381" spans="1:2">
      <c r="A1381" s="951"/>
      <c r="B1381" s="951"/>
    </row>
    <row r="1382" spans="1:2">
      <c r="A1382" s="951"/>
      <c r="B1382" s="951"/>
    </row>
    <row r="1383" spans="1:2">
      <c r="A1383" s="951"/>
      <c r="B1383" s="951"/>
    </row>
    <row r="1384" spans="1:2">
      <c r="A1384" s="951"/>
      <c r="B1384" s="951"/>
    </row>
    <row r="1385" spans="1:2">
      <c r="A1385" s="951"/>
      <c r="B1385" s="951"/>
    </row>
    <row r="1386" spans="1:2">
      <c r="A1386" s="951"/>
      <c r="B1386" s="951"/>
    </row>
    <row r="1387" spans="1:2">
      <c r="A1387" s="951"/>
      <c r="B1387" s="951"/>
    </row>
    <row r="1388" spans="1:2">
      <c r="A1388" s="951"/>
      <c r="B1388" s="951"/>
    </row>
    <row r="1389" spans="1:2">
      <c r="A1389" s="951"/>
      <c r="B1389" s="951"/>
    </row>
    <row r="1390" spans="1:2">
      <c r="A1390" s="951"/>
      <c r="B1390" s="951"/>
    </row>
    <row r="1391" spans="1:2">
      <c r="A1391" s="951"/>
      <c r="B1391" s="951"/>
    </row>
    <row r="1392" spans="1:2">
      <c r="A1392" s="951"/>
      <c r="B1392" s="951"/>
    </row>
    <row r="1393" spans="1:2">
      <c r="A1393" s="951"/>
      <c r="B1393" s="951"/>
    </row>
    <row r="1394" spans="1:2">
      <c r="A1394" s="951"/>
      <c r="B1394" s="951"/>
    </row>
    <row r="1395" spans="1:2">
      <c r="A1395" s="951"/>
      <c r="B1395" s="951"/>
    </row>
    <row r="1396" spans="1:2">
      <c r="A1396" s="951"/>
      <c r="B1396" s="951"/>
    </row>
    <row r="1397" spans="1:2">
      <c r="A1397" s="951"/>
      <c r="B1397" s="951"/>
    </row>
    <row r="1398" spans="1:2">
      <c r="A1398" s="951"/>
      <c r="B1398" s="951"/>
    </row>
    <row r="1399" spans="1:2">
      <c r="A1399" s="951"/>
      <c r="B1399" s="951"/>
    </row>
    <row r="1400" spans="1:2">
      <c r="A1400" s="951"/>
      <c r="B1400" s="951"/>
    </row>
    <row r="1401" spans="1:2">
      <c r="A1401" s="951"/>
      <c r="B1401" s="951"/>
    </row>
    <row r="1402" spans="1:2">
      <c r="A1402" s="951"/>
      <c r="B1402" s="951"/>
    </row>
    <row r="1403" spans="1:2">
      <c r="A1403" s="951"/>
      <c r="B1403" s="951"/>
    </row>
    <row r="1404" spans="1:2">
      <c r="A1404" s="951"/>
      <c r="B1404" s="951"/>
    </row>
    <row r="1405" spans="1:2">
      <c r="A1405" s="951"/>
      <c r="B1405" s="951"/>
    </row>
    <row r="1406" spans="1:2">
      <c r="A1406" s="951"/>
      <c r="B1406" s="951"/>
    </row>
    <row r="1407" spans="1:2">
      <c r="A1407" s="951"/>
      <c r="B1407" s="951"/>
    </row>
    <row r="1408" spans="1:2">
      <c r="A1408" s="951"/>
      <c r="B1408" s="951"/>
    </row>
    <row r="1409" spans="1:2">
      <c r="A1409" s="951"/>
      <c r="B1409" s="951"/>
    </row>
    <row r="1410" spans="1:2">
      <c r="A1410" s="951"/>
      <c r="B1410" s="951"/>
    </row>
    <row r="1411" spans="1:2">
      <c r="A1411" s="951"/>
      <c r="B1411" s="951"/>
    </row>
    <row r="1412" spans="1:2">
      <c r="A1412" s="951"/>
      <c r="B1412" s="951"/>
    </row>
    <row r="1413" spans="1:2">
      <c r="A1413" s="951"/>
      <c r="B1413" s="951"/>
    </row>
    <row r="1414" spans="1:2">
      <c r="A1414" s="951"/>
      <c r="B1414" s="951"/>
    </row>
    <row r="1415" spans="1:2">
      <c r="A1415" s="951"/>
      <c r="B1415" s="951"/>
    </row>
    <row r="1416" spans="1:2">
      <c r="A1416" s="951"/>
      <c r="B1416" s="951"/>
    </row>
    <row r="1417" spans="1:2">
      <c r="A1417" s="951"/>
      <c r="B1417" s="951"/>
    </row>
    <row r="1418" spans="1:2">
      <c r="A1418" s="951"/>
      <c r="B1418" s="951"/>
    </row>
    <row r="1419" spans="1:2">
      <c r="A1419" s="951"/>
      <c r="B1419" s="951"/>
    </row>
    <row r="1420" spans="1:2">
      <c r="A1420" s="951"/>
      <c r="B1420" s="951"/>
    </row>
    <row r="1421" spans="1:2">
      <c r="A1421" s="951"/>
      <c r="B1421" s="951"/>
    </row>
    <row r="1422" spans="1:2">
      <c r="A1422" s="951"/>
      <c r="B1422" s="951"/>
    </row>
    <row r="1423" spans="1:2">
      <c r="A1423" s="951"/>
      <c r="B1423" s="951"/>
    </row>
    <row r="1424" spans="1:2">
      <c r="A1424" s="951"/>
      <c r="B1424" s="951"/>
    </row>
    <row r="1425" spans="1:2">
      <c r="A1425" s="951"/>
      <c r="B1425" s="951"/>
    </row>
    <row r="1426" spans="1:2">
      <c r="A1426" s="951"/>
      <c r="B1426" s="951"/>
    </row>
    <row r="1427" spans="1:2">
      <c r="A1427" s="951"/>
      <c r="B1427" s="951"/>
    </row>
    <row r="1428" spans="1:2">
      <c r="A1428" s="951"/>
      <c r="B1428" s="951"/>
    </row>
    <row r="1429" spans="1:2">
      <c r="A1429" s="951"/>
      <c r="B1429" s="951"/>
    </row>
    <row r="1430" spans="1:2">
      <c r="A1430" s="951"/>
      <c r="B1430" s="951"/>
    </row>
    <row r="1431" spans="1:2">
      <c r="A1431" s="951"/>
      <c r="B1431" s="951"/>
    </row>
    <row r="1432" spans="1:2">
      <c r="A1432" s="951"/>
      <c r="B1432" s="951"/>
    </row>
    <row r="1433" spans="1:2">
      <c r="A1433" s="951"/>
      <c r="B1433" s="951"/>
    </row>
    <row r="1434" spans="1:2">
      <c r="A1434" s="951"/>
      <c r="B1434" s="951"/>
    </row>
    <row r="1435" spans="1:2">
      <c r="A1435" s="951"/>
      <c r="B1435" s="951"/>
    </row>
    <row r="1436" spans="1:2">
      <c r="A1436" s="951"/>
      <c r="B1436" s="951"/>
    </row>
    <row r="1437" spans="1:2">
      <c r="A1437" s="951"/>
      <c r="B1437" s="951"/>
    </row>
    <row r="1438" spans="1:2">
      <c r="A1438" s="951"/>
      <c r="B1438" s="951"/>
    </row>
    <row r="1439" spans="1:2">
      <c r="A1439" s="951"/>
      <c r="B1439" s="951"/>
    </row>
    <row r="1440" spans="1:2">
      <c r="A1440" s="951"/>
      <c r="B1440" s="951"/>
    </row>
    <row r="1441" spans="1:2">
      <c r="A1441" s="951"/>
      <c r="B1441" s="951"/>
    </row>
    <row r="1442" spans="1:2">
      <c r="A1442" s="951"/>
      <c r="B1442" s="951"/>
    </row>
    <row r="1443" spans="1:2">
      <c r="A1443" s="951"/>
      <c r="B1443" s="951"/>
    </row>
    <row r="1444" spans="1:2">
      <c r="A1444" s="951"/>
      <c r="B1444" s="951"/>
    </row>
    <row r="1445" spans="1:2">
      <c r="A1445" s="951"/>
      <c r="B1445" s="951"/>
    </row>
    <row r="1446" spans="1:2">
      <c r="A1446" s="951"/>
      <c r="B1446" s="951"/>
    </row>
    <row r="1447" spans="1:2">
      <c r="A1447" s="951"/>
      <c r="B1447" s="951"/>
    </row>
    <row r="1448" spans="1:2">
      <c r="A1448" s="951"/>
      <c r="B1448" s="951"/>
    </row>
    <row r="1449" spans="1:2">
      <c r="A1449" s="951"/>
      <c r="B1449" s="951"/>
    </row>
    <row r="1450" spans="1:2">
      <c r="A1450" s="951"/>
      <c r="B1450" s="951"/>
    </row>
    <row r="1451" spans="1:2">
      <c r="A1451" s="951"/>
      <c r="B1451" s="951"/>
    </row>
    <row r="1452" spans="1:2">
      <c r="A1452" s="951"/>
      <c r="B1452" s="951"/>
    </row>
    <row r="1453" spans="1:2">
      <c r="A1453" s="951"/>
      <c r="B1453" s="951"/>
    </row>
    <row r="1454" spans="1:2">
      <c r="A1454" s="951"/>
      <c r="B1454" s="951"/>
    </row>
    <row r="1455" spans="1:2">
      <c r="A1455" s="951"/>
      <c r="B1455" s="951"/>
    </row>
    <row r="1456" spans="1:2">
      <c r="A1456" s="951"/>
      <c r="B1456" s="951"/>
    </row>
    <row r="1457" spans="1:2">
      <c r="A1457" s="951"/>
      <c r="B1457" s="951"/>
    </row>
    <row r="1458" spans="1:2">
      <c r="A1458" s="951"/>
      <c r="B1458" s="951"/>
    </row>
    <row r="1459" spans="1:2">
      <c r="A1459" s="951"/>
      <c r="B1459" s="951"/>
    </row>
    <row r="1460" spans="1:2">
      <c r="A1460" s="951"/>
      <c r="B1460" s="951"/>
    </row>
    <row r="1461" spans="1:2">
      <c r="A1461" s="951"/>
      <c r="B1461" s="951"/>
    </row>
    <row r="1462" spans="1:2">
      <c r="A1462" s="951"/>
      <c r="B1462" s="951"/>
    </row>
    <row r="1463" spans="1:2">
      <c r="A1463" s="951"/>
      <c r="B1463" s="951"/>
    </row>
    <row r="1464" spans="1:2">
      <c r="A1464" s="951"/>
      <c r="B1464" s="951"/>
    </row>
    <row r="1465" spans="1:2">
      <c r="A1465" s="951"/>
      <c r="B1465" s="951"/>
    </row>
    <row r="1466" spans="1:2">
      <c r="A1466" s="951"/>
      <c r="B1466" s="951"/>
    </row>
    <row r="1467" spans="1:2">
      <c r="A1467" s="951"/>
      <c r="B1467" s="951"/>
    </row>
    <row r="1468" spans="1:2">
      <c r="A1468" s="951"/>
      <c r="B1468" s="951"/>
    </row>
    <row r="1469" spans="1:2">
      <c r="A1469" s="951"/>
      <c r="B1469" s="951"/>
    </row>
    <row r="1470" spans="1:2">
      <c r="A1470" s="951"/>
      <c r="B1470" s="951"/>
    </row>
    <row r="1471" spans="1:2">
      <c r="A1471" s="951"/>
      <c r="B1471" s="951"/>
    </row>
    <row r="1472" spans="1:2">
      <c r="A1472" s="951"/>
      <c r="B1472" s="951"/>
    </row>
    <row r="1473" spans="1:2">
      <c r="A1473" s="951"/>
      <c r="B1473" s="951"/>
    </row>
    <row r="1474" spans="1:2">
      <c r="A1474" s="951"/>
      <c r="B1474" s="951"/>
    </row>
    <row r="1475" spans="1:2">
      <c r="A1475" s="951"/>
      <c r="B1475" s="951"/>
    </row>
    <row r="1476" spans="1:2">
      <c r="A1476" s="951"/>
      <c r="B1476" s="951"/>
    </row>
    <row r="1477" spans="1:2">
      <c r="A1477" s="951"/>
      <c r="B1477" s="951"/>
    </row>
    <row r="1478" spans="1:2">
      <c r="A1478" s="951"/>
      <c r="B1478" s="951"/>
    </row>
    <row r="1479" spans="1:2">
      <c r="A1479" s="951"/>
      <c r="B1479" s="951"/>
    </row>
    <row r="1480" spans="1:2">
      <c r="A1480" s="951"/>
      <c r="B1480" s="951"/>
    </row>
    <row r="1481" spans="1:2">
      <c r="A1481" s="951"/>
      <c r="B1481" s="951"/>
    </row>
    <row r="1482" spans="1:2">
      <c r="A1482" s="951"/>
      <c r="B1482" s="951"/>
    </row>
    <row r="1483" spans="1:2">
      <c r="A1483" s="951"/>
      <c r="B1483" s="951"/>
    </row>
    <row r="1484" spans="1:2">
      <c r="A1484" s="951"/>
      <c r="B1484" s="951"/>
    </row>
    <row r="1485" spans="1:2">
      <c r="A1485" s="951"/>
      <c r="B1485" s="951"/>
    </row>
    <row r="1486" spans="1:2">
      <c r="A1486" s="951"/>
      <c r="B1486" s="951"/>
    </row>
    <row r="1487" spans="1:2">
      <c r="A1487" s="951"/>
      <c r="B1487" s="951"/>
    </row>
    <row r="1488" spans="1:2">
      <c r="A1488" s="951"/>
      <c r="B1488" s="951"/>
    </row>
    <row r="1489" spans="1:2">
      <c r="A1489" s="951"/>
      <c r="B1489" s="951"/>
    </row>
    <row r="1490" spans="1:2">
      <c r="A1490" s="951"/>
      <c r="B1490" s="951"/>
    </row>
    <row r="1491" spans="1:2">
      <c r="A1491" s="951"/>
      <c r="B1491" s="951"/>
    </row>
    <row r="1492" spans="1:2">
      <c r="A1492" s="951"/>
      <c r="B1492" s="951"/>
    </row>
    <row r="1493" spans="1:2">
      <c r="A1493" s="951"/>
      <c r="B1493" s="951"/>
    </row>
    <row r="1494" spans="1:2">
      <c r="A1494" s="951"/>
      <c r="B1494" s="951"/>
    </row>
    <row r="1495" spans="1:2">
      <c r="A1495" s="951"/>
      <c r="B1495" s="951"/>
    </row>
    <row r="1496" spans="1:2">
      <c r="A1496" s="951"/>
      <c r="B1496" s="951"/>
    </row>
    <row r="1497" spans="1:2">
      <c r="A1497" s="951"/>
      <c r="B1497" s="951"/>
    </row>
    <row r="1498" spans="1:2">
      <c r="A1498" s="951"/>
      <c r="B1498" s="951"/>
    </row>
    <row r="1499" spans="1:2">
      <c r="A1499" s="951"/>
      <c r="B1499" s="951"/>
    </row>
    <row r="1500" spans="1:2">
      <c r="A1500" s="951"/>
      <c r="B1500" s="951"/>
    </row>
    <row r="1501" spans="1:2">
      <c r="A1501" s="951"/>
      <c r="B1501" s="951"/>
    </row>
    <row r="1502" spans="1:2">
      <c r="A1502" s="951"/>
      <c r="B1502" s="951"/>
    </row>
    <row r="1503" spans="1:2">
      <c r="A1503" s="951"/>
      <c r="B1503" s="951"/>
    </row>
    <row r="1504" spans="1:2">
      <c r="A1504" s="951"/>
      <c r="B1504" s="951"/>
    </row>
    <row r="1505" spans="1:2">
      <c r="A1505" s="951"/>
      <c r="B1505" s="951"/>
    </row>
    <row r="1506" spans="1:2">
      <c r="A1506" s="951"/>
      <c r="B1506" s="951"/>
    </row>
    <row r="1507" spans="1:2">
      <c r="A1507" s="951"/>
      <c r="B1507" s="951"/>
    </row>
    <row r="1508" spans="1:2">
      <c r="A1508" s="951"/>
      <c r="B1508" s="951"/>
    </row>
    <row r="1509" spans="1:2">
      <c r="A1509" s="951"/>
      <c r="B1509" s="951"/>
    </row>
    <row r="1510" spans="1:2">
      <c r="A1510" s="951"/>
      <c r="B1510" s="951"/>
    </row>
    <row r="1511" spans="1:2">
      <c r="A1511" s="951"/>
      <c r="B1511" s="951"/>
    </row>
    <row r="1512" spans="1:2">
      <c r="A1512" s="951"/>
      <c r="B1512" s="951"/>
    </row>
    <row r="1513" spans="1:2">
      <c r="A1513" s="951"/>
      <c r="B1513" s="951"/>
    </row>
    <row r="1514" spans="1:2">
      <c r="A1514" s="951"/>
      <c r="B1514" s="951"/>
    </row>
    <row r="1515" spans="1:2">
      <c r="A1515" s="951"/>
      <c r="B1515" s="951"/>
    </row>
    <row r="1516" spans="1:2">
      <c r="A1516" s="951"/>
      <c r="B1516" s="951"/>
    </row>
    <row r="1517" spans="1:2">
      <c r="A1517" s="951"/>
      <c r="B1517" s="951"/>
    </row>
    <row r="1518" spans="1:2">
      <c r="A1518" s="951"/>
      <c r="B1518" s="951"/>
    </row>
    <row r="1519" spans="1:2">
      <c r="A1519" s="951"/>
      <c r="B1519" s="951"/>
    </row>
    <row r="1520" spans="1:2">
      <c r="A1520" s="951"/>
      <c r="B1520" s="951"/>
    </row>
    <row r="1521" spans="1:2">
      <c r="A1521" s="951"/>
      <c r="B1521" s="951"/>
    </row>
    <row r="1522" spans="1:2">
      <c r="A1522" s="951"/>
      <c r="B1522" s="951"/>
    </row>
    <row r="1523" spans="1:2">
      <c r="A1523" s="951"/>
      <c r="B1523" s="951"/>
    </row>
    <row r="1524" spans="1:2">
      <c r="A1524" s="951"/>
      <c r="B1524" s="951"/>
    </row>
    <row r="1525" spans="1:2">
      <c r="A1525" s="951"/>
      <c r="B1525" s="951"/>
    </row>
    <row r="1526" spans="1:2">
      <c r="A1526" s="951"/>
      <c r="B1526" s="951"/>
    </row>
    <row r="1527" spans="1:2">
      <c r="A1527" s="951"/>
      <c r="B1527" s="951"/>
    </row>
    <row r="1528" spans="1:2">
      <c r="A1528" s="951"/>
      <c r="B1528" s="951"/>
    </row>
    <row r="1529" spans="1:2">
      <c r="A1529" s="951"/>
      <c r="B1529" s="951"/>
    </row>
    <row r="1530" spans="1:2">
      <c r="A1530" s="951"/>
      <c r="B1530" s="951"/>
    </row>
    <row r="1531" spans="1:2">
      <c r="A1531" s="951"/>
      <c r="B1531" s="951"/>
    </row>
    <row r="1532" spans="1:2">
      <c r="A1532" s="951"/>
      <c r="B1532" s="951"/>
    </row>
    <row r="1533" spans="1:2">
      <c r="A1533" s="951"/>
      <c r="B1533" s="951"/>
    </row>
    <row r="1534" spans="1:2">
      <c r="A1534" s="951"/>
      <c r="B1534" s="951"/>
    </row>
    <row r="1535" spans="1:2">
      <c r="A1535" s="951"/>
      <c r="B1535" s="951"/>
    </row>
    <row r="1536" spans="1:2">
      <c r="A1536" s="951"/>
      <c r="B1536" s="951"/>
    </row>
    <row r="1537" spans="1:2">
      <c r="A1537" s="951"/>
      <c r="B1537" s="951"/>
    </row>
    <row r="1538" spans="1:2">
      <c r="A1538" s="951"/>
      <c r="B1538" s="951"/>
    </row>
    <row r="1539" spans="1:2">
      <c r="A1539" s="951"/>
      <c r="B1539" s="951"/>
    </row>
    <row r="1540" spans="1:2">
      <c r="A1540" s="951"/>
      <c r="B1540" s="951"/>
    </row>
    <row r="1541" spans="1:2">
      <c r="A1541" s="951"/>
      <c r="B1541" s="951"/>
    </row>
    <row r="1542" spans="1:2">
      <c r="A1542" s="951"/>
      <c r="B1542" s="951"/>
    </row>
    <row r="1543" spans="1:2">
      <c r="A1543" s="951"/>
      <c r="B1543" s="951"/>
    </row>
    <row r="1544" spans="1:2">
      <c r="A1544" s="951"/>
      <c r="B1544" s="951"/>
    </row>
    <row r="1545" spans="1:2">
      <c r="A1545" s="951"/>
      <c r="B1545" s="951"/>
    </row>
    <row r="1546" spans="1:2">
      <c r="A1546" s="951"/>
      <c r="B1546" s="951"/>
    </row>
    <row r="1547" spans="1:2">
      <c r="A1547" s="951"/>
      <c r="B1547" s="951"/>
    </row>
    <row r="1548" spans="1:2">
      <c r="A1548" s="951"/>
      <c r="B1548" s="951"/>
    </row>
    <row r="1549" spans="1:2">
      <c r="A1549" s="951"/>
      <c r="B1549" s="951"/>
    </row>
    <row r="1550" spans="1:2">
      <c r="A1550" s="951"/>
      <c r="B1550" s="951"/>
    </row>
    <row r="1551" spans="1:2">
      <c r="A1551" s="951"/>
      <c r="B1551" s="951"/>
    </row>
    <row r="1552" spans="1:2">
      <c r="A1552" s="951"/>
      <c r="B1552" s="951"/>
    </row>
    <row r="1553" spans="1:2">
      <c r="A1553" s="951"/>
      <c r="B1553" s="951"/>
    </row>
    <row r="1554" spans="1:2">
      <c r="A1554" s="951"/>
      <c r="B1554" s="951"/>
    </row>
    <row r="1555" spans="1:2">
      <c r="A1555" s="951"/>
      <c r="B1555" s="951"/>
    </row>
    <row r="1556" spans="1:2">
      <c r="A1556" s="951"/>
      <c r="B1556" s="951"/>
    </row>
    <row r="1557" spans="1:2">
      <c r="A1557" s="951"/>
      <c r="B1557" s="951"/>
    </row>
    <row r="1558" spans="1:2">
      <c r="A1558" s="951"/>
      <c r="B1558" s="951"/>
    </row>
    <row r="1559" spans="1:2">
      <c r="A1559" s="951"/>
      <c r="B1559" s="951"/>
    </row>
    <row r="1560" spans="1:2">
      <c r="A1560" s="951"/>
      <c r="B1560" s="951"/>
    </row>
    <row r="1561" spans="1:2">
      <c r="A1561" s="951"/>
      <c r="B1561" s="951"/>
    </row>
    <row r="1562" spans="1:2">
      <c r="A1562" s="951"/>
      <c r="B1562" s="951"/>
    </row>
    <row r="1563" spans="1:2">
      <c r="A1563" s="951"/>
      <c r="B1563" s="951"/>
    </row>
    <row r="1564" spans="1:2">
      <c r="A1564" s="951"/>
      <c r="B1564" s="951"/>
    </row>
    <row r="1565" spans="1:2">
      <c r="A1565" s="951"/>
      <c r="B1565" s="951"/>
    </row>
    <row r="1566" spans="1:2">
      <c r="A1566" s="951"/>
      <c r="B1566" s="951"/>
    </row>
    <row r="1567" spans="1:2">
      <c r="A1567" s="951"/>
      <c r="B1567" s="951"/>
    </row>
    <row r="1568" spans="1:2">
      <c r="A1568" s="951"/>
      <c r="B1568" s="951"/>
    </row>
    <row r="1569" spans="1:2">
      <c r="A1569" s="951"/>
      <c r="B1569" s="951"/>
    </row>
    <row r="1570" spans="1:2">
      <c r="A1570" s="951"/>
      <c r="B1570" s="951"/>
    </row>
    <row r="1571" spans="1:2">
      <c r="A1571" s="951"/>
      <c r="B1571" s="951"/>
    </row>
    <row r="1572" spans="1:2">
      <c r="A1572" s="951"/>
      <c r="B1572" s="951"/>
    </row>
    <row r="1573" spans="1:2">
      <c r="A1573" s="951"/>
      <c r="B1573" s="951"/>
    </row>
    <row r="1574" spans="1:2">
      <c r="A1574" s="951"/>
      <c r="B1574" s="951"/>
    </row>
    <row r="1575" spans="1:2">
      <c r="A1575" s="951"/>
      <c r="B1575" s="951"/>
    </row>
    <row r="1576" spans="1:2">
      <c r="A1576" s="951"/>
      <c r="B1576" s="951"/>
    </row>
    <row r="1577" spans="1:2">
      <c r="A1577" s="951"/>
      <c r="B1577" s="951"/>
    </row>
    <row r="1578" spans="1:2">
      <c r="A1578" s="951"/>
      <c r="B1578" s="951"/>
    </row>
    <row r="1579" spans="1:2">
      <c r="A1579" s="951"/>
      <c r="B1579" s="951"/>
    </row>
    <row r="1580" spans="1:2">
      <c r="A1580" s="951"/>
      <c r="B1580" s="951"/>
    </row>
    <row r="1581" spans="1:2">
      <c r="A1581" s="951"/>
      <c r="B1581" s="951"/>
    </row>
    <row r="1582" spans="1:2">
      <c r="A1582" s="951"/>
      <c r="B1582" s="951"/>
    </row>
    <row r="1583" spans="1:2">
      <c r="A1583" s="951"/>
      <c r="B1583" s="951"/>
    </row>
    <row r="1584" spans="1:2">
      <c r="A1584" s="951"/>
      <c r="B1584" s="951"/>
    </row>
    <row r="1585" spans="1:2">
      <c r="A1585" s="951"/>
      <c r="B1585" s="951"/>
    </row>
    <row r="1586" spans="1:2">
      <c r="A1586" s="951"/>
      <c r="B1586" s="951"/>
    </row>
    <row r="1587" spans="1:2">
      <c r="A1587" s="951"/>
      <c r="B1587" s="951"/>
    </row>
    <row r="1588" spans="1:2">
      <c r="A1588" s="951"/>
      <c r="B1588" s="951"/>
    </row>
    <row r="1589" spans="1:2">
      <c r="A1589" s="951"/>
      <c r="B1589" s="951"/>
    </row>
    <row r="1590" spans="1:2">
      <c r="A1590" s="951"/>
      <c r="B1590" s="951"/>
    </row>
    <row r="1591" spans="1:2">
      <c r="A1591" s="951"/>
      <c r="B1591" s="951"/>
    </row>
    <row r="1592" spans="1:2">
      <c r="A1592" s="951"/>
      <c r="B1592" s="951"/>
    </row>
    <row r="1593" spans="1:2">
      <c r="A1593" s="951"/>
      <c r="B1593" s="951"/>
    </row>
    <row r="1594" spans="1:2">
      <c r="A1594" s="951"/>
      <c r="B1594" s="951"/>
    </row>
    <row r="1595" spans="1:2">
      <c r="A1595" s="951"/>
      <c r="B1595" s="951"/>
    </row>
    <row r="1596" spans="1:2">
      <c r="A1596" s="951"/>
      <c r="B1596" s="951"/>
    </row>
    <row r="1597" spans="1:2">
      <c r="A1597" s="951"/>
      <c r="B1597" s="951"/>
    </row>
    <row r="1598" spans="1:2">
      <c r="A1598" s="951"/>
      <c r="B1598" s="951"/>
    </row>
    <row r="1599" spans="1:2">
      <c r="A1599" s="951"/>
      <c r="B1599" s="951"/>
    </row>
    <row r="1600" spans="1:2">
      <c r="A1600" s="951"/>
      <c r="B1600" s="951"/>
    </row>
    <row r="1601" spans="1:2">
      <c r="A1601" s="951"/>
      <c r="B1601" s="951"/>
    </row>
    <row r="1602" spans="1:2">
      <c r="A1602" s="951"/>
      <c r="B1602" s="951"/>
    </row>
    <row r="1603" spans="1:2">
      <c r="A1603" s="951"/>
      <c r="B1603" s="951"/>
    </row>
    <row r="1604" spans="1:2">
      <c r="A1604" s="951"/>
      <c r="B1604" s="951"/>
    </row>
    <row r="1605" spans="1:2">
      <c r="A1605" s="951"/>
      <c r="B1605" s="951"/>
    </row>
    <row r="1606" spans="1:2">
      <c r="A1606" s="951"/>
      <c r="B1606" s="951"/>
    </row>
    <row r="1607" spans="1:2">
      <c r="A1607" s="951"/>
      <c r="B1607" s="951"/>
    </row>
    <row r="1608" spans="1:2">
      <c r="A1608" s="951"/>
      <c r="B1608" s="951"/>
    </row>
    <row r="1609" spans="1:2">
      <c r="A1609" s="951"/>
      <c r="B1609" s="951"/>
    </row>
    <row r="1610" spans="1:2">
      <c r="A1610" s="951"/>
      <c r="B1610" s="951"/>
    </row>
    <row r="1611" spans="1:2">
      <c r="A1611" s="951"/>
      <c r="B1611" s="951"/>
    </row>
    <row r="1612" spans="1:2">
      <c r="A1612" s="951"/>
      <c r="B1612" s="951"/>
    </row>
    <row r="1613" spans="1:2">
      <c r="A1613" s="951"/>
      <c r="B1613" s="951"/>
    </row>
    <row r="1614" spans="1:2">
      <c r="A1614" s="951"/>
      <c r="B1614" s="951"/>
    </row>
    <row r="1615" spans="1:2">
      <c r="A1615" s="951"/>
      <c r="B1615" s="951"/>
    </row>
    <row r="1616" spans="1:2">
      <c r="A1616" s="951"/>
      <c r="B1616" s="951"/>
    </row>
    <row r="1617" spans="1:2">
      <c r="A1617" s="951"/>
      <c r="B1617" s="951"/>
    </row>
    <row r="1618" spans="1:2">
      <c r="A1618" s="951"/>
      <c r="B1618" s="951"/>
    </row>
    <row r="1619" spans="1:2">
      <c r="A1619" s="951"/>
      <c r="B1619" s="951"/>
    </row>
    <row r="1620" spans="1:2">
      <c r="A1620" s="951"/>
      <c r="B1620" s="951"/>
    </row>
    <row r="1621" spans="1:2">
      <c r="A1621" s="951"/>
      <c r="B1621" s="951"/>
    </row>
    <row r="1622" spans="1:2">
      <c r="A1622" s="951"/>
      <c r="B1622" s="951"/>
    </row>
    <row r="1623" spans="1:2">
      <c r="A1623" s="951"/>
      <c r="B1623" s="951"/>
    </row>
    <row r="1624" spans="1:2">
      <c r="A1624" s="951"/>
      <c r="B1624" s="951"/>
    </row>
    <row r="1625" spans="1:2">
      <c r="A1625" s="951"/>
      <c r="B1625" s="951"/>
    </row>
    <row r="1626" spans="1:2">
      <c r="A1626" s="951"/>
      <c r="B1626" s="951"/>
    </row>
    <row r="1627" spans="1:2">
      <c r="A1627" s="951"/>
      <c r="B1627" s="951"/>
    </row>
    <row r="1628" spans="1:2">
      <c r="A1628" s="951"/>
      <c r="B1628" s="951"/>
    </row>
    <row r="1629" spans="1:2">
      <c r="A1629" s="951"/>
      <c r="B1629" s="951"/>
    </row>
    <row r="1630" spans="1:2">
      <c r="A1630" s="951"/>
      <c r="B1630" s="951"/>
    </row>
    <row r="1631" spans="1:2">
      <c r="A1631" s="951"/>
      <c r="B1631" s="951"/>
    </row>
    <row r="1632" spans="1:2">
      <c r="A1632" s="951"/>
      <c r="B1632" s="951"/>
    </row>
    <row r="1633" spans="1:2">
      <c r="A1633" s="951"/>
      <c r="B1633" s="951"/>
    </row>
    <row r="1634" spans="1:2">
      <c r="A1634" s="951"/>
      <c r="B1634" s="951"/>
    </row>
    <row r="1635" spans="1:2">
      <c r="A1635" s="951"/>
      <c r="B1635" s="951"/>
    </row>
    <row r="1636" spans="1:2">
      <c r="A1636" s="951"/>
      <c r="B1636" s="951"/>
    </row>
    <row r="1637" spans="1:2">
      <c r="A1637" s="951"/>
      <c r="B1637" s="951"/>
    </row>
    <row r="1638" spans="1:2">
      <c r="A1638" s="951"/>
      <c r="B1638" s="951"/>
    </row>
    <row r="1639" spans="1:2">
      <c r="A1639" s="951"/>
      <c r="B1639" s="951"/>
    </row>
    <row r="1640" spans="1:2">
      <c r="A1640" s="951"/>
      <c r="B1640" s="951"/>
    </row>
    <row r="1641" spans="1:2">
      <c r="A1641" s="951"/>
      <c r="B1641" s="951"/>
    </row>
    <row r="1642" spans="1:2">
      <c r="A1642" s="951"/>
      <c r="B1642" s="951"/>
    </row>
    <row r="1643" spans="1:2">
      <c r="A1643" s="951"/>
      <c r="B1643" s="951"/>
    </row>
    <row r="1644" spans="1:2">
      <c r="A1644" s="951"/>
      <c r="B1644" s="951"/>
    </row>
    <row r="1645" spans="1:2">
      <c r="A1645" s="951"/>
      <c r="B1645" s="951"/>
    </row>
    <row r="1646" spans="1:2">
      <c r="A1646" s="951"/>
      <c r="B1646" s="951"/>
    </row>
    <row r="1647" spans="1:2">
      <c r="A1647" s="951"/>
      <c r="B1647" s="951"/>
    </row>
    <row r="1648" spans="1:2">
      <c r="A1648" s="951"/>
      <c r="B1648" s="951"/>
    </row>
    <row r="1649" spans="1:2">
      <c r="A1649" s="951"/>
      <c r="B1649" s="951"/>
    </row>
    <row r="1650" spans="1:2">
      <c r="A1650" s="951"/>
      <c r="B1650" s="951"/>
    </row>
    <row r="1651" spans="1:2">
      <c r="A1651" s="951"/>
      <c r="B1651" s="951"/>
    </row>
    <row r="1652" spans="1:2">
      <c r="A1652" s="951"/>
      <c r="B1652" s="951"/>
    </row>
    <row r="1653" spans="1:2">
      <c r="A1653" s="951"/>
      <c r="B1653" s="951"/>
    </row>
    <row r="1654" spans="1:2">
      <c r="A1654" s="951"/>
      <c r="B1654" s="951"/>
    </row>
    <row r="1655" spans="1:2">
      <c r="A1655" s="951"/>
      <c r="B1655" s="951"/>
    </row>
    <row r="1656" spans="1:2">
      <c r="A1656" s="951"/>
      <c r="B1656" s="951"/>
    </row>
    <row r="1657" spans="1:2">
      <c r="A1657" s="951"/>
      <c r="B1657" s="951"/>
    </row>
    <row r="1658" spans="1:2">
      <c r="A1658" s="951"/>
      <c r="B1658" s="951"/>
    </row>
    <row r="1659" spans="1:2">
      <c r="A1659" s="951"/>
      <c r="B1659" s="951"/>
    </row>
    <row r="1660" spans="1:2">
      <c r="A1660" s="951"/>
      <c r="B1660" s="951"/>
    </row>
    <row r="1661" spans="1:2">
      <c r="A1661" s="951"/>
      <c r="B1661" s="951"/>
    </row>
    <row r="1662" spans="1:2">
      <c r="A1662" s="951"/>
      <c r="B1662" s="951"/>
    </row>
    <row r="1663" spans="1:2">
      <c r="A1663" s="951"/>
      <c r="B1663" s="951"/>
    </row>
    <row r="1664" spans="1:2">
      <c r="A1664" s="951"/>
      <c r="B1664" s="951"/>
    </row>
    <row r="1665" spans="1:2">
      <c r="A1665" s="951"/>
      <c r="B1665" s="951"/>
    </row>
    <row r="1666" spans="1:2">
      <c r="A1666" s="951"/>
      <c r="B1666" s="951"/>
    </row>
    <row r="1667" spans="1:2">
      <c r="A1667" s="951"/>
      <c r="B1667" s="951"/>
    </row>
    <row r="1668" spans="1:2">
      <c r="A1668" s="951"/>
      <c r="B1668" s="951"/>
    </row>
    <row r="1669" spans="1:2">
      <c r="A1669" s="951"/>
      <c r="B1669" s="951"/>
    </row>
    <row r="1670" spans="1:2">
      <c r="A1670" s="951"/>
      <c r="B1670" s="951"/>
    </row>
    <row r="1671" spans="1:2">
      <c r="A1671" s="951"/>
      <c r="B1671" s="951"/>
    </row>
    <row r="1672" spans="1:2">
      <c r="A1672" s="951"/>
      <c r="B1672" s="951"/>
    </row>
    <row r="1673" spans="1:2">
      <c r="A1673" s="951"/>
      <c r="B1673" s="951"/>
    </row>
    <row r="1674" spans="1:2">
      <c r="A1674" s="951"/>
      <c r="B1674" s="951"/>
    </row>
    <row r="1675" spans="1:2">
      <c r="A1675" s="951"/>
      <c r="B1675" s="951"/>
    </row>
    <row r="1676" spans="1:2">
      <c r="A1676" s="951"/>
      <c r="B1676" s="951"/>
    </row>
    <row r="1677" spans="1:2">
      <c r="A1677" s="951"/>
      <c r="B1677" s="951"/>
    </row>
    <row r="1678" spans="1:2">
      <c r="A1678" s="951"/>
      <c r="B1678" s="951"/>
    </row>
    <row r="1679" spans="1:2">
      <c r="A1679" s="951"/>
      <c r="B1679" s="951"/>
    </row>
    <row r="1680" spans="1:2">
      <c r="A1680" s="951"/>
      <c r="B1680" s="951"/>
    </row>
    <row r="1681" spans="1:2">
      <c r="A1681" s="951"/>
      <c r="B1681" s="951"/>
    </row>
    <row r="1682" spans="1:2">
      <c r="A1682" s="951"/>
      <c r="B1682" s="951"/>
    </row>
    <row r="1683" spans="1:2">
      <c r="A1683" s="951"/>
      <c r="B1683" s="951"/>
    </row>
    <row r="1684" spans="1:2">
      <c r="A1684" s="951"/>
      <c r="B1684" s="951"/>
    </row>
    <row r="1685" spans="1:2">
      <c r="A1685" s="951"/>
      <c r="B1685" s="951"/>
    </row>
    <row r="1686" spans="1:2">
      <c r="A1686" s="951"/>
      <c r="B1686" s="951"/>
    </row>
    <row r="1687" spans="1:2">
      <c r="A1687" s="951"/>
      <c r="B1687" s="951"/>
    </row>
    <row r="1688" spans="1:2">
      <c r="A1688" s="951"/>
      <c r="B1688" s="951"/>
    </row>
    <row r="1689" spans="1:2">
      <c r="A1689" s="951"/>
      <c r="B1689" s="951"/>
    </row>
    <row r="1690" spans="1:2">
      <c r="A1690" s="951"/>
      <c r="B1690" s="951"/>
    </row>
    <row r="1691" spans="1:2">
      <c r="A1691" s="951"/>
      <c r="B1691" s="951"/>
    </row>
    <row r="1692" spans="1:2">
      <c r="A1692" s="951"/>
      <c r="B1692" s="951"/>
    </row>
    <row r="1693" spans="1:2">
      <c r="A1693" s="951"/>
      <c r="B1693" s="951"/>
    </row>
    <row r="1694" spans="1:2">
      <c r="A1694" s="951"/>
      <c r="B1694" s="951"/>
    </row>
    <row r="1695" spans="1:2">
      <c r="A1695" s="951"/>
      <c r="B1695" s="951"/>
    </row>
    <row r="1696" spans="1:2">
      <c r="A1696" s="951"/>
      <c r="B1696" s="951"/>
    </row>
    <row r="1697" spans="1:2">
      <c r="A1697" s="951"/>
      <c r="B1697" s="951"/>
    </row>
    <row r="1698" spans="1:2">
      <c r="A1698" s="951"/>
      <c r="B1698" s="951"/>
    </row>
    <row r="1699" spans="1:2">
      <c r="A1699" s="951"/>
      <c r="B1699" s="951"/>
    </row>
    <row r="1700" spans="1:2">
      <c r="A1700" s="951"/>
      <c r="B1700" s="951"/>
    </row>
    <row r="1701" spans="1:2">
      <c r="A1701" s="951"/>
      <c r="B1701" s="951"/>
    </row>
    <row r="1702" spans="1:2">
      <c r="A1702" s="951"/>
      <c r="B1702" s="951"/>
    </row>
    <row r="1703" spans="1:2">
      <c r="A1703" s="951"/>
      <c r="B1703" s="951"/>
    </row>
    <row r="1704" spans="1:2">
      <c r="A1704" s="951"/>
      <c r="B1704" s="951"/>
    </row>
    <row r="1705" spans="1:2">
      <c r="A1705" s="951"/>
      <c r="B1705" s="951"/>
    </row>
    <row r="1706" spans="1:2">
      <c r="A1706" s="951"/>
      <c r="B1706" s="951"/>
    </row>
    <row r="1707" spans="1:2">
      <c r="A1707" s="951"/>
      <c r="B1707" s="951"/>
    </row>
    <row r="1708" spans="1:2">
      <c r="A1708" s="951"/>
      <c r="B1708" s="951"/>
    </row>
    <row r="1709" spans="1:2">
      <c r="A1709" s="951"/>
      <c r="B1709" s="951"/>
    </row>
    <row r="1710" spans="1:2">
      <c r="A1710" s="951"/>
      <c r="B1710" s="951"/>
    </row>
    <row r="1711" spans="1:2">
      <c r="A1711" s="951"/>
      <c r="B1711" s="951"/>
    </row>
    <row r="1712" spans="1:2">
      <c r="A1712" s="951"/>
      <c r="B1712" s="951"/>
    </row>
    <row r="1713" spans="1:2">
      <c r="A1713" s="951"/>
      <c r="B1713" s="951"/>
    </row>
    <row r="1714" spans="1:2">
      <c r="A1714" s="951"/>
      <c r="B1714" s="951"/>
    </row>
    <row r="1715" spans="1:2">
      <c r="A1715" s="951"/>
      <c r="B1715" s="951"/>
    </row>
    <row r="1716" spans="1:2">
      <c r="A1716" s="951"/>
      <c r="B1716" s="951"/>
    </row>
    <row r="1717" spans="1:2">
      <c r="A1717" s="951"/>
      <c r="B1717" s="951"/>
    </row>
    <row r="1718" spans="1:2">
      <c r="A1718" s="951"/>
      <c r="B1718" s="951"/>
    </row>
    <row r="1719" spans="1:2">
      <c r="A1719" s="951"/>
      <c r="B1719" s="951"/>
    </row>
    <row r="1720" spans="1:2">
      <c r="A1720" s="951"/>
      <c r="B1720" s="951"/>
    </row>
    <row r="1721" spans="1:2">
      <c r="A1721" s="951"/>
      <c r="B1721" s="951"/>
    </row>
    <row r="1722" spans="1:2">
      <c r="A1722" s="951"/>
      <c r="B1722" s="951"/>
    </row>
    <row r="1723" spans="1:2">
      <c r="A1723" s="951"/>
      <c r="B1723" s="951"/>
    </row>
    <row r="1724" spans="1:2">
      <c r="A1724" s="951"/>
      <c r="B1724" s="951"/>
    </row>
    <row r="1725" spans="1:2">
      <c r="A1725" s="951"/>
      <c r="B1725" s="951"/>
    </row>
    <row r="1726" spans="1:2">
      <c r="A1726" s="951"/>
      <c r="B1726" s="951"/>
    </row>
    <row r="1727" spans="1:2">
      <c r="A1727" s="951"/>
      <c r="B1727" s="951"/>
    </row>
    <row r="1728" spans="1:2">
      <c r="A1728" s="951"/>
      <c r="B1728" s="951"/>
    </row>
    <row r="1729" spans="1:2">
      <c r="A1729" s="951"/>
      <c r="B1729" s="951"/>
    </row>
    <row r="1730" spans="1:2">
      <c r="A1730" s="951"/>
      <c r="B1730" s="951"/>
    </row>
    <row r="1731" spans="1:2">
      <c r="A1731" s="951"/>
      <c r="B1731" s="951"/>
    </row>
    <row r="1732" spans="1:2">
      <c r="A1732" s="951"/>
      <c r="B1732" s="951"/>
    </row>
    <row r="1733" spans="1:2">
      <c r="A1733" s="951"/>
      <c r="B1733" s="951"/>
    </row>
    <row r="1734" spans="1:2">
      <c r="A1734" s="951"/>
      <c r="B1734" s="951"/>
    </row>
    <row r="1735" spans="1:2">
      <c r="A1735" s="951"/>
      <c r="B1735" s="951"/>
    </row>
    <row r="1736" spans="1:2">
      <c r="A1736" s="951"/>
      <c r="B1736" s="951"/>
    </row>
    <row r="1737" spans="1:2">
      <c r="A1737" s="951"/>
      <c r="B1737" s="951"/>
    </row>
    <row r="1738" spans="1:2">
      <c r="A1738" s="951"/>
      <c r="B1738" s="951"/>
    </row>
    <row r="1739" spans="1:2">
      <c r="A1739" s="951"/>
      <c r="B1739" s="951"/>
    </row>
    <row r="1740" spans="1:2">
      <c r="A1740" s="951"/>
      <c r="B1740" s="951"/>
    </row>
    <row r="1741" spans="1:2">
      <c r="A1741" s="951"/>
      <c r="B1741" s="951"/>
    </row>
    <row r="1742" spans="1:2">
      <c r="A1742" s="951"/>
      <c r="B1742" s="951"/>
    </row>
    <row r="1743" spans="1:2">
      <c r="A1743" s="951"/>
      <c r="B1743" s="951"/>
    </row>
    <row r="1744" spans="1:2">
      <c r="A1744" s="951"/>
      <c r="B1744" s="951"/>
    </row>
    <row r="1745" spans="1:2">
      <c r="A1745" s="951"/>
      <c r="B1745" s="951"/>
    </row>
    <row r="1746" spans="1:2">
      <c r="A1746" s="951"/>
      <c r="B1746" s="951"/>
    </row>
    <row r="1747" spans="1:2">
      <c r="A1747" s="951"/>
      <c r="B1747" s="951"/>
    </row>
    <row r="1748" spans="1:2">
      <c r="A1748" s="951"/>
      <c r="B1748" s="951"/>
    </row>
    <row r="1749" spans="1:2">
      <c r="A1749" s="951"/>
      <c r="B1749" s="951"/>
    </row>
    <row r="1750" spans="1:2">
      <c r="A1750" s="951"/>
      <c r="B1750" s="951"/>
    </row>
    <row r="1751" spans="1:2">
      <c r="A1751" s="951"/>
      <c r="B1751" s="951"/>
    </row>
    <row r="1752" spans="1:2">
      <c r="A1752" s="951"/>
      <c r="B1752" s="951"/>
    </row>
    <row r="1753" spans="1:2">
      <c r="A1753" s="951"/>
      <c r="B1753" s="951"/>
    </row>
    <row r="1754" spans="1:2">
      <c r="A1754" s="951"/>
      <c r="B1754" s="951"/>
    </row>
    <row r="1755" spans="1:2">
      <c r="A1755" s="951"/>
      <c r="B1755" s="951"/>
    </row>
    <row r="1756" spans="1:2">
      <c r="A1756" s="951"/>
      <c r="B1756" s="951"/>
    </row>
    <row r="1757" spans="1:2">
      <c r="A1757" s="951"/>
      <c r="B1757" s="951"/>
    </row>
    <row r="1758" spans="1:2">
      <c r="A1758" s="951"/>
      <c r="B1758" s="951"/>
    </row>
    <row r="1759" spans="1:2">
      <c r="A1759" s="951"/>
      <c r="B1759" s="951"/>
    </row>
    <row r="1760" spans="1:2">
      <c r="A1760" s="951"/>
      <c r="B1760" s="951"/>
    </row>
    <row r="1761" spans="1:2">
      <c r="A1761" s="951"/>
      <c r="B1761" s="951"/>
    </row>
    <row r="1762" spans="1:2">
      <c r="A1762" s="951"/>
      <c r="B1762" s="951"/>
    </row>
    <row r="1763" spans="1:2">
      <c r="A1763" s="951"/>
      <c r="B1763" s="951"/>
    </row>
    <row r="1764" spans="1:2">
      <c r="A1764" s="951"/>
      <c r="B1764" s="951"/>
    </row>
    <row r="1765" spans="1:2">
      <c r="A1765" s="951"/>
      <c r="B1765" s="951"/>
    </row>
    <row r="1766" spans="1:2">
      <c r="A1766" s="951"/>
      <c r="B1766" s="951"/>
    </row>
    <row r="1767" spans="1:2">
      <c r="A1767" s="951"/>
      <c r="B1767" s="951"/>
    </row>
    <row r="1768" spans="1:2">
      <c r="A1768" s="951"/>
      <c r="B1768" s="951"/>
    </row>
    <row r="1769" spans="1:2">
      <c r="A1769" s="951"/>
      <c r="B1769" s="951"/>
    </row>
    <row r="1770" spans="1:2">
      <c r="A1770" s="951"/>
      <c r="B1770" s="951"/>
    </row>
    <row r="1771" spans="1:2">
      <c r="A1771" s="951"/>
      <c r="B1771" s="951"/>
    </row>
    <row r="1772" spans="1:2">
      <c r="A1772" s="951"/>
      <c r="B1772" s="951"/>
    </row>
    <row r="1773" spans="1:2">
      <c r="A1773" s="951"/>
      <c r="B1773" s="951"/>
    </row>
    <row r="1774" spans="1:2">
      <c r="A1774" s="951"/>
      <c r="B1774" s="951"/>
    </row>
    <row r="1775" spans="1:2">
      <c r="A1775" s="951"/>
      <c r="B1775" s="951"/>
    </row>
    <row r="1776" spans="1:2">
      <c r="A1776" s="951"/>
      <c r="B1776" s="951"/>
    </row>
    <row r="1777" spans="1:2">
      <c r="A1777" s="951"/>
      <c r="B1777" s="951"/>
    </row>
    <row r="1778" spans="1:2">
      <c r="A1778" s="951"/>
      <c r="B1778" s="951"/>
    </row>
    <row r="1779" spans="1:2">
      <c r="A1779" s="951"/>
      <c r="B1779" s="951"/>
    </row>
    <row r="1780" spans="1:2">
      <c r="A1780" s="951"/>
      <c r="B1780" s="951"/>
    </row>
    <row r="1781" spans="1:2">
      <c r="A1781" s="951"/>
      <c r="B1781" s="951"/>
    </row>
    <row r="1782" spans="1:2">
      <c r="A1782" s="951"/>
      <c r="B1782" s="951"/>
    </row>
    <row r="1783" spans="1:2">
      <c r="A1783" s="951"/>
      <c r="B1783" s="951"/>
    </row>
    <row r="1784" spans="1:2">
      <c r="A1784" s="951"/>
      <c r="B1784" s="951"/>
    </row>
    <row r="1785" spans="1:2">
      <c r="A1785" s="951"/>
      <c r="B1785" s="951"/>
    </row>
    <row r="1786" spans="1:2">
      <c r="A1786" s="951"/>
      <c r="B1786" s="951"/>
    </row>
    <row r="1787" spans="1:2">
      <c r="A1787" s="951"/>
      <c r="B1787" s="951"/>
    </row>
    <row r="1788" spans="1:2">
      <c r="A1788" s="951"/>
      <c r="B1788" s="951"/>
    </row>
    <row r="1789" spans="1:2">
      <c r="A1789" s="951"/>
      <c r="B1789" s="951"/>
    </row>
    <row r="1790" spans="1:2">
      <c r="A1790" s="951"/>
      <c r="B1790" s="951"/>
    </row>
    <row r="1791" spans="1:2">
      <c r="A1791" s="951"/>
      <c r="B1791" s="951"/>
    </row>
    <row r="1792" spans="1:2">
      <c r="A1792" s="951"/>
      <c r="B1792" s="951"/>
    </row>
    <row r="1793" spans="1:2">
      <c r="A1793" s="951"/>
      <c r="B1793" s="951"/>
    </row>
    <row r="1794" spans="1:2">
      <c r="A1794" s="951"/>
      <c r="B1794" s="951"/>
    </row>
    <row r="1795" spans="1:2">
      <c r="A1795" s="951"/>
      <c r="B1795" s="951"/>
    </row>
    <row r="1796" spans="1:2">
      <c r="A1796" s="951"/>
      <c r="B1796" s="951"/>
    </row>
    <row r="1797" spans="1:2">
      <c r="A1797" s="951"/>
      <c r="B1797" s="951"/>
    </row>
    <row r="1798" spans="1:2">
      <c r="A1798" s="951"/>
      <c r="B1798" s="951"/>
    </row>
    <row r="1799" spans="1:2">
      <c r="A1799" s="951"/>
      <c r="B1799" s="951"/>
    </row>
    <row r="1800" spans="1:2">
      <c r="A1800" s="951"/>
      <c r="B1800" s="951"/>
    </row>
    <row r="1801" spans="1:2">
      <c r="A1801" s="951"/>
      <c r="B1801" s="951"/>
    </row>
    <row r="1802" spans="1:2">
      <c r="A1802" s="951"/>
      <c r="B1802" s="951"/>
    </row>
    <row r="1803" spans="1:2">
      <c r="A1803" s="951"/>
      <c r="B1803" s="951"/>
    </row>
    <row r="1804" spans="1:2">
      <c r="A1804" s="951"/>
      <c r="B1804" s="951"/>
    </row>
    <row r="1805" spans="1:2">
      <c r="A1805" s="951"/>
      <c r="B1805" s="951"/>
    </row>
    <row r="1806" spans="1:2">
      <c r="A1806" s="951"/>
      <c r="B1806" s="951"/>
    </row>
    <row r="1807" spans="1:2">
      <c r="A1807" s="951"/>
      <c r="B1807" s="951"/>
    </row>
    <row r="1808" spans="1:2">
      <c r="A1808" s="951"/>
      <c r="B1808" s="951"/>
    </row>
    <row r="1809" spans="1:2">
      <c r="A1809" s="951"/>
      <c r="B1809" s="951"/>
    </row>
    <row r="1810" spans="1:2">
      <c r="A1810" s="951"/>
      <c r="B1810" s="951"/>
    </row>
    <row r="1811" spans="1:2">
      <c r="A1811" s="951"/>
      <c r="B1811" s="951"/>
    </row>
    <row r="1812" spans="1:2">
      <c r="A1812" s="951"/>
      <c r="B1812" s="951"/>
    </row>
    <row r="1813" spans="1:2">
      <c r="A1813" s="951"/>
      <c r="B1813" s="951"/>
    </row>
    <row r="1814" spans="1:2">
      <c r="A1814" s="951"/>
      <c r="B1814" s="951"/>
    </row>
    <row r="1815" spans="1:2">
      <c r="A1815" s="951"/>
      <c r="B1815" s="951"/>
    </row>
    <row r="1816" spans="1:2">
      <c r="A1816" s="951"/>
      <c r="B1816" s="951"/>
    </row>
    <row r="1817" spans="1:2">
      <c r="A1817" s="951"/>
      <c r="B1817" s="951"/>
    </row>
    <row r="1818" spans="1:2">
      <c r="A1818" s="951"/>
      <c r="B1818" s="951"/>
    </row>
    <row r="1819" spans="1:2">
      <c r="A1819" s="951"/>
      <c r="B1819" s="951"/>
    </row>
    <row r="1820" spans="1:2">
      <c r="A1820" s="951"/>
      <c r="B1820" s="951"/>
    </row>
    <row r="1821" spans="1:2">
      <c r="A1821" s="951"/>
      <c r="B1821" s="951"/>
    </row>
    <row r="1822" spans="1:2">
      <c r="A1822" s="951"/>
      <c r="B1822" s="951"/>
    </row>
    <row r="1823" spans="1:2">
      <c r="A1823" s="951"/>
      <c r="B1823" s="951"/>
    </row>
    <row r="1824" spans="1:2">
      <c r="A1824" s="951"/>
      <c r="B1824" s="951"/>
    </row>
    <row r="1825" spans="1:2">
      <c r="A1825" s="951"/>
      <c r="B1825" s="951"/>
    </row>
    <row r="1826" spans="1:2">
      <c r="A1826" s="951"/>
      <c r="B1826" s="951"/>
    </row>
    <row r="1827" spans="1:2">
      <c r="A1827" s="951"/>
      <c r="B1827" s="951"/>
    </row>
    <row r="1828" spans="1:2">
      <c r="A1828" s="951"/>
      <c r="B1828" s="951"/>
    </row>
    <row r="1829" spans="1:2">
      <c r="A1829" s="951"/>
      <c r="B1829" s="951"/>
    </row>
    <row r="1830" spans="1:2">
      <c r="A1830" s="951"/>
      <c r="B1830" s="951"/>
    </row>
    <row r="1831" spans="1:2">
      <c r="A1831" s="951"/>
      <c r="B1831" s="951"/>
    </row>
    <row r="1832" spans="1:2">
      <c r="A1832" s="951"/>
      <c r="B1832" s="951"/>
    </row>
    <row r="1833" spans="1:2">
      <c r="A1833" s="951"/>
      <c r="B1833" s="951"/>
    </row>
    <row r="1834" spans="1:2">
      <c r="A1834" s="951"/>
      <c r="B1834" s="951"/>
    </row>
    <row r="1835" spans="1:2">
      <c r="A1835" s="951"/>
      <c r="B1835" s="951"/>
    </row>
    <row r="1836" spans="1:2">
      <c r="A1836" s="951"/>
      <c r="B1836" s="951"/>
    </row>
    <row r="1837" spans="1:2">
      <c r="A1837" s="951"/>
      <c r="B1837" s="951"/>
    </row>
    <row r="1838" spans="1:2">
      <c r="A1838" s="951"/>
      <c r="B1838" s="951"/>
    </row>
    <row r="1839" spans="1:2">
      <c r="A1839" s="951"/>
      <c r="B1839" s="951"/>
    </row>
    <row r="1840" spans="1:2">
      <c r="A1840" s="951"/>
      <c r="B1840" s="951"/>
    </row>
    <row r="1841" spans="1:2">
      <c r="A1841" s="951"/>
      <c r="B1841" s="951"/>
    </row>
    <row r="1842" spans="1:2">
      <c r="A1842" s="951"/>
      <c r="B1842" s="951"/>
    </row>
    <row r="1843" spans="1:2">
      <c r="A1843" s="951"/>
      <c r="B1843" s="951"/>
    </row>
    <row r="1844" spans="1:2">
      <c r="A1844" s="951"/>
      <c r="B1844" s="951"/>
    </row>
    <row r="1845" spans="1:2">
      <c r="A1845" s="951"/>
      <c r="B1845" s="951"/>
    </row>
    <row r="1846" spans="1:2">
      <c r="A1846" s="951"/>
      <c r="B1846" s="951"/>
    </row>
    <row r="1847" spans="1:2">
      <c r="A1847" s="951"/>
      <c r="B1847" s="951"/>
    </row>
    <row r="1848" spans="1:2">
      <c r="A1848" s="951"/>
      <c r="B1848" s="951"/>
    </row>
    <row r="1849" spans="1:2">
      <c r="A1849" s="951"/>
      <c r="B1849" s="951"/>
    </row>
    <row r="1850" spans="1:2">
      <c r="A1850" s="951"/>
      <c r="B1850" s="951"/>
    </row>
    <row r="1851" spans="1:2">
      <c r="A1851" s="951"/>
      <c r="B1851" s="951"/>
    </row>
    <row r="1852" spans="1:2">
      <c r="A1852" s="951"/>
      <c r="B1852" s="951"/>
    </row>
    <row r="1853" spans="1:2">
      <c r="A1853" s="951"/>
      <c r="B1853" s="951"/>
    </row>
    <row r="1854" spans="1:2">
      <c r="A1854" s="951"/>
      <c r="B1854" s="951"/>
    </row>
    <row r="1855" spans="1:2">
      <c r="A1855" s="951"/>
      <c r="B1855" s="951"/>
    </row>
    <row r="1856" spans="1:2">
      <c r="A1856" s="951"/>
      <c r="B1856" s="951"/>
    </row>
    <row r="1857" spans="1:2">
      <c r="A1857" s="951"/>
      <c r="B1857" s="951"/>
    </row>
    <row r="1858" spans="1:2">
      <c r="A1858" s="951"/>
      <c r="B1858" s="951"/>
    </row>
    <row r="1859" spans="1:2">
      <c r="A1859" s="951"/>
      <c r="B1859" s="951"/>
    </row>
    <row r="1860" spans="1:2">
      <c r="A1860" s="951"/>
      <c r="B1860" s="951"/>
    </row>
    <row r="1861" spans="1:2">
      <c r="A1861" s="951"/>
      <c r="B1861" s="951"/>
    </row>
    <row r="1862" spans="1:2">
      <c r="A1862" s="951"/>
      <c r="B1862" s="951"/>
    </row>
    <row r="1863" spans="1:2">
      <c r="A1863" s="951"/>
      <c r="B1863" s="951"/>
    </row>
    <row r="1864" spans="1:2">
      <c r="A1864" s="951"/>
      <c r="B1864" s="951"/>
    </row>
    <row r="1865" spans="1:2">
      <c r="A1865" s="951"/>
      <c r="B1865" s="951"/>
    </row>
    <row r="1866" spans="1:2">
      <c r="A1866" s="951"/>
      <c r="B1866" s="951"/>
    </row>
    <row r="1867" spans="1:2">
      <c r="A1867" s="951"/>
      <c r="B1867" s="951"/>
    </row>
    <row r="1868" spans="1:2">
      <c r="A1868" s="951"/>
      <c r="B1868" s="951"/>
    </row>
    <row r="1869" spans="1:2">
      <c r="A1869" s="951"/>
      <c r="B1869" s="951"/>
    </row>
    <row r="1870" spans="1:2">
      <c r="A1870" s="951"/>
      <c r="B1870" s="951"/>
    </row>
    <row r="1871" spans="1:2">
      <c r="A1871" s="951"/>
      <c r="B1871" s="951"/>
    </row>
    <row r="1872" spans="1:2">
      <c r="A1872" s="951"/>
      <c r="B1872" s="951"/>
    </row>
    <row r="1873" spans="1:2">
      <c r="A1873" s="951"/>
      <c r="B1873" s="951"/>
    </row>
    <row r="1874" spans="1:2">
      <c r="A1874" s="951"/>
      <c r="B1874" s="951"/>
    </row>
    <row r="1875" spans="1:2">
      <c r="A1875" s="951"/>
      <c r="B1875" s="951"/>
    </row>
    <row r="1876" spans="1:2">
      <c r="A1876" s="951"/>
      <c r="B1876" s="951"/>
    </row>
    <row r="1877" spans="1:2">
      <c r="A1877" s="951"/>
      <c r="B1877" s="951"/>
    </row>
    <row r="1878" spans="1:2">
      <c r="A1878" s="951"/>
      <c r="B1878" s="951"/>
    </row>
    <row r="1879" spans="1:2">
      <c r="A1879" s="951"/>
      <c r="B1879" s="951"/>
    </row>
    <row r="1880" spans="1:2">
      <c r="A1880" s="951"/>
      <c r="B1880" s="951"/>
    </row>
    <row r="1881" spans="1:2">
      <c r="A1881" s="951"/>
      <c r="B1881" s="951"/>
    </row>
    <row r="1882" spans="1:2">
      <c r="A1882" s="951"/>
      <c r="B1882" s="951"/>
    </row>
    <row r="1883" spans="1:2">
      <c r="A1883" s="951"/>
      <c r="B1883" s="951"/>
    </row>
    <row r="1884" spans="1:2">
      <c r="A1884" s="951"/>
      <c r="B1884" s="951"/>
    </row>
    <row r="1885" spans="1:2">
      <c r="A1885" s="951"/>
      <c r="B1885" s="951"/>
    </row>
    <row r="1886" spans="1:2">
      <c r="A1886" s="951"/>
      <c r="B1886" s="951"/>
    </row>
    <row r="1887" spans="1:2">
      <c r="A1887" s="951"/>
      <c r="B1887" s="951"/>
    </row>
    <row r="1888" spans="1:2">
      <c r="A1888" s="951"/>
      <c r="B1888" s="951"/>
    </row>
    <row r="1889" spans="1:2">
      <c r="A1889" s="951"/>
      <c r="B1889" s="951"/>
    </row>
    <row r="1890" spans="1:2">
      <c r="A1890" s="951"/>
      <c r="B1890" s="951"/>
    </row>
    <row r="1891" spans="1:2">
      <c r="A1891" s="951"/>
      <c r="B1891" s="951"/>
    </row>
    <row r="1892" spans="1:2">
      <c r="A1892" s="951"/>
      <c r="B1892" s="951"/>
    </row>
    <row r="1893" spans="1:2">
      <c r="A1893" s="951"/>
      <c r="B1893" s="951"/>
    </row>
    <row r="1894" spans="1:2">
      <c r="A1894" s="951"/>
      <c r="B1894" s="951"/>
    </row>
    <row r="1895" spans="1:2">
      <c r="A1895" s="951"/>
      <c r="B1895" s="951"/>
    </row>
    <row r="1896" spans="1:2">
      <c r="A1896" s="951"/>
      <c r="B1896" s="951"/>
    </row>
    <row r="1897" spans="1:2">
      <c r="A1897" s="951"/>
      <c r="B1897" s="951"/>
    </row>
    <row r="1898" spans="1:2">
      <c r="A1898" s="951"/>
      <c r="B1898" s="951"/>
    </row>
    <row r="1899" spans="1:2">
      <c r="A1899" s="951"/>
      <c r="B1899" s="951"/>
    </row>
    <row r="1900" spans="1:2">
      <c r="A1900" s="951"/>
      <c r="B1900" s="951"/>
    </row>
    <row r="1901" spans="1:2">
      <c r="A1901" s="951"/>
      <c r="B1901" s="951"/>
    </row>
    <row r="1902" spans="1:2">
      <c r="A1902" s="951"/>
      <c r="B1902" s="951"/>
    </row>
    <row r="1903" spans="1:2">
      <c r="A1903" s="951"/>
      <c r="B1903" s="951"/>
    </row>
    <row r="1904" spans="1:2">
      <c r="A1904" s="951"/>
      <c r="B1904" s="951"/>
    </row>
    <row r="1905" spans="1:2">
      <c r="A1905" s="951"/>
      <c r="B1905" s="951"/>
    </row>
    <row r="1906" spans="1:2">
      <c r="A1906" s="951"/>
      <c r="B1906" s="951"/>
    </row>
    <row r="1907" spans="1:2">
      <c r="A1907" s="951"/>
      <c r="B1907" s="951"/>
    </row>
    <row r="1908" spans="1:2">
      <c r="A1908" s="951"/>
      <c r="B1908" s="951"/>
    </row>
    <row r="1909" spans="1:2">
      <c r="A1909" s="951"/>
      <c r="B1909" s="951"/>
    </row>
    <row r="1910" spans="1:2">
      <c r="A1910" s="951"/>
      <c r="B1910" s="951"/>
    </row>
    <row r="1911" spans="1:2">
      <c r="A1911" s="951"/>
      <c r="B1911" s="951"/>
    </row>
    <row r="1912" spans="1:2">
      <c r="A1912" s="951"/>
      <c r="B1912" s="951"/>
    </row>
    <row r="1913" spans="1:2">
      <c r="A1913" s="951"/>
      <c r="B1913" s="951"/>
    </row>
    <row r="1914" spans="1:2">
      <c r="A1914" s="951"/>
      <c r="B1914" s="951"/>
    </row>
    <row r="1915" spans="1:2">
      <c r="A1915" s="951"/>
      <c r="B1915" s="951"/>
    </row>
    <row r="1916" spans="1:2">
      <c r="A1916" s="951"/>
      <c r="B1916" s="951"/>
    </row>
    <row r="1917" spans="1:2">
      <c r="A1917" s="951"/>
      <c r="B1917" s="951"/>
    </row>
    <row r="1918" spans="1:2">
      <c r="A1918" s="951"/>
      <c r="B1918" s="951"/>
    </row>
    <row r="1919" spans="1:2">
      <c r="A1919" s="951"/>
      <c r="B1919" s="951"/>
    </row>
    <row r="1920" spans="1:2">
      <c r="A1920" s="951"/>
      <c r="B1920" s="951"/>
    </row>
    <row r="1921" spans="1:2">
      <c r="A1921" s="951"/>
      <c r="B1921" s="951"/>
    </row>
    <row r="1922" spans="1:2">
      <c r="A1922" s="951"/>
      <c r="B1922" s="951"/>
    </row>
    <row r="1923" spans="1:2">
      <c r="A1923" s="951"/>
      <c r="B1923" s="951"/>
    </row>
    <row r="1924" spans="1:2">
      <c r="A1924" s="951"/>
      <c r="B1924" s="951"/>
    </row>
    <row r="1925" spans="1:2">
      <c r="A1925" s="951"/>
      <c r="B1925" s="951"/>
    </row>
    <row r="1926" spans="1:2">
      <c r="A1926" s="951"/>
      <c r="B1926" s="951"/>
    </row>
    <row r="1927" spans="1:2">
      <c r="A1927" s="951"/>
      <c r="B1927" s="951"/>
    </row>
    <row r="1928" spans="1:2">
      <c r="A1928" s="951"/>
      <c r="B1928" s="951"/>
    </row>
    <row r="1929" spans="1:2">
      <c r="A1929" s="951"/>
      <c r="B1929" s="951"/>
    </row>
    <row r="1930" spans="1:2">
      <c r="A1930" s="951"/>
      <c r="B1930" s="951"/>
    </row>
    <row r="1931" spans="1:2">
      <c r="A1931" s="951"/>
      <c r="B1931" s="951"/>
    </row>
    <row r="1932" spans="1:2">
      <c r="A1932" s="951"/>
      <c r="B1932" s="951"/>
    </row>
    <row r="1933" spans="1:2">
      <c r="A1933" s="951"/>
      <c r="B1933" s="951"/>
    </row>
    <row r="1934" spans="1:2">
      <c r="A1934" s="951"/>
      <c r="B1934" s="951"/>
    </row>
    <row r="1935" spans="1:2">
      <c r="A1935" s="951"/>
      <c r="B1935" s="951"/>
    </row>
    <row r="1936" spans="1:2">
      <c r="A1936" s="951"/>
      <c r="B1936" s="951"/>
    </row>
    <row r="1937" spans="1:2">
      <c r="A1937" s="951"/>
      <c r="B1937" s="951"/>
    </row>
    <row r="1938" spans="1:2">
      <c r="A1938" s="951"/>
      <c r="B1938" s="951"/>
    </row>
    <row r="1939" spans="1:2">
      <c r="A1939" s="951"/>
      <c r="B1939" s="951"/>
    </row>
    <row r="1940" spans="1:2">
      <c r="A1940" s="951"/>
      <c r="B1940" s="951"/>
    </row>
    <row r="1941" spans="1:2">
      <c r="A1941" s="951"/>
      <c r="B1941" s="951"/>
    </row>
    <row r="1942" spans="1:2">
      <c r="A1942" s="951"/>
      <c r="B1942" s="951"/>
    </row>
    <row r="1943" spans="1:2">
      <c r="A1943" s="951"/>
      <c r="B1943" s="951"/>
    </row>
    <row r="1944" spans="1:2">
      <c r="A1944" s="951"/>
      <c r="B1944" s="951"/>
    </row>
    <row r="1945" spans="1:2">
      <c r="A1945" s="951"/>
      <c r="B1945" s="951"/>
    </row>
    <row r="1946" spans="1:2">
      <c r="A1946" s="951"/>
      <c r="B1946" s="951"/>
    </row>
    <row r="1947" spans="1:2">
      <c r="A1947" s="951"/>
      <c r="B1947" s="951"/>
    </row>
    <row r="1948" spans="1:2">
      <c r="A1948" s="951"/>
      <c r="B1948" s="951"/>
    </row>
    <row r="1949" spans="1:2">
      <c r="A1949" s="951"/>
      <c r="B1949" s="951"/>
    </row>
    <row r="1950" spans="1:2">
      <c r="A1950" s="951"/>
      <c r="B1950" s="951"/>
    </row>
    <row r="1951" spans="1:2">
      <c r="A1951" s="951"/>
      <c r="B1951" s="951"/>
    </row>
    <row r="1952" spans="1:2">
      <c r="A1952" s="951"/>
      <c r="B1952" s="951"/>
    </row>
    <row r="1953" spans="1:2">
      <c r="A1953" s="951"/>
      <c r="B1953" s="951"/>
    </row>
    <row r="1954" spans="1:2">
      <c r="A1954" s="951"/>
      <c r="B1954" s="951"/>
    </row>
    <row r="1955" spans="1:2">
      <c r="A1955" s="951"/>
      <c r="B1955" s="951"/>
    </row>
    <row r="1956" spans="1:2">
      <c r="A1956" s="951"/>
      <c r="B1956" s="951"/>
    </row>
    <row r="1957" spans="1:2">
      <c r="A1957" s="951"/>
      <c r="B1957" s="951"/>
    </row>
    <row r="1958" spans="1:2">
      <c r="A1958" s="951"/>
      <c r="B1958" s="951"/>
    </row>
    <row r="1959" spans="1:2">
      <c r="A1959" s="951"/>
      <c r="B1959" s="951"/>
    </row>
    <row r="1960" spans="1:2">
      <c r="A1960" s="951"/>
      <c r="B1960" s="951"/>
    </row>
    <row r="1961" spans="1:2">
      <c r="A1961" s="951"/>
      <c r="B1961" s="951"/>
    </row>
    <row r="1962" spans="1:2">
      <c r="A1962" s="951"/>
      <c r="B1962" s="951"/>
    </row>
    <row r="1963" spans="1:2">
      <c r="A1963" s="951"/>
      <c r="B1963" s="951"/>
    </row>
    <row r="1964" spans="1:2">
      <c r="A1964" s="951"/>
      <c r="B1964" s="951"/>
    </row>
    <row r="1965" spans="1:2">
      <c r="A1965" s="951"/>
      <c r="B1965" s="951"/>
    </row>
    <row r="1966" spans="1:2">
      <c r="A1966" s="951"/>
      <c r="B1966" s="951"/>
    </row>
    <row r="1967" spans="1:2">
      <c r="A1967" s="951"/>
      <c r="B1967" s="951"/>
    </row>
    <row r="1968" spans="1:2">
      <c r="A1968" s="951"/>
      <c r="B1968" s="951"/>
    </row>
    <row r="1969" spans="1:2">
      <c r="A1969" s="951"/>
      <c r="B1969" s="951"/>
    </row>
    <row r="1970" spans="1:2">
      <c r="A1970" s="951"/>
      <c r="B1970" s="951"/>
    </row>
    <row r="1971" spans="1:2">
      <c r="A1971" s="951"/>
      <c r="B1971" s="951"/>
    </row>
    <row r="1972" spans="1:2">
      <c r="A1972" s="951"/>
      <c r="B1972" s="951"/>
    </row>
    <row r="1973" spans="1:2">
      <c r="A1973" s="951"/>
      <c r="B1973" s="951"/>
    </row>
    <row r="1974" spans="1:2">
      <c r="A1974" s="951"/>
      <c r="B1974" s="951"/>
    </row>
    <row r="1975" spans="1:2">
      <c r="A1975" s="951"/>
      <c r="B1975" s="951"/>
    </row>
    <row r="1976" spans="1:2">
      <c r="A1976" s="951"/>
      <c r="B1976" s="951"/>
    </row>
    <row r="1977" spans="1:2">
      <c r="A1977" s="951"/>
      <c r="B1977" s="951"/>
    </row>
    <row r="1978" spans="1:2">
      <c r="A1978" s="951"/>
      <c r="B1978" s="951"/>
    </row>
    <row r="1979" spans="1:2">
      <c r="A1979" s="951"/>
      <c r="B1979" s="951"/>
    </row>
    <row r="1980" spans="1:2">
      <c r="A1980" s="951"/>
      <c r="B1980" s="951"/>
    </row>
    <row r="1981" spans="1:2">
      <c r="A1981" s="951"/>
      <c r="B1981" s="951"/>
    </row>
    <row r="1982" spans="1:2">
      <c r="A1982" s="951"/>
      <c r="B1982" s="951"/>
    </row>
    <row r="1983" spans="1:2">
      <c r="A1983" s="951"/>
      <c r="B1983" s="951"/>
    </row>
    <row r="1984" spans="1:2">
      <c r="A1984" s="951"/>
      <c r="B1984" s="951"/>
    </row>
    <row r="1985" spans="1:2">
      <c r="A1985" s="951"/>
      <c r="B1985" s="951"/>
    </row>
    <row r="1986" spans="1:2">
      <c r="A1986" s="951"/>
      <c r="B1986" s="951"/>
    </row>
    <row r="1987" spans="1:2">
      <c r="A1987" s="951"/>
      <c r="B1987" s="951"/>
    </row>
    <row r="1988" spans="1:2">
      <c r="A1988" s="951"/>
      <c r="B1988" s="951"/>
    </row>
    <row r="1989" spans="1:2">
      <c r="A1989" s="951"/>
      <c r="B1989" s="951"/>
    </row>
    <row r="1990" spans="1:2">
      <c r="A1990" s="951"/>
      <c r="B1990" s="951"/>
    </row>
    <row r="1991" spans="1:2">
      <c r="A1991" s="951"/>
      <c r="B1991" s="951"/>
    </row>
    <row r="1992" spans="1:2">
      <c r="A1992" s="951"/>
      <c r="B1992" s="951"/>
    </row>
    <row r="1993" spans="1:2">
      <c r="A1993" s="951"/>
      <c r="B1993" s="951"/>
    </row>
    <row r="1994" spans="1:2">
      <c r="A1994" s="951"/>
      <c r="B1994" s="951"/>
    </row>
    <row r="1995" spans="1:2">
      <c r="A1995" s="951"/>
      <c r="B1995" s="951"/>
    </row>
    <row r="1996" spans="1:2">
      <c r="A1996" s="951"/>
      <c r="B1996" s="951"/>
    </row>
    <row r="1997" spans="1:2">
      <c r="A1997" s="951"/>
      <c r="B1997" s="951"/>
    </row>
    <row r="1998" spans="1:2">
      <c r="A1998" s="951"/>
      <c r="B1998" s="951"/>
    </row>
    <row r="1999" spans="1:2">
      <c r="A1999" s="951"/>
      <c r="B1999" s="951"/>
    </row>
    <row r="2000" spans="1:2">
      <c r="A2000" s="951"/>
      <c r="B2000" s="951"/>
    </row>
    <row r="2001" spans="1:2">
      <c r="A2001" s="951"/>
      <c r="B2001" s="951"/>
    </row>
    <row r="2002" spans="1:2">
      <c r="A2002" s="951"/>
      <c r="B2002" s="951"/>
    </row>
    <row r="2003" spans="1:2">
      <c r="A2003" s="951"/>
      <c r="B2003" s="951"/>
    </row>
    <row r="2004" spans="1:2">
      <c r="A2004" s="951"/>
      <c r="B2004" s="951"/>
    </row>
    <row r="2005" spans="1:2">
      <c r="A2005" s="951"/>
      <c r="B2005" s="951"/>
    </row>
    <row r="2006" spans="1:2">
      <c r="A2006" s="951"/>
      <c r="B2006" s="951"/>
    </row>
    <row r="2007" spans="1:2">
      <c r="A2007" s="951"/>
      <c r="B2007" s="951"/>
    </row>
    <row r="2008" spans="1:2">
      <c r="A2008" s="951"/>
      <c r="B2008" s="951"/>
    </row>
    <row r="2009" spans="1:2">
      <c r="A2009" s="951"/>
      <c r="B2009" s="951"/>
    </row>
    <row r="2010" spans="1:2">
      <c r="A2010" s="951"/>
      <c r="B2010" s="951"/>
    </row>
    <row r="2011" spans="1:2">
      <c r="A2011" s="951"/>
      <c r="B2011" s="951"/>
    </row>
    <row r="2012" spans="1:2">
      <c r="A2012" s="951"/>
      <c r="B2012" s="951"/>
    </row>
    <row r="2013" spans="1:2">
      <c r="A2013" s="951"/>
      <c r="B2013" s="951"/>
    </row>
    <row r="2014" spans="1:2">
      <c r="A2014" s="951"/>
      <c r="B2014" s="951"/>
    </row>
    <row r="2015" spans="1:2">
      <c r="A2015" s="951"/>
      <c r="B2015" s="951"/>
    </row>
    <row r="2016" spans="1:2">
      <c r="A2016" s="951"/>
      <c r="B2016" s="951"/>
    </row>
    <row r="2017" spans="1:2">
      <c r="A2017" s="951"/>
      <c r="B2017" s="951"/>
    </row>
    <row r="2018" spans="1:2">
      <c r="A2018" s="951"/>
      <c r="B2018" s="951"/>
    </row>
    <row r="2019" spans="1:2">
      <c r="A2019" s="951"/>
      <c r="B2019" s="951"/>
    </row>
    <row r="2020" spans="1:2">
      <c r="A2020" s="951"/>
      <c r="B2020" s="951"/>
    </row>
    <row r="2021" spans="1:2">
      <c r="A2021" s="951"/>
      <c r="B2021" s="951"/>
    </row>
    <row r="2022" spans="1:2">
      <c r="A2022" s="951"/>
      <c r="B2022" s="951"/>
    </row>
    <row r="2023" spans="1:2">
      <c r="A2023" s="951"/>
      <c r="B2023" s="951"/>
    </row>
    <row r="2024" spans="1:2">
      <c r="A2024" s="951"/>
      <c r="B2024" s="951"/>
    </row>
    <row r="2025" spans="1:2">
      <c r="A2025" s="951"/>
      <c r="B2025" s="951"/>
    </row>
    <row r="2026" spans="1:2">
      <c r="A2026" s="951"/>
      <c r="B2026" s="951"/>
    </row>
    <row r="2027" spans="1:2">
      <c r="A2027" s="951"/>
      <c r="B2027" s="951"/>
    </row>
    <row r="2028" spans="1:2">
      <c r="A2028" s="951"/>
      <c r="B2028" s="951"/>
    </row>
    <row r="2029" spans="1:2">
      <c r="A2029" s="951"/>
      <c r="B2029" s="951"/>
    </row>
    <row r="2030" spans="1:2">
      <c r="A2030" s="951"/>
      <c r="B2030" s="951"/>
    </row>
    <row r="2031" spans="1:2">
      <c r="A2031" s="951"/>
      <c r="B2031" s="951"/>
    </row>
    <row r="2032" spans="1:2">
      <c r="A2032" s="951"/>
      <c r="B2032" s="951"/>
    </row>
    <row r="2033" spans="1:2">
      <c r="A2033" s="951"/>
      <c r="B2033" s="951"/>
    </row>
    <row r="2034" spans="1:2">
      <c r="A2034" s="951"/>
      <c r="B2034" s="951"/>
    </row>
    <row r="2035" spans="1:2">
      <c r="A2035" s="951"/>
      <c r="B2035" s="951"/>
    </row>
    <row r="2036" spans="1:2">
      <c r="A2036" s="951"/>
      <c r="B2036" s="951"/>
    </row>
    <row r="2037" spans="1:2">
      <c r="A2037" s="951"/>
      <c r="B2037" s="951"/>
    </row>
    <row r="2038" spans="1:2">
      <c r="A2038" s="951"/>
      <c r="B2038" s="951"/>
    </row>
    <row r="2039" spans="1:2">
      <c r="A2039" s="951"/>
      <c r="B2039" s="951"/>
    </row>
    <row r="2040" spans="1:2">
      <c r="A2040" s="951"/>
      <c r="B2040" s="951"/>
    </row>
    <row r="2041" spans="1:2">
      <c r="A2041" s="951"/>
      <c r="B2041" s="951"/>
    </row>
    <row r="2042" spans="1:2">
      <c r="A2042" s="951"/>
      <c r="B2042" s="951"/>
    </row>
    <row r="2043" spans="1:2">
      <c r="A2043" s="951"/>
      <c r="B2043" s="951"/>
    </row>
    <row r="2044" spans="1:2">
      <c r="A2044" s="951"/>
      <c r="B2044" s="951"/>
    </row>
    <row r="2045" spans="1:2">
      <c r="A2045" s="951"/>
      <c r="B2045" s="951"/>
    </row>
    <row r="2046" spans="1:2">
      <c r="A2046" s="951"/>
      <c r="B2046" s="951"/>
    </row>
    <row r="2047" spans="1:2">
      <c r="A2047" s="951"/>
      <c r="B2047" s="951"/>
    </row>
    <row r="2048" spans="1:2">
      <c r="A2048" s="951"/>
      <c r="B2048" s="951"/>
    </row>
    <row r="2049" spans="1:2">
      <c r="A2049" s="951"/>
      <c r="B2049" s="951"/>
    </row>
    <row r="2050" spans="1:2">
      <c r="A2050" s="951"/>
      <c r="B2050" s="951"/>
    </row>
    <row r="2051" spans="1:2">
      <c r="A2051" s="951"/>
      <c r="B2051" s="951"/>
    </row>
    <row r="2052" spans="1:2">
      <c r="A2052" s="951"/>
      <c r="B2052" s="951"/>
    </row>
    <row r="2053" spans="1:2">
      <c r="A2053" s="951"/>
      <c r="B2053" s="951"/>
    </row>
    <row r="2054" spans="1:2">
      <c r="A2054" s="951"/>
      <c r="B2054" s="951"/>
    </row>
    <row r="2055" spans="1:2">
      <c r="A2055" s="951"/>
      <c r="B2055" s="951"/>
    </row>
    <row r="2056" spans="1:2">
      <c r="A2056" s="951"/>
      <c r="B2056" s="951"/>
    </row>
    <row r="2057" spans="1:2">
      <c r="A2057" s="951"/>
      <c r="B2057" s="951"/>
    </row>
    <row r="2058" spans="1:2">
      <c r="A2058" s="951"/>
      <c r="B2058" s="951"/>
    </row>
    <row r="2059" spans="1:2">
      <c r="A2059" s="951"/>
      <c r="B2059" s="951"/>
    </row>
    <row r="2060" spans="1:2">
      <c r="A2060" s="951"/>
      <c r="B2060" s="951"/>
    </row>
    <row r="2061" spans="1:2">
      <c r="A2061" s="951"/>
      <c r="B2061" s="951"/>
    </row>
    <row r="2062" spans="1:2">
      <c r="A2062" s="951"/>
      <c r="B2062" s="951"/>
    </row>
    <row r="2063" spans="1:2">
      <c r="A2063" s="951"/>
      <c r="B2063" s="951"/>
    </row>
    <row r="2064" spans="1:2">
      <c r="A2064" s="951"/>
      <c r="B2064" s="951"/>
    </row>
    <row r="2065" spans="1:2">
      <c r="A2065" s="951"/>
      <c r="B2065" s="951"/>
    </row>
    <row r="2066" spans="1:2">
      <c r="A2066" s="951"/>
      <c r="B2066" s="951"/>
    </row>
    <row r="2067" spans="1:2">
      <c r="A2067" s="951"/>
      <c r="B2067" s="951"/>
    </row>
    <row r="2068" spans="1:2">
      <c r="A2068" s="951"/>
      <c r="B2068" s="951"/>
    </row>
    <row r="2069" spans="1:2">
      <c r="A2069" s="951"/>
      <c r="B2069" s="951"/>
    </row>
    <row r="2070" spans="1:2">
      <c r="A2070" s="951"/>
      <c r="B2070" s="951"/>
    </row>
    <row r="2071" spans="1:2">
      <c r="A2071" s="951"/>
      <c r="B2071" s="951"/>
    </row>
    <row r="2072" spans="1:2">
      <c r="A2072" s="951"/>
      <c r="B2072" s="951"/>
    </row>
    <row r="2073" spans="1:2">
      <c r="A2073" s="951"/>
      <c r="B2073" s="951"/>
    </row>
    <row r="2074" spans="1:2">
      <c r="A2074" s="951"/>
      <c r="B2074" s="951"/>
    </row>
    <row r="2075" spans="1:2">
      <c r="A2075" s="951"/>
      <c r="B2075" s="951"/>
    </row>
    <row r="2076" spans="1:2">
      <c r="A2076" s="951"/>
      <c r="B2076" s="951"/>
    </row>
    <row r="2077" spans="1:2">
      <c r="A2077" s="951"/>
      <c r="B2077" s="951"/>
    </row>
    <row r="2078" spans="1:2">
      <c r="A2078" s="951"/>
      <c r="B2078" s="951"/>
    </row>
    <row r="2079" spans="1:2">
      <c r="A2079" s="951"/>
      <c r="B2079" s="951"/>
    </row>
    <row r="2080" spans="1:2">
      <c r="A2080" s="951"/>
      <c r="B2080" s="951"/>
    </row>
    <row r="2081" spans="1:2">
      <c r="A2081" s="951"/>
      <c r="B2081" s="951"/>
    </row>
    <row r="2082" spans="1:2">
      <c r="A2082" s="951"/>
      <c r="B2082" s="951"/>
    </row>
    <row r="2083" spans="1:2">
      <c r="A2083" s="951"/>
      <c r="B2083" s="951"/>
    </row>
    <row r="2084" spans="1:2">
      <c r="A2084" s="951"/>
      <c r="B2084" s="951"/>
    </row>
    <row r="2085" spans="1:2">
      <c r="A2085" s="951"/>
      <c r="B2085" s="951"/>
    </row>
    <row r="2086" spans="1:2">
      <c r="A2086" s="951"/>
      <c r="B2086" s="951"/>
    </row>
    <row r="2087" spans="1:2">
      <c r="A2087" s="951"/>
      <c r="B2087" s="951"/>
    </row>
    <row r="2088" spans="1:2">
      <c r="A2088" s="951"/>
      <c r="B2088" s="951"/>
    </row>
    <row r="2089" spans="1:2">
      <c r="A2089" s="951"/>
      <c r="B2089" s="951"/>
    </row>
    <row r="2090" spans="1:2">
      <c r="A2090" s="951"/>
      <c r="B2090" s="951"/>
    </row>
    <row r="2091" spans="1:2">
      <c r="A2091" s="951"/>
      <c r="B2091" s="951"/>
    </row>
    <row r="2092" spans="1:2">
      <c r="A2092" s="951"/>
      <c r="B2092" s="951"/>
    </row>
    <row r="2093" spans="1:2">
      <c r="A2093" s="951"/>
      <c r="B2093" s="951"/>
    </row>
    <row r="2094" spans="1:2">
      <c r="A2094" s="951"/>
      <c r="B2094" s="951"/>
    </row>
    <row r="2095" spans="1:2">
      <c r="A2095" s="951"/>
      <c r="B2095" s="951"/>
    </row>
    <row r="2096" spans="1:2">
      <c r="A2096" s="951"/>
      <c r="B2096" s="951"/>
    </row>
    <row r="2097" spans="1:2">
      <c r="A2097" s="951"/>
      <c r="B2097" s="951"/>
    </row>
    <row r="2098" spans="1:2">
      <c r="A2098" s="951"/>
      <c r="B2098" s="951"/>
    </row>
    <row r="2099" spans="1:2">
      <c r="A2099" s="951"/>
      <c r="B2099" s="951"/>
    </row>
    <row r="2100" spans="1:2">
      <c r="A2100" s="951"/>
      <c r="B2100" s="951"/>
    </row>
    <row r="2101" spans="1:2">
      <c r="A2101" s="951"/>
      <c r="B2101" s="951"/>
    </row>
    <row r="2102" spans="1:2">
      <c r="A2102" s="951"/>
      <c r="B2102" s="951"/>
    </row>
    <row r="2103" spans="1:2">
      <c r="A2103" s="951"/>
      <c r="B2103" s="951"/>
    </row>
    <row r="2104" spans="1:2">
      <c r="A2104" s="951"/>
      <c r="B2104" s="951"/>
    </row>
    <row r="2105" spans="1:2">
      <c r="A2105" s="951"/>
      <c r="B2105" s="951"/>
    </row>
    <row r="2106" spans="1:2">
      <c r="A2106" s="951"/>
      <c r="B2106" s="951"/>
    </row>
    <row r="2107" spans="1:2">
      <c r="A2107" s="951"/>
      <c r="B2107" s="951"/>
    </row>
    <row r="2108" spans="1:2">
      <c r="A2108" s="951"/>
      <c r="B2108" s="951"/>
    </row>
    <row r="2109" spans="1:2">
      <c r="A2109" s="951"/>
      <c r="B2109" s="951"/>
    </row>
    <row r="2110" spans="1:2">
      <c r="A2110" s="951"/>
      <c r="B2110" s="951"/>
    </row>
    <row r="2111" spans="1:2">
      <c r="A2111" s="951"/>
      <c r="B2111" s="951"/>
    </row>
    <row r="2112" spans="1:2">
      <c r="A2112" s="951"/>
      <c r="B2112" s="951"/>
    </row>
    <row r="2113" spans="1:2">
      <c r="A2113" s="951"/>
      <c r="B2113" s="951"/>
    </row>
    <row r="2114" spans="1:2">
      <c r="A2114" s="951"/>
      <c r="B2114" s="951"/>
    </row>
    <row r="2115" spans="1:2">
      <c r="A2115" s="951"/>
      <c r="B2115" s="951"/>
    </row>
    <row r="2116" spans="1:2">
      <c r="A2116" s="951"/>
      <c r="B2116" s="951"/>
    </row>
    <row r="2117" spans="1:2">
      <c r="A2117" s="951"/>
      <c r="B2117" s="951"/>
    </row>
    <row r="2118" spans="1:2">
      <c r="A2118" s="951"/>
      <c r="B2118" s="951"/>
    </row>
    <row r="2119" spans="1:2">
      <c r="A2119" s="951"/>
      <c r="B2119" s="951"/>
    </row>
    <row r="2120" spans="1:2">
      <c r="A2120" s="951"/>
      <c r="B2120" s="951"/>
    </row>
    <row r="2121" spans="1:2">
      <c r="A2121" s="951"/>
      <c r="B2121" s="951"/>
    </row>
    <row r="2122" spans="1:2">
      <c r="A2122" s="951"/>
      <c r="B2122" s="951"/>
    </row>
    <row r="2123" spans="1:2">
      <c r="A2123" s="951"/>
      <c r="B2123" s="951"/>
    </row>
    <row r="2124" spans="1:2">
      <c r="A2124" s="951"/>
      <c r="B2124" s="951"/>
    </row>
    <row r="2125" spans="1:2">
      <c r="A2125" s="951"/>
      <c r="B2125" s="951"/>
    </row>
    <row r="2126" spans="1:2">
      <c r="A2126" s="951"/>
      <c r="B2126" s="951"/>
    </row>
    <row r="2127" spans="1:2">
      <c r="A2127" s="951"/>
      <c r="B2127" s="951"/>
    </row>
    <row r="2128" spans="1:2">
      <c r="A2128" s="951"/>
      <c r="B2128" s="951"/>
    </row>
    <row r="2129" spans="1:2">
      <c r="A2129" s="951"/>
      <c r="B2129" s="951"/>
    </row>
    <row r="2130" spans="1:2">
      <c r="A2130" s="951"/>
      <c r="B2130" s="951"/>
    </row>
    <row r="2131" spans="1:2">
      <c r="A2131" s="951"/>
      <c r="B2131" s="951"/>
    </row>
    <row r="2132" spans="1:2">
      <c r="A2132" s="951"/>
      <c r="B2132" s="951"/>
    </row>
    <row r="2133" spans="1:2">
      <c r="A2133" s="951"/>
      <c r="B2133" s="951"/>
    </row>
    <row r="2134" spans="1:2">
      <c r="A2134" s="951"/>
      <c r="B2134" s="951"/>
    </row>
    <row r="2135" spans="1:2">
      <c r="A2135" s="951"/>
      <c r="B2135" s="951"/>
    </row>
    <row r="2136" spans="1:2">
      <c r="A2136" s="951"/>
      <c r="B2136" s="951"/>
    </row>
    <row r="2137" spans="1:2">
      <c r="A2137" s="951"/>
      <c r="B2137" s="951"/>
    </row>
    <row r="2138" spans="1:2">
      <c r="A2138" s="951"/>
      <c r="B2138" s="951"/>
    </row>
    <row r="2139" spans="1:2">
      <c r="A2139" s="951"/>
      <c r="B2139" s="951"/>
    </row>
    <row r="2140" spans="1:2">
      <c r="A2140" s="951"/>
      <c r="B2140" s="951"/>
    </row>
    <row r="2141" spans="1:2">
      <c r="A2141" s="951"/>
      <c r="B2141" s="951"/>
    </row>
    <row r="2142" spans="1:2">
      <c r="A2142" s="951"/>
      <c r="B2142" s="951"/>
    </row>
    <row r="2143" spans="1:2">
      <c r="A2143" s="951"/>
      <c r="B2143" s="951"/>
    </row>
    <row r="2144" spans="1:2">
      <c r="A2144" s="951"/>
      <c r="B2144" s="951"/>
    </row>
    <row r="2145" spans="1:2">
      <c r="A2145" s="951"/>
      <c r="B2145" s="951"/>
    </row>
    <row r="2146" spans="1:2">
      <c r="A2146" s="951"/>
      <c r="B2146" s="951"/>
    </row>
    <row r="2147" spans="1:2">
      <c r="A2147" s="951"/>
      <c r="B2147" s="951"/>
    </row>
    <row r="2148" spans="1:2">
      <c r="A2148" s="951"/>
      <c r="B2148" s="951"/>
    </row>
    <row r="2149" spans="1:2">
      <c r="A2149" s="951"/>
      <c r="B2149" s="951"/>
    </row>
    <row r="2150" spans="1:2">
      <c r="A2150" s="951"/>
      <c r="B2150" s="951"/>
    </row>
    <row r="2151" spans="1:2">
      <c r="A2151" s="951"/>
      <c r="B2151" s="951"/>
    </row>
    <row r="2152" spans="1:2">
      <c r="A2152" s="951"/>
      <c r="B2152" s="951"/>
    </row>
    <row r="2153" spans="1:2">
      <c r="A2153" s="951"/>
      <c r="B2153" s="951"/>
    </row>
    <row r="2154" spans="1:2">
      <c r="A2154" s="951"/>
      <c r="B2154" s="951"/>
    </row>
    <row r="2155" spans="1:2">
      <c r="A2155" s="951"/>
      <c r="B2155" s="951"/>
    </row>
    <row r="2156" spans="1:2">
      <c r="A2156" s="951"/>
      <c r="B2156" s="951"/>
    </row>
    <row r="2157" spans="1:2">
      <c r="A2157" s="951"/>
      <c r="B2157" s="951"/>
    </row>
    <row r="2158" spans="1:2">
      <c r="A2158" s="951"/>
      <c r="B2158" s="951"/>
    </row>
    <row r="2159" spans="1:2">
      <c r="A2159" s="951"/>
      <c r="B2159" s="951"/>
    </row>
    <row r="2160" spans="1:2">
      <c r="A2160" s="951"/>
      <c r="B2160" s="951"/>
    </row>
    <row r="2161" spans="1:2">
      <c r="A2161" s="951"/>
      <c r="B2161" s="951"/>
    </row>
    <row r="2162" spans="1:2">
      <c r="A2162" s="951"/>
      <c r="B2162" s="951"/>
    </row>
    <row r="2163" spans="1:2">
      <c r="A2163" s="951"/>
      <c r="B2163" s="951"/>
    </row>
    <row r="2164" spans="1:2">
      <c r="A2164" s="951"/>
      <c r="B2164" s="951"/>
    </row>
    <row r="2165" spans="1:2">
      <c r="A2165" s="951"/>
      <c r="B2165" s="951"/>
    </row>
    <row r="2166" spans="1:2">
      <c r="A2166" s="951"/>
      <c r="B2166" s="951"/>
    </row>
    <row r="2167" spans="1:2">
      <c r="A2167" s="951"/>
      <c r="B2167" s="951"/>
    </row>
    <row r="2168" spans="1:2">
      <c r="A2168" s="951"/>
      <c r="B2168" s="951"/>
    </row>
    <row r="2169" spans="1:2">
      <c r="A2169" s="951"/>
      <c r="B2169" s="951"/>
    </row>
    <row r="2170" spans="1:2">
      <c r="A2170" s="951"/>
      <c r="B2170" s="951"/>
    </row>
    <row r="2171" spans="1:2">
      <c r="A2171" s="951"/>
      <c r="B2171" s="951"/>
    </row>
    <row r="2172" spans="1:2">
      <c r="A2172" s="951"/>
      <c r="B2172" s="951"/>
    </row>
    <row r="2173" spans="1:2">
      <c r="A2173" s="951"/>
      <c r="B2173" s="951"/>
    </row>
    <row r="2174" spans="1:2">
      <c r="A2174" s="951"/>
      <c r="B2174" s="951"/>
    </row>
    <row r="2175" spans="1:2">
      <c r="A2175" s="951"/>
      <c r="B2175" s="951"/>
    </row>
    <row r="2176" spans="1:2">
      <c r="A2176" s="951"/>
      <c r="B2176" s="951"/>
    </row>
    <row r="2177" spans="1:2">
      <c r="A2177" s="951"/>
      <c r="B2177" s="951"/>
    </row>
    <row r="2178" spans="1:2">
      <c r="A2178" s="951"/>
      <c r="B2178" s="951"/>
    </row>
    <row r="2179" spans="1:2">
      <c r="A2179" s="951"/>
      <c r="B2179" s="951"/>
    </row>
    <row r="2180" spans="1:2">
      <c r="A2180" s="951"/>
      <c r="B2180" s="951"/>
    </row>
    <row r="2181" spans="1:2">
      <c r="A2181" s="951"/>
      <c r="B2181" s="951"/>
    </row>
    <row r="2182" spans="1:2">
      <c r="A2182" s="951"/>
      <c r="B2182" s="951"/>
    </row>
    <row r="2183" spans="1:2">
      <c r="A2183" s="951"/>
      <c r="B2183" s="951"/>
    </row>
    <row r="2184" spans="1:2">
      <c r="A2184" s="951"/>
      <c r="B2184" s="951"/>
    </row>
    <row r="2185" spans="1:2">
      <c r="A2185" s="951"/>
      <c r="B2185" s="951"/>
    </row>
    <row r="2186" spans="1:2">
      <c r="A2186" s="951"/>
      <c r="B2186" s="951"/>
    </row>
    <row r="2187" spans="1:2">
      <c r="A2187" s="951"/>
      <c r="B2187" s="951"/>
    </row>
    <row r="2188" spans="1:2">
      <c r="A2188" s="951"/>
      <c r="B2188" s="951"/>
    </row>
    <row r="2189" spans="1:2">
      <c r="A2189" s="951"/>
      <c r="B2189" s="951"/>
    </row>
    <row r="2190" spans="1:2">
      <c r="A2190" s="951"/>
      <c r="B2190" s="951"/>
    </row>
    <row r="2191" spans="1:2">
      <c r="A2191" s="951"/>
      <c r="B2191" s="951"/>
    </row>
    <row r="2192" spans="1:2">
      <c r="A2192" s="951"/>
      <c r="B2192" s="951"/>
    </row>
    <row r="2193" spans="1:2">
      <c r="A2193" s="951"/>
      <c r="B2193" s="951"/>
    </row>
    <row r="2194" spans="1:2">
      <c r="A2194" s="951"/>
      <c r="B2194" s="951"/>
    </row>
    <row r="2195" spans="1:2">
      <c r="A2195" s="951"/>
      <c r="B2195" s="951"/>
    </row>
    <row r="2196" spans="1:2">
      <c r="A2196" s="951"/>
      <c r="B2196" s="951"/>
    </row>
    <row r="2197" spans="1:2">
      <c r="A2197" s="951"/>
      <c r="B2197" s="951"/>
    </row>
    <row r="2198" spans="1:2">
      <c r="A2198" s="951"/>
      <c r="B2198" s="951"/>
    </row>
    <row r="2199" spans="1:2">
      <c r="A2199" s="951"/>
      <c r="B2199" s="951"/>
    </row>
    <row r="2200" spans="1:2">
      <c r="A2200" s="951"/>
      <c r="B2200" s="951"/>
    </row>
    <row r="2201" spans="1:2">
      <c r="A2201" s="951"/>
      <c r="B2201" s="951"/>
    </row>
    <row r="2202" spans="1:2">
      <c r="A2202" s="951"/>
      <c r="B2202" s="951"/>
    </row>
    <row r="2203" spans="1:2">
      <c r="A2203" s="951"/>
      <c r="B2203" s="951"/>
    </row>
    <row r="2204" spans="1:2">
      <c r="A2204" s="951"/>
      <c r="B2204" s="951"/>
    </row>
    <row r="2205" spans="1:2">
      <c r="A2205" s="951"/>
      <c r="B2205" s="951"/>
    </row>
    <row r="2206" spans="1:2">
      <c r="A2206" s="951"/>
      <c r="B2206" s="951"/>
    </row>
    <row r="2207" spans="1:2">
      <c r="A2207" s="951"/>
      <c r="B2207" s="951"/>
    </row>
    <row r="2208" spans="1:2">
      <c r="A2208" s="951"/>
      <c r="B2208" s="951"/>
    </row>
    <row r="2209" spans="1:2">
      <c r="A2209" s="951"/>
      <c r="B2209" s="951"/>
    </row>
    <row r="2210" spans="1:2">
      <c r="A2210" s="951"/>
      <c r="B2210" s="951"/>
    </row>
    <row r="2211" spans="1:2">
      <c r="A2211" s="951"/>
      <c r="B2211" s="951"/>
    </row>
    <row r="2212" spans="1:2">
      <c r="A2212" s="951"/>
      <c r="B2212" s="951"/>
    </row>
    <row r="2213" spans="1:2">
      <c r="A2213" s="951"/>
      <c r="B2213" s="951"/>
    </row>
    <row r="2214" spans="1:2">
      <c r="A2214" s="951"/>
      <c r="B2214" s="951"/>
    </row>
    <row r="2215" spans="1:2">
      <c r="A2215" s="951"/>
      <c r="B2215" s="951"/>
    </row>
    <row r="2216" spans="1:2">
      <c r="A2216" s="951"/>
      <c r="B2216" s="951"/>
    </row>
    <row r="2217" spans="1:2">
      <c r="A2217" s="951"/>
      <c r="B2217" s="951"/>
    </row>
    <row r="2218" spans="1:2">
      <c r="A2218" s="951"/>
      <c r="B2218" s="951"/>
    </row>
    <row r="2219" spans="1:2">
      <c r="A2219" s="951"/>
      <c r="B2219" s="951"/>
    </row>
    <row r="2220" spans="1:2">
      <c r="A2220" s="951"/>
      <c r="B2220" s="951"/>
    </row>
    <row r="2221" spans="1:2">
      <c r="A2221" s="951"/>
      <c r="B2221" s="951"/>
    </row>
    <row r="2222" spans="1:2">
      <c r="A2222" s="951"/>
      <c r="B2222" s="951"/>
    </row>
    <row r="2223" spans="1:2">
      <c r="A2223" s="951"/>
      <c r="B2223" s="951"/>
    </row>
    <row r="2224" spans="1:2">
      <c r="A2224" s="951"/>
      <c r="B2224" s="951"/>
    </row>
    <row r="2225" spans="1:2">
      <c r="A2225" s="951"/>
      <c r="B2225" s="951"/>
    </row>
    <row r="2226" spans="1:2">
      <c r="A2226" s="951"/>
      <c r="B2226" s="951"/>
    </row>
    <row r="2227" spans="1:2">
      <c r="A2227" s="951"/>
      <c r="B2227" s="951"/>
    </row>
    <row r="2228" spans="1:2">
      <c r="A2228" s="951"/>
      <c r="B2228" s="951"/>
    </row>
    <row r="2229" spans="1:2">
      <c r="A2229" s="951"/>
      <c r="B2229" s="951"/>
    </row>
    <row r="2230" spans="1:2">
      <c r="A2230" s="951"/>
      <c r="B2230" s="951"/>
    </row>
    <row r="2231" spans="1:2">
      <c r="A2231" s="951"/>
      <c r="B2231" s="951"/>
    </row>
    <row r="2232" spans="1:2">
      <c r="A2232" s="951"/>
      <c r="B2232" s="951"/>
    </row>
    <row r="2233" spans="1:2">
      <c r="A2233" s="951"/>
      <c r="B2233" s="951"/>
    </row>
    <row r="2234" spans="1:2">
      <c r="A2234" s="951"/>
      <c r="B2234" s="951"/>
    </row>
    <row r="2235" spans="1:2">
      <c r="A2235" s="951"/>
      <c r="B2235" s="951"/>
    </row>
    <row r="2236" spans="1:2">
      <c r="A2236" s="951"/>
      <c r="B2236" s="951"/>
    </row>
    <row r="2237" spans="1:2">
      <c r="A2237" s="951"/>
      <c r="B2237" s="951"/>
    </row>
    <row r="2238" spans="1:2">
      <c r="A2238" s="951"/>
      <c r="B2238" s="951"/>
    </row>
    <row r="2239" spans="1:2">
      <c r="A2239" s="951"/>
      <c r="B2239" s="951"/>
    </row>
    <row r="2240" spans="1:2">
      <c r="A2240" s="951"/>
      <c r="B2240" s="951"/>
    </row>
    <row r="2241" spans="1:2">
      <c r="A2241" s="951"/>
      <c r="B2241" s="951"/>
    </row>
    <row r="2242" spans="1:2">
      <c r="A2242" s="951"/>
      <c r="B2242" s="951"/>
    </row>
    <row r="2243" spans="1:2">
      <c r="A2243" s="951"/>
      <c r="B2243" s="951"/>
    </row>
    <row r="2244" spans="1:2">
      <c r="A2244" s="951"/>
      <c r="B2244" s="951"/>
    </row>
    <row r="2245" spans="1:2">
      <c r="A2245" s="951"/>
      <c r="B2245" s="951"/>
    </row>
    <row r="2246" spans="1:2">
      <c r="A2246" s="951"/>
      <c r="B2246" s="951"/>
    </row>
    <row r="2247" spans="1:2">
      <c r="A2247" s="951"/>
      <c r="B2247" s="951"/>
    </row>
    <row r="2248" spans="1:2">
      <c r="A2248" s="951"/>
      <c r="B2248" s="951"/>
    </row>
    <row r="2249" spans="1:2">
      <c r="A2249" s="951"/>
      <c r="B2249" s="951"/>
    </row>
    <row r="2250" spans="1:2">
      <c r="A2250" s="951"/>
      <c r="B2250" s="951"/>
    </row>
    <row r="2251" spans="1:2">
      <c r="A2251" s="951"/>
      <c r="B2251" s="951"/>
    </row>
    <row r="2252" spans="1:2">
      <c r="A2252" s="951"/>
      <c r="B2252" s="951"/>
    </row>
    <row r="2253" spans="1:2">
      <c r="A2253" s="951"/>
      <c r="B2253" s="951"/>
    </row>
    <row r="2254" spans="1:2">
      <c r="A2254" s="951"/>
      <c r="B2254" s="951"/>
    </row>
    <row r="2255" spans="1:2">
      <c r="A2255" s="951"/>
      <c r="B2255" s="951"/>
    </row>
    <row r="2256" spans="1:2">
      <c r="A2256" s="951"/>
      <c r="B2256" s="951"/>
    </row>
    <row r="2257" spans="1:2">
      <c r="A2257" s="951"/>
      <c r="B2257" s="951"/>
    </row>
    <row r="2258" spans="1:2">
      <c r="A2258" s="951"/>
      <c r="B2258" s="951"/>
    </row>
    <row r="2259" spans="1:2">
      <c r="A2259" s="951"/>
      <c r="B2259" s="951"/>
    </row>
    <row r="2260" spans="1:2">
      <c r="A2260" s="951"/>
      <c r="B2260" s="951"/>
    </row>
    <row r="2261" spans="1:2">
      <c r="A2261" s="951"/>
      <c r="B2261" s="951"/>
    </row>
    <row r="2262" spans="1:2">
      <c r="A2262" s="951"/>
      <c r="B2262" s="951"/>
    </row>
    <row r="2263" spans="1:2">
      <c r="A2263" s="951"/>
      <c r="B2263" s="951"/>
    </row>
    <row r="2264" spans="1:2">
      <c r="A2264" s="951"/>
      <c r="B2264" s="951"/>
    </row>
    <row r="2265" spans="1:2">
      <c r="A2265" s="951"/>
      <c r="B2265" s="951"/>
    </row>
    <row r="2266" spans="1:2">
      <c r="A2266" s="951"/>
      <c r="B2266" s="951"/>
    </row>
    <row r="2267" spans="1:2">
      <c r="A2267" s="951"/>
      <c r="B2267" s="951"/>
    </row>
    <row r="2268" spans="1:2">
      <c r="A2268" s="951"/>
      <c r="B2268" s="951"/>
    </row>
    <row r="2269" spans="1:2">
      <c r="A2269" s="951"/>
      <c r="B2269" s="951"/>
    </row>
    <row r="2270" spans="1:2">
      <c r="A2270" s="951"/>
      <c r="B2270" s="951"/>
    </row>
    <row r="2271" spans="1:2">
      <c r="A2271" s="951"/>
      <c r="B2271" s="951"/>
    </row>
    <row r="2272" spans="1:2">
      <c r="A2272" s="951"/>
      <c r="B2272" s="951"/>
    </row>
    <row r="2273" spans="1:2">
      <c r="A2273" s="951"/>
      <c r="B2273" s="951"/>
    </row>
    <row r="2274" spans="1:2">
      <c r="A2274" s="951"/>
      <c r="B2274" s="951"/>
    </row>
    <row r="2275" spans="1:2">
      <c r="A2275" s="951"/>
      <c r="B2275" s="951"/>
    </row>
    <row r="2276" spans="1:2">
      <c r="A2276" s="951"/>
      <c r="B2276" s="951"/>
    </row>
    <row r="2277" spans="1:2">
      <c r="A2277" s="951"/>
      <c r="B2277" s="951"/>
    </row>
    <row r="2278" spans="1:2">
      <c r="A2278" s="951"/>
      <c r="B2278" s="951"/>
    </row>
    <row r="2279" spans="1:2">
      <c r="A2279" s="951"/>
      <c r="B2279" s="951"/>
    </row>
    <row r="2280" spans="1:2">
      <c r="A2280" s="951"/>
      <c r="B2280" s="951"/>
    </row>
    <row r="2281" spans="1:2">
      <c r="A2281" s="951"/>
      <c r="B2281" s="951"/>
    </row>
    <row r="2282" spans="1:2">
      <c r="A2282" s="951"/>
      <c r="B2282" s="951"/>
    </row>
    <row r="2283" spans="1:2">
      <c r="A2283" s="951"/>
      <c r="B2283" s="951"/>
    </row>
    <row r="2284" spans="1:2">
      <c r="A2284" s="951"/>
      <c r="B2284" s="951"/>
    </row>
    <row r="2285" spans="1:2">
      <c r="A2285" s="951"/>
      <c r="B2285" s="951"/>
    </row>
    <row r="2286" spans="1:2">
      <c r="A2286" s="951"/>
      <c r="B2286" s="951"/>
    </row>
    <row r="2287" spans="1:2">
      <c r="A2287" s="951"/>
      <c r="B2287" s="951"/>
    </row>
    <row r="2288" spans="1:2">
      <c r="A2288" s="951"/>
      <c r="B2288" s="951"/>
    </row>
    <row r="2289" spans="1:2">
      <c r="A2289" s="951"/>
      <c r="B2289" s="951"/>
    </row>
    <row r="2290" spans="1:2">
      <c r="A2290" s="951"/>
      <c r="B2290" s="951"/>
    </row>
    <row r="2291" spans="1:2">
      <c r="A2291" s="951"/>
      <c r="B2291" s="951"/>
    </row>
    <row r="2292" spans="1:2">
      <c r="A2292" s="951"/>
      <c r="B2292" s="951"/>
    </row>
    <row r="2293" spans="1:2">
      <c r="A2293" s="951"/>
      <c r="B2293" s="951"/>
    </row>
    <row r="2294" spans="1:2">
      <c r="A2294" s="951"/>
      <c r="B2294" s="951"/>
    </row>
    <row r="2295" spans="1:2">
      <c r="A2295" s="951"/>
      <c r="B2295" s="951"/>
    </row>
    <row r="2296" spans="1:2">
      <c r="A2296" s="951"/>
      <c r="B2296" s="951"/>
    </row>
    <row r="2297" spans="1:2">
      <c r="A2297" s="951"/>
      <c r="B2297" s="951"/>
    </row>
    <row r="2298" spans="1:2">
      <c r="A2298" s="951"/>
      <c r="B2298" s="951"/>
    </row>
    <row r="2299" spans="1:2">
      <c r="A2299" s="951"/>
      <c r="B2299" s="951"/>
    </row>
    <row r="2300" spans="1:2">
      <c r="A2300" s="951"/>
      <c r="B2300" s="951"/>
    </row>
    <row r="2301" spans="1:2">
      <c r="A2301" s="951"/>
      <c r="B2301" s="951"/>
    </row>
    <row r="2302" spans="1:2">
      <c r="A2302" s="951"/>
      <c r="B2302" s="951"/>
    </row>
    <row r="2303" spans="1:2">
      <c r="A2303" s="951"/>
      <c r="B2303" s="951"/>
    </row>
    <row r="2304" spans="1:2">
      <c r="A2304" s="951"/>
      <c r="B2304" s="951"/>
    </row>
    <row r="2305" spans="1:2">
      <c r="A2305" s="951"/>
      <c r="B2305" s="951"/>
    </row>
    <row r="2306" spans="1:2">
      <c r="A2306" s="951"/>
      <c r="B2306" s="951"/>
    </row>
    <row r="2307" spans="1:2">
      <c r="A2307" s="951"/>
      <c r="B2307" s="951"/>
    </row>
    <row r="2308" spans="1:2">
      <c r="A2308" s="951"/>
      <c r="B2308" s="951"/>
    </row>
    <row r="2309" spans="1:2">
      <c r="A2309" s="951"/>
      <c r="B2309" s="951"/>
    </row>
    <row r="2310" spans="1:2">
      <c r="A2310" s="951"/>
      <c r="B2310" s="951"/>
    </row>
    <row r="2311" spans="1:2">
      <c r="A2311" s="951"/>
      <c r="B2311" s="951"/>
    </row>
    <row r="2312" spans="1:2">
      <c r="A2312" s="951"/>
      <c r="B2312" s="951"/>
    </row>
    <row r="2313" spans="1:2">
      <c r="A2313" s="951"/>
      <c r="B2313" s="951"/>
    </row>
    <row r="2314" spans="1:2">
      <c r="A2314" s="951"/>
      <c r="B2314" s="951"/>
    </row>
    <row r="2315" spans="1:2">
      <c r="A2315" s="951"/>
      <c r="B2315" s="951"/>
    </row>
    <row r="2316" spans="1:2">
      <c r="A2316" s="951"/>
      <c r="B2316" s="951"/>
    </row>
    <row r="2317" spans="1:2">
      <c r="A2317" s="951"/>
      <c r="B2317" s="951"/>
    </row>
    <row r="2318" spans="1:2">
      <c r="A2318" s="951"/>
      <c r="B2318" s="951"/>
    </row>
    <row r="2319" spans="1:2">
      <c r="A2319" s="951"/>
      <c r="B2319" s="951"/>
    </row>
    <row r="2320" spans="1:2">
      <c r="A2320" s="951"/>
      <c r="B2320" s="951"/>
    </row>
    <row r="2321" spans="1:2">
      <c r="A2321" s="951"/>
      <c r="B2321" s="951"/>
    </row>
    <row r="2322" spans="1:2">
      <c r="A2322" s="951"/>
      <c r="B2322" s="951"/>
    </row>
    <row r="2323" spans="1:2">
      <c r="A2323" s="951"/>
      <c r="B2323" s="951"/>
    </row>
    <row r="2324" spans="1:2">
      <c r="A2324" s="951"/>
      <c r="B2324" s="951"/>
    </row>
    <row r="2325" spans="1:2">
      <c r="A2325" s="951"/>
      <c r="B2325" s="951"/>
    </row>
    <row r="2326" spans="1:2">
      <c r="A2326" s="951"/>
      <c r="B2326" s="951"/>
    </row>
    <row r="2327" spans="1:2">
      <c r="A2327" s="951"/>
      <c r="B2327" s="951"/>
    </row>
    <row r="2328" spans="1:2">
      <c r="A2328" s="951"/>
      <c r="B2328" s="951"/>
    </row>
    <row r="2329" spans="1:2">
      <c r="A2329" s="951"/>
      <c r="B2329" s="951"/>
    </row>
    <row r="2330" spans="1:2">
      <c r="A2330" s="951"/>
      <c r="B2330" s="951"/>
    </row>
    <row r="2331" spans="1:2">
      <c r="A2331" s="951"/>
      <c r="B2331" s="951"/>
    </row>
    <row r="2332" spans="1:2">
      <c r="A2332" s="951"/>
      <c r="B2332" s="951"/>
    </row>
    <row r="2333" spans="1:2">
      <c r="A2333" s="951"/>
      <c r="B2333" s="951"/>
    </row>
    <row r="2334" spans="1:2">
      <c r="A2334" s="951"/>
      <c r="B2334" s="951"/>
    </row>
    <row r="2335" spans="1:2">
      <c r="A2335" s="951"/>
      <c r="B2335" s="951"/>
    </row>
    <row r="2336" spans="1:2">
      <c r="A2336" s="951"/>
      <c r="B2336" s="951"/>
    </row>
    <row r="2337" spans="1:2">
      <c r="A2337" s="951"/>
      <c r="B2337" s="951"/>
    </row>
    <row r="2338" spans="1:2">
      <c r="A2338" s="951"/>
      <c r="B2338" s="951"/>
    </row>
    <row r="2339" spans="1:2">
      <c r="A2339" s="951"/>
      <c r="B2339" s="951"/>
    </row>
    <row r="2340" spans="1:2">
      <c r="A2340" s="951"/>
      <c r="B2340" s="951"/>
    </row>
    <row r="2341" spans="1:2">
      <c r="A2341" s="951"/>
      <c r="B2341" s="951"/>
    </row>
    <row r="2342" spans="1:2">
      <c r="A2342" s="951"/>
      <c r="B2342" s="951"/>
    </row>
    <row r="2343" spans="1:2">
      <c r="A2343" s="951"/>
      <c r="B2343" s="951"/>
    </row>
    <row r="2344" spans="1:2">
      <c r="A2344" s="951"/>
      <c r="B2344" s="951"/>
    </row>
    <row r="2345" spans="1:2">
      <c r="A2345" s="951"/>
      <c r="B2345" s="951"/>
    </row>
    <row r="2346" spans="1:2">
      <c r="A2346" s="951"/>
      <c r="B2346" s="951"/>
    </row>
    <row r="2347" spans="1:2">
      <c r="A2347" s="951"/>
      <c r="B2347" s="951"/>
    </row>
    <row r="2348" spans="1:2">
      <c r="A2348" s="951"/>
      <c r="B2348" s="951"/>
    </row>
    <row r="2349" spans="1:2">
      <c r="A2349" s="951"/>
      <c r="B2349" s="951"/>
    </row>
    <row r="2350" spans="1:2">
      <c r="A2350" s="951"/>
      <c r="B2350" s="951"/>
    </row>
    <row r="2351" spans="1:2">
      <c r="A2351" s="951"/>
      <c r="B2351" s="951"/>
    </row>
    <row r="2352" spans="1:2">
      <c r="A2352" s="951"/>
      <c r="B2352" s="951"/>
    </row>
    <row r="2353" spans="1:2">
      <c r="A2353" s="951"/>
      <c r="B2353" s="951"/>
    </row>
    <row r="2354" spans="1:2">
      <c r="A2354" s="951"/>
      <c r="B2354" s="951"/>
    </row>
    <row r="2355" spans="1:2">
      <c r="A2355" s="951"/>
      <c r="B2355" s="951"/>
    </row>
    <row r="2356" spans="1:2">
      <c r="A2356" s="951"/>
      <c r="B2356" s="951"/>
    </row>
    <row r="2357" spans="1:2">
      <c r="A2357" s="951"/>
      <c r="B2357" s="951"/>
    </row>
    <row r="2358" spans="1:2">
      <c r="A2358" s="951"/>
      <c r="B2358" s="951"/>
    </row>
    <row r="2359" spans="1:2">
      <c r="A2359" s="951"/>
      <c r="B2359" s="951"/>
    </row>
    <row r="2360" spans="1:2">
      <c r="A2360" s="951"/>
      <c r="B2360" s="951"/>
    </row>
    <row r="2361" spans="1:2">
      <c r="A2361" s="951"/>
      <c r="B2361" s="951"/>
    </row>
    <row r="2362" spans="1:2">
      <c r="A2362" s="951"/>
      <c r="B2362" s="951"/>
    </row>
    <row r="2363" spans="1:2">
      <c r="A2363" s="951"/>
      <c r="B2363" s="951"/>
    </row>
    <row r="2364" spans="1:2">
      <c r="A2364" s="951"/>
      <c r="B2364" s="951"/>
    </row>
    <row r="2365" spans="1:2">
      <c r="A2365" s="951"/>
      <c r="B2365" s="951"/>
    </row>
    <row r="2366" spans="1:2">
      <c r="A2366" s="951"/>
      <c r="B2366" s="951"/>
    </row>
    <row r="2367" spans="1:2">
      <c r="A2367" s="951"/>
      <c r="B2367" s="951"/>
    </row>
    <row r="2368" spans="1:2">
      <c r="A2368" s="951"/>
      <c r="B2368" s="951"/>
    </row>
    <row r="2369" spans="1:2">
      <c r="A2369" s="951"/>
      <c r="B2369" s="951"/>
    </row>
    <row r="2370" spans="1:2">
      <c r="A2370" s="951"/>
      <c r="B2370" s="951"/>
    </row>
    <row r="2371" spans="1:2">
      <c r="A2371" s="951"/>
      <c r="B2371" s="951"/>
    </row>
    <row r="2372" spans="1:2">
      <c r="A2372" s="951"/>
      <c r="B2372" s="951"/>
    </row>
    <row r="2373" spans="1:2">
      <c r="A2373" s="951"/>
      <c r="B2373" s="951"/>
    </row>
    <row r="2374" spans="1:2">
      <c r="A2374" s="951"/>
      <c r="B2374" s="951"/>
    </row>
    <row r="2375" spans="1:2">
      <c r="A2375" s="951"/>
      <c r="B2375" s="951"/>
    </row>
    <row r="2376" spans="1:2">
      <c r="A2376" s="951"/>
      <c r="B2376" s="951"/>
    </row>
    <row r="2377" spans="1:2">
      <c r="A2377" s="951"/>
      <c r="B2377" s="951"/>
    </row>
    <row r="2378" spans="1:2">
      <c r="A2378" s="951"/>
      <c r="B2378" s="951"/>
    </row>
    <row r="2379" spans="1:2">
      <c r="A2379" s="951"/>
      <c r="B2379" s="951"/>
    </row>
    <row r="2380" spans="1:2">
      <c r="A2380" s="951"/>
      <c r="B2380" s="951"/>
    </row>
    <row r="2381" spans="1:2">
      <c r="A2381" s="951"/>
      <c r="B2381" s="951"/>
    </row>
    <row r="2382" spans="1:2">
      <c r="A2382" s="951"/>
      <c r="B2382" s="951"/>
    </row>
    <row r="2383" spans="1:2">
      <c r="A2383" s="951"/>
      <c r="B2383" s="951"/>
    </row>
    <row r="2384" spans="1:2">
      <c r="A2384" s="951"/>
      <c r="B2384" s="951"/>
    </row>
    <row r="2385" spans="1:2">
      <c r="A2385" s="951"/>
      <c r="B2385" s="951"/>
    </row>
    <row r="2386" spans="1:2">
      <c r="A2386" s="951"/>
      <c r="B2386" s="951"/>
    </row>
    <row r="2387" spans="1:2">
      <c r="A2387" s="951"/>
      <c r="B2387" s="951"/>
    </row>
    <row r="2388" spans="1:2">
      <c r="A2388" s="951"/>
      <c r="B2388" s="951"/>
    </row>
    <row r="2389" spans="1:2">
      <c r="A2389" s="951"/>
      <c r="B2389" s="951"/>
    </row>
    <row r="2390" spans="1:2">
      <c r="A2390" s="951"/>
      <c r="B2390" s="951"/>
    </row>
    <row r="2391" spans="1:2">
      <c r="A2391" s="951"/>
      <c r="B2391" s="951"/>
    </row>
    <row r="2392" spans="1:2">
      <c r="A2392" s="951"/>
      <c r="B2392" s="951"/>
    </row>
    <row r="2393" spans="1:2">
      <c r="A2393" s="951"/>
      <c r="B2393" s="951"/>
    </row>
    <row r="2394" spans="1:2">
      <c r="A2394" s="951"/>
      <c r="B2394" s="951"/>
    </row>
    <row r="2395" spans="1:2">
      <c r="A2395" s="951"/>
      <c r="B2395" s="951"/>
    </row>
    <row r="2396" spans="1:2">
      <c r="A2396" s="951"/>
      <c r="B2396" s="951"/>
    </row>
    <row r="2397" spans="1:2">
      <c r="A2397" s="951"/>
      <c r="B2397" s="951"/>
    </row>
    <row r="2398" spans="1:2">
      <c r="A2398" s="951"/>
      <c r="B2398" s="951"/>
    </row>
    <row r="2399" spans="1:2">
      <c r="A2399" s="951"/>
      <c r="B2399" s="951"/>
    </row>
    <row r="2400" spans="1:2">
      <c r="A2400" s="951"/>
      <c r="B2400" s="951"/>
    </row>
    <row r="2401" spans="1:2">
      <c r="A2401" s="951"/>
      <c r="B2401" s="951"/>
    </row>
    <row r="2402" spans="1:2">
      <c r="A2402" s="951"/>
      <c r="B2402" s="951"/>
    </row>
    <row r="2403" spans="1:2">
      <c r="A2403" s="951"/>
      <c r="B2403" s="951"/>
    </row>
    <row r="2404" spans="1:2">
      <c r="A2404" s="951"/>
      <c r="B2404" s="951"/>
    </row>
    <row r="2405" spans="1:2">
      <c r="A2405" s="951"/>
      <c r="B2405" s="951"/>
    </row>
    <row r="2406" spans="1:2">
      <c r="A2406" s="951"/>
      <c r="B2406" s="951"/>
    </row>
    <row r="2407" spans="1:2">
      <c r="A2407" s="951"/>
      <c r="B2407" s="951"/>
    </row>
    <row r="2408" spans="1:2">
      <c r="A2408" s="951"/>
      <c r="B2408" s="951"/>
    </row>
    <row r="2409" spans="1:2">
      <c r="A2409" s="951"/>
      <c r="B2409" s="951"/>
    </row>
    <row r="2410" spans="1:2">
      <c r="A2410" s="951"/>
      <c r="B2410" s="951"/>
    </row>
    <row r="2411" spans="1:2">
      <c r="A2411" s="951"/>
      <c r="B2411" s="951"/>
    </row>
    <row r="2412" spans="1:2">
      <c r="A2412" s="951"/>
      <c r="B2412" s="951"/>
    </row>
    <row r="2413" spans="1:2">
      <c r="A2413" s="951"/>
      <c r="B2413" s="951"/>
    </row>
    <row r="2414" spans="1:2">
      <c r="A2414" s="951"/>
      <c r="B2414" s="951"/>
    </row>
    <row r="2415" spans="1:2">
      <c r="A2415" s="951"/>
      <c r="B2415" s="951"/>
    </row>
    <row r="2416" spans="1:2">
      <c r="A2416" s="951"/>
      <c r="B2416" s="951"/>
    </row>
    <row r="2417" spans="1:2">
      <c r="A2417" s="951"/>
      <c r="B2417" s="951"/>
    </row>
    <row r="2418" spans="1:2">
      <c r="A2418" s="951"/>
      <c r="B2418" s="951"/>
    </row>
    <row r="2419" spans="1:2">
      <c r="A2419" s="951"/>
      <c r="B2419" s="951"/>
    </row>
    <row r="2420" spans="1:2">
      <c r="A2420" s="951"/>
      <c r="B2420" s="951"/>
    </row>
    <row r="2421" spans="1:2">
      <c r="A2421" s="951"/>
      <c r="B2421" s="951"/>
    </row>
    <row r="2422" spans="1:2">
      <c r="A2422" s="951"/>
      <c r="B2422" s="951"/>
    </row>
    <row r="2423" spans="1:2">
      <c r="A2423" s="951"/>
      <c r="B2423" s="951"/>
    </row>
    <row r="2424" spans="1:2">
      <c r="A2424" s="951"/>
      <c r="B2424" s="951"/>
    </row>
    <row r="2425" spans="1:2">
      <c r="A2425" s="951"/>
      <c r="B2425" s="951"/>
    </row>
    <row r="2426" spans="1:2">
      <c r="A2426" s="951"/>
      <c r="B2426" s="951"/>
    </row>
    <row r="2427" spans="1:2">
      <c r="A2427" s="951"/>
      <c r="B2427" s="951"/>
    </row>
    <row r="2428" spans="1:2">
      <c r="A2428" s="951"/>
      <c r="B2428" s="951"/>
    </row>
    <row r="2429" spans="1:2">
      <c r="A2429" s="951"/>
      <c r="B2429" s="951"/>
    </row>
    <row r="2430" spans="1:2">
      <c r="A2430" s="951"/>
      <c r="B2430" s="951"/>
    </row>
    <row r="2431" spans="1:2">
      <c r="A2431" s="951"/>
      <c r="B2431" s="951"/>
    </row>
    <row r="2432" spans="1:2">
      <c r="A2432" s="951"/>
      <c r="B2432" s="951"/>
    </row>
    <row r="2433" spans="1:2">
      <c r="A2433" s="951"/>
      <c r="B2433" s="951"/>
    </row>
    <row r="2434" spans="1:2">
      <c r="A2434" s="951"/>
      <c r="B2434" s="951"/>
    </row>
    <row r="2435" spans="1:2">
      <c r="A2435" s="951"/>
      <c r="B2435" s="951"/>
    </row>
    <row r="2436" spans="1:2">
      <c r="A2436" s="951"/>
      <c r="B2436" s="951"/>
    </row>
    <row r="2437" spans="1:2">
      <c r="A2437" s="951"/>
      <c r="B2437" s="951"/>
    </row>
    <row r="2438" spans="1:2">
      <c r="A2438" s="951"/>
      <c r="B2438" s="951"/>
    </row>
    <row r="2439" spans="1:2">
      <c r="A2439" s="951"/>
      <c r="B2439" s="951"/>
    </row>
    <row r="2440" spans="1:2">
      <c r="A2440" s="951"/>
      <c r="B2440" s="951"/>
    </row>
    <row r="2441" spans="1:2">
      <c r="A2441" s="951"/>
      <c r="B2441" s="951"/>
    </row>
    <row r="2442" spans="1:2">
      <c r="A2442" s="951"/>
      <c r="B2442" s="951"/>
    </row>
    <row r="2443" spans="1:2">
      <c r="A2443" s="951"/>
      <c r="B2443" s="951"/>
    </row>
    <row r="2444" spans="1:2">
      <c r="A2444" s="951"/>
      <c r="B2444" s="951"/>
    </row>
    <row r="2445" spans="1:2">
      <c r="A2445" s="951"/>
      <c r="B2445" s="951"/>
    </row>
    <row r="2446" spans="1:2">
      <c r="A2446" s="951"/>
      <c r="B2446" s="951"/>
    </row>
    <row r="2447" spans="1:2">
      <c r="A2447" s="951"/>
      <c r="B2447" s="951"/>
    </row>
    <row r="2448" spans="1:2">
      <c r="A2448" s="951"/>
      <c r="B2448" s="951"/>
    </row>
    <row r="2449" spans="1:2">
      <c r="A2449" s="951"/>
      <c r="B2449" s="951"/>
    </row>
    <row r="2450" spans="1:2">
      <c r="A2450" s="951"/>
      <c r="B2450" s="951"/>
    </row>
    <row r="2451" spans="1:2">
      <c r="A2451" s="951"/>
      <c r="B2451" s="951"/>
    </row>
    <row r="2452" spans="1:2">
      <c r="A2452" s="951"/>
      <c r="B2452" s="951"/>
    </row>
    <row r="2453" spans="1:2">
      <c r="A2453" s="951"/>
      <c r="B2453" s="951"/>
    </row>
    <row r="2454" spans="1:2">
      <c r="A2454" s="951"/>
      <c r="B2454" s="951"/>
    </row>
    <row r="2455" spans="1:2">
      <c r="A2455" s="951"/>
      <c r="B2455" s="951"/>
    </row>
    <row r="2456" spans="1:2">
      <c r="A2456" s="951"/>
      <c r="B2456" s="951"/>
    </row>
    <row r="2457" spans="1:2">
      <c r="A2457" s="951"/>
      <c r="B2457" s="951"/>
    </row>
    <row r="2458" spans="1:2">
      <c r="A2458" s="951"/>
      <c r="B2458" s="951"/>
    </row>
    <row r="2459" spans="1:2">
      <c r="A2459" s="951"/>
      <c r="B2459" s="951"/>
    </row>
    <row r="2460" spans="1:2">
      <c r="A2460" s="951"/>
      <c r="B2460" s="951"/>
    </row>
    <row r="2461" spans="1:2">
      <c r="A2461" s="951"/>
      <c r="B2461" s="951"/>
    </row>
    <row r="2462" spans="1:2">
      <c r="A2462" s="951"/>
      <c r="B2462" s="951"/>
    </row>
    <row r="2463" spans="1:2">
      <c r="A2463" s="951"/>
      <c r="B2463" s="951"/>
    </row>
    <row r="2464" spans="1:2">
      <c r="A2464" s="951"/>
      <c r="B2464" s="951"/>
    </row>
    <row r="2465" spans="1:2">
      <c r="A2465" s="951"/>
      <c r="B2465" s="951"/>
    </row>
    <row r="2466" spans="1:2">
      <c r="A2466" s="951"/>
      <c r="B2466" s="951"/>
    </row>
    <row r="2467" spans="1:2">
      <c r="A2467" s="951"/>
      <c r="B2467" s="951"/>
    </row>
    <row r="2468" spans="1:2">
      <c r="A2468" s="951"/>
      <c r="B2468" s="951"/>
    </row>
    <row r="2469" spans="1:2">
      <c r="A2469" s="951"/>
      <c r="B2469" s="951"/>
    </row>
    <row r="2470" spans="1:2">
      <c r="A2470" s="951"/>
      <c r="B2470" s="951"/>
    </row>
    <row r="2471" spans="1:2">
      <c r="A2471" s="951"/>
      <c r="B2471" s="951"/>
    </row>
    <row r="2472" spans="1:2">
      <c r="A2472" s="951"/>
      <c r="B2472" s="951"/>
    </row>
    <row r="2473" spans="1:2">
      <c r="A2473" s="951"/>
      <c r="B2473" s="951"/>
    </row>
    <row r="2474" spans="1:2">
      <c r="A2474" s="951"/>
      <c r="B2474" s="951"/>
    </row>
    <row r="2475" spans="1:2">
      <c r="A2475" s="951"/>
      <c r="B2475" s="951"/>
    </row>
    <row r="2476" spans="1:2">
      <c r="A2476" s="951"/>
      <c r="B2476" s="951"/>
    </row>
    <row r="2477" spans="1:2">
      <c r="A2477" s="951"/>
      <c r="B2477" s="951"/>
    </row>
    <row r="2478" spans="1:2">
      <c r="A2478" s="951"/>
      <c r="B2478" s="951"/>
    </row>
    <row r="2479" spans="1:2">
      <c r="A2479" s="951"/>
      <c r="B2479" s="951"/>
    </row>
    <row r="2480" spans="1:2">
      <c r="A2480" s="951"/>
      <c r="B2480" s="951"/>
    </row>
    <row r="2481" spans="1:2">
      <c r="A2481" s="951"/>
      <c r="B2481" s="951"/>
    </row>
    <row r="2482" spans="1:2">
      <c r="A2482" s="951"/>
      <c r="B2482" s="951"/>
    </row>
    <row r="2483" spans="1:2">
      <c r="A2483" s="951"/>
      <c r="B2483" s="951"/>
    </row>
    <row r="2484" spans="1:2">
      <c r="A2484" s="951"/>
      <c r="B2484" s="951"/>
    </row>
    <row r="2485" spans="1:2">
      <c r="A2485" s="951"/>
      <c r="B2485" s="951"/>
    </row>
    <row r="2486" spans="1:2">
      <c r="A2486" s="951"/>
      <c r="B2486" s="951"/>
    </row>
    <row r="2487" spans="1:2">
      <c r="A2487" s="951"/>
      <c r="B2487" s="951"/>
    </row>
    <row r="2488" spans="1:2">
      <c r="A2488" s="951"/>
      <c r="B2488" s="951"/>
    </row>
    <row r="2489" spans="1:2">
      <c r="A2489" s="951"/>
      <c r="B2489" s="951"/>
    </row>
    <row r="2490" spans="1:2">
      <c r="A2490" s="951"/>
      <c r="B2490" s="951"/>
    </row>
    <row r="2491" spans="1:2">
      <c r="A2491" s="951"/>
      <c r="B2491" s="951"/>
    </row>
    <row r="2492" spans="1:2">
      <c r="A2492" s="951"/>
      <c r="B2492" s="951"/>
    </row>
    <row r="2493" spans="1:2">
      <c r="A2493" s="951"/>
      <c r="B2493" s="951"/>
    </row>
    <row r="2494" spans="1:2">
      <c r="A2494" s="951"/>
      <c r="B2494" s="951"/>
    </row>
    <row r="2495" spans="1:2">
      <c r="A2495" s="951"/>
      <c r="B2495" s="951"/>
    </row>
    <row r="2496" spans="1:2">
      <c r="A2496" s="951"/>
      <c r="B2496" s="951"/>
    </row>
    <row r="2497" spans="1:2">
      <c r="A2497" s="951"/>
      <c r="B2497" s="951"/>
    </row>
    <row r="2498" spans="1:2">
      <c r="A2498" s="951"/>
      <c r="B2498" s="951"/>
    </row>
    <row r="2499" spans="1:2">
      <c r="A2499" s="951"/>
      <c r="B2499" s="951"/>
    </row>
    <row r="2500" spans="1:2">
      <c r="A2500" s="951"/>
      <c r="B2500" s="951"/>
    </row>
    <row r="2501" spans="1:2">
      <c r="A2501" s="951"/>
      <c r="B2501" s="951"/>
    </row>
    <row r="2502" spans="1:2">
      <c r="A2502" s="951"/>
      <c r="B2502" s="951"/>
    </row>
    <row r="2503" spans="1:2">
      <c r="A2503" s="951"/>
      <c r="B2503" s="951"/>
    </row>
    <row r="2504" spans="1:2">
      <c r="A2504" s="951"/>
      <c r="B2504" s="951"/>
    </row>
    <row r="2505" spans="1:2">
      <c r="A2505" s="951"/>
      <c r="B2505" s="951"/>
    </row>
    <row r="2506" spans="1:2">
      <c r="A2506" s="951"/>
      <c r="B2506" s="951"/>
    </row>
    <row r="2507" spans="1:2">
      <c r="A2507" s="951"/>
      <c r="B2507" s="951"/>
    </row>
    <row r="2508" spans="1:2">
      <c r="A2508" s="951"/>
      <c r="B2508" s="951"/>
    </row>
    <row r="2509" spans="1:2">
      <c r="A2509" s="951"/>
      <c r="B2509" s="951"/>
    </row>
    <row r="2510" spans="1:2">
      <c r="A2510" s="951"/>
      <c r="B2510" s="951"/>
    </row>
    <row r="2511" spans="1:2">
      <c r="A2511" s="951"/>
      <c r="B2511" s="951"/>
    </row>
    <row r="2512" spans="1:2">
      <c r="A2512" s="951"/>
      <c r="B2512" s="951"/>
    </row>
    <row r="2513" spans="1:2">
      <c r="A2513" s="951"/>
      <c r="B2513" s="951"/>
    </row>
    <row r="2514" spans="1:2">
      <c r="A2514" s="951"/>
      <c r="B2514" s="951"/>
    </row>
    <row r="2515" spans="1:2">
      <c r="A2515" s="951"/>
      <c r="B2515" s="951"/>
    </row>
    <row r="2516" spans="1:2">
      <c r="A2516" s="951"/>
      <c r="B2516" s="951"/>
    </row>
    <row r="2517" spans="1:2">
      <c r="A2517" s="951"/>
      <c r="B2517" s="951"/>
    </row>
    <row r="2518" spans="1:2">
      <c r="A2518" s="951"/>
      <c r="B2518" s="951"/>
    </row>
    <row r="2519" spans="1:2">
      <c r="A2519" s="951"/>
      <c r="B2519" s="951"/>
    </row>
    <row r="2520" spans="1:2">
      <c r="A2520" s="951"/>
      <c r="B2520" s="951"/>
    </row>
    <row r="2521" spans="1:2">
      <c r="A2521" s="951"/>
      <c r="B2521" s="951"/>
    </row>
    <row r="2522" spans="1:2">
      <c r="A2522" s="951"/>
      <c r="B2522" s="951"/>
    </row>
    <row r="2523" spans="1:2">
      <c r="A2523" s="951"/>
      <c r="B2523" s="951"/>
    </row>
    <row r="2524" spans="1:2">
      <c r="A2524" s="951"/>
      <c r="B2524" s="951"/>
    </row>
    <row r="2525" spans="1:2">
      <c r="A2525" s="951"/>
      <c r="B2525" s="951"/>
    </row>
    <row r="2526" spans="1:2">
      <c r="A2526" s="951"/>
      <c r="B2526" s="951"/>
    </row>
    <row r="2527" spans="1:2">
      <c r="A2527" s="951"/>
      <c r="B2527" s="951"/>
    </row>
    <row r="2528" spans="1:2">
      <c r="A2528" s="951"/>
      <c r="B2528" s="951"/>
    </row>
    <row r="2529" spans="1:2">
      <c r="A2529" s="951"/>
      <c r="B2529" s="951"/>
    </row>
    <row r="2530" spans="1:2">
      <c r="A2530" s="951"/>
      <c r="B2530" s="951"/>
    </row>
    <row r="2531" spans="1:2">
      <c r="A2531" s="951"/>
      <c r="B2531" s="951"/>
    </row>
    <row r="2532" spans="1:2">
      <c r="A2532" s="951"/>
      <c r="B2532" s="951"/>
    </row>
    <row r="2533" spans="1:2">
      <c r="A2533" s="951"/>
      <c r="B2533" s="951"/>
    </row>
    <row r="2534" spans="1:2">
      <c r="A2534" s="951"/>
      <c r="B2534" s="951"/>
    </row>
    <row r="2535" spans="1:2">
      <c r="A2535" s="951"/>
      <c r="B2535" s="951"/>
    </row>
    <row r="2536" spans="1:2">
      <c r="A2536" s="951"/>
      <c r="B2536" s="951"/>
    </row>
    <row r="2537" spans="1:2">
      <c r="A2537" s="951"/>
      <c r="B2537" s="951"/>
    </row>
    <row r="2538" spans="1:2">
      <c r="A2538" s="951"/>
      <c r="B2538" s="951"/>
    </row>
    <row r="2539" spans="1:2">
      <c r="A2539" s="951"/>
      <c r="B2539" s="951"/>
    </row>
    <row r="2540" spans="1:2">
      <c r="A2540" s="951"/>
      <c r="B2540" s="951"/>
    </row>
    <row r="2541" spans="1:2">
      <c r="A2541" s="951"/>
      <c r="B2541" s="951"/>
    </row>
    <row r="2542" spans="1:2">
      <c r="A2542" s="951"/>
      <c r="B2542" s="951"/>
    </row>
    <row r="2543" spans="1:2">
      <c r="A2543" s="951"/>
      <c r="B2543" s="951"/>
    </row>
    <row r="2544" spans="1:2">
      <c r="A2544" s="951"/>
      <c r="B2544" s="951"/>
    </row>
    <row r="2545" spans="1:2">
      <c r="A2545" s="951"/>
      <c r="B2545" s="951"/>
    </row>
    <row r="2546" spans="1:2">
      <c r="A2546" s="951"/>
      <c r="B2546" s="951"/>
    </row>
    <row r="2547" spans="1:2">
      <c r="A2547" s="951"/>
      <c r="B2547" s="951"/>
    </row>
    <row r="2548" spans="1:2">
      <c r="A2548" s="951"/>
      <c r="B2548" s="951"/>
    </row>
    <row r="2549" spans="1:2">
      <c r="A2549" s="951"/>
      <c r="B2549" s="951"/>
    </row>
    <row r="2550" spans="1:2">
      <c r="A2550" s="951"/>
      <c r="B2550" s="951"/>
    </row>
    <row r="2551" spans="1:2">
      <c r="A2551" s="951"/>
      <c r="B2551" s="951"/>
    </row>
    <row r="2552" spans="1:2">
      <c r="A2552" s="951"/>
      <c r="B2552" s="951"/>
    </row>
    <row r="2553" spans="1:2">
      <c r="A2553" s="951"/>
      <c r="B2553" s="951"/>
    </row>
    <row r="2554" spans="1:2">
      <c r="A2554" s="951"/>
      <c r="B2554" s="951"/>
    </row>
    <row r="2555" spans="1:2">
      <c r="A2555" s="951"/>
      <c r="B2555" s="951"/>
    </row>
    <row r="2556" spans="1:2">
      <c r="A2556" s="951"/>
      <c r="B2556" s="951"/>
    </row>
    <row r="2557" spans="1:2">
      <c r="A2557" s="951"/>
      <c r="B2557" s="951"/>
    </row>
    <row r="2558" spans="1:2">
      <c r="A2558" s="951"/>
      <c r="B2558" s="951"/>
    </row>
    <row r="2559" spans="1:2">
      <c r="A2559" s="951"/>
      <c r="B2559" s="951"/>
    </row>
    <row r="2560" spans="1:2">
      <c r="A2560" s="951"/>
      <c r="B2560" s="951"/>
    </row>
    <row r="2561" spans="1:2">
      <c r="A2561" s="951"/>
      <c r="B2561" s="951"/>
    </row>
    <row r="2562" spans="1:2">
      <c r="A2562" s="951"/>
      <c r="B2562" s="951"/>
    </row>
    <row r="2563" spans="1:2">
      <c r="A2563" s="951"/>
      <c r="B2563" s="951"/>
    </row>
    <row r="2564" spans="1:2">
      <c r="A2564" s="951"/>
      <c r="B2564" s="951"/>
    </row>
    <row r="2565" spans="1:2">
      <c r="A2565" s="951"/>
      <c r="B2565" s="951"/>
    </row>
    <row r="2566" spans="1:2">
      <c r="A2566" s="951"/>
      <c r="B2566" s="951"/>
    </row>
    <row r="2567" spans="1:2">
      <c r="A2567" s="951"/>
      <c r="B2567" s="951"/>
    </row>
    <row r="2568" spans="1:2">
      <c r="A2568" s="951"/>
      <c r="B2568" s="951"/>
    </row>
    <row r="2569" spans="1:2">
      <c r="A2569" s="951"/>
      <c r="B2569" s="951"/>
    </row>
    <row r="2570" spans="1:2">
      <c r="A2570" s="951"/>
      <c r="B2570" s="951"/>
    </row>
    <row r="2571" spans="1:2">
      <c r="A2571" s="951"/>
      <c r="B2571" s="951"/>
    </row>
    <row r="2572" spans="1:2">
      <c r="A2572" s="951"/>
      <c r="B2572" s="951"/>
    </row>
    <row r="2573" spans="1:2">
      <c r="A2573" s="951"/>
      <c r="B2573" s="951"/>
    </row>
    <row r="2574" spans="1:2">
      <c r="A2574" s="951"/>
      <c r="B2574" s="951"/>
    </row>
    <row r="2575" spans="1:2">
      <c r="A2575" s="951"/>
      <c r="B2575" s="951"/>
    </row>
    <row r="2576" spans="1:2">
      <c r="A2576" s="951"/>
      <c r="B2576" s="951"/>
    </row>
    <row r="2577" spans="1:2">
      <c r="A2577" s="951"/>
      <c r="B2577" s="951"/>
    </row>
    <row r="2578" spans="1:2">
      <c r="A2578" s="951"/>
      <c r="B2578" s="951"/>
    </row>
    <row r="2579" spans="1:2">
      <c r="A2579" s="951"/>
      <c r="B2579" s="951"/>
    </row>
    <row r="2580" spans="1:2">
      <c r="A2580" s="951"/>
      <c r="B2580" s="951"/>
    </row>
    <row r="2581" spans="1:2">
      <c r="A2581" s="951"/>
      <c r="B2581" s="951"/>
    </row>
    <row r="2582" spans="1:2">
      <c r="A2582" s="951"/>
      <c r="B2582" s="951"/>
    </row>
    <row r="2583" spans="1:2">
      <c r="A2583" s="951"/>
      <c r="B2583" s="951"/>
    </row>
    <row r="2584" spans="1:2">
      <c r="A2584" s="951"/>
      <c r="B2584" s="951"/>
    </row>
    <row r="2585" spans="1:2">
      <c r="A2585" s="951"/>
      <c r="B2585" s="951"/>
    </row>
    <row r="2586" spans="1:2">
      <c r="A2586" s="951"/>
      <c r="B2586" s="951"/>
    </row>
    <row r="2587" spans="1:2">
      <c r="A2587" s="951"/>
      <c r="B2587" s="951"/>
    </row>
    <row r="2588" spans="1:2">
      <c r="A2588" s="951"/>
      <c r="B2588" s="951"/>
    </row>
    <row r="2589" spans="1:2">
      <c r="A2589" s="951"/>
      <c r="B2589" s="951"/>
    </row>
    <row r="2590" spans="1:2">
      <c r="A2590" s="951"/>
      <c r="B2590" s="951"/>
    </row>
    <row r="2591" spans="1:2">
      <c r="A2591" s="951"/>
      <c r="B2591" s="951"/>
    </row>
    <row r="2592" spans="1:2">
      <c r="A2592" s="951"/>
      <c r="B2592" s="951"/>
    </row>
    <row r="2593" spans="1:2">
      <c r="A2593" s="951"/>
      <c r="B2593" s="951"/>
    </row>
    <row r="2594" spans="1:2">
      <c r="A2594" s="951"/>
      <c r="B2594" s="951"/>
    </row>
    <row r="2595" spans="1:2">
      <c r="A2595" s="951"/>
      <c r="B2595" s="951"/>
    </row>
    <row r="2596" spans="1:2">
      <c r="A2596" s="951"/>
      <c r="B2596" s="951"/>
    </row>
    <row r="2597" spans="1:2">
      <c r="A2597" s="951"/>
      <c r="B2597" s="951"/>
    </row>
    <row r="2598" spans="1:2">
      <c r="A2598" s="951"/>
      <c r="B2598" s="951"/>
    </row>
    <row r="2599" spans="1:2">
      <c r="A2599" s="951"/>
      <c r="B2599" s="951"/>
    </row>
    <row r="2600" spans="1:2">
      <c r="A2600" s="951"/>
      <c r="B2600" s="951"/>
    </row>
    <row r="2601" spans="1:2">
      <c r="A2601" s="951"/>
      <c r="B2601" s="951"/>
    </row>
    <row r="2602" spans="1:2">
      <c r="A2602" s="951"/>
      <c r="B2602" s="951"/>
    </row>
    <row r="2603" spans="1:2">
      <c r="A2603" s="951"/>
      <c r="B2603" s="951"/>
    </row>
    <row r="2604" spans="1:2">
      <c r="A2604" s="951"/>
      <c r="B2604" s="951"/>
    </row>
    <row r="2605" spans="1:2">
      <c r="A2605" s="951"/>
      <c r="B2605" s="951"/>
    </row>
    <row r="2606" spans="1:2">
      <c r="A2606" s="951"/>
      <c r="B2606" s="951"/>
    </row>
    <row r="2607" spans="1:2">
      <c r="A2607" s="951"/>
      <c r="B2607" s="951"/>
    </row>
    <row r="2608" spans="1:2">
      <c r="A2608" s="951"/>
      <c r="B2608" s="951"/>
    </row>
    <row r="2609" spans="1:2">
      <c r="A2609" s="951"/>
      <c r="B2609" s="951"/>
    </row>
    <row r="2610" spans="1:2">
      <c r="A2610" s="951"/>
      <c r="B2610" s="951"/>
    </row>
    <row r="2611" spans="1:2">
      <c r="A2611" s="951"/>
      <c r="B2611" s="951"/>
    </row>
    <row r="2612" spans="1:2">
      <c r="A2612" s="951"/>
      <c r="B2612" s="951"/>
    </row>
    <row r="2613" spans="1:2">
      <c r="A2613" s="951"/>
      <c r="B2613" s="951"/>
    </row>
    <row r="2614" spans="1:2">
      <c r="A2614" s="951"/>
      <c r="B2614" s="951"/>
    </row>
    <row r="2615" spans="1:2">
      <c r="A2615" s="951"/>
      <c r="B2615" s="951"/>
    </row>
    <row r="2616" spans="1:2">
      <c r="A2616" s="951"/>
      <c r="B2616" s="951"/>
    </row>
    <row r="2617" spans="1:2">
      <c r="A2617" s="951"/>
      <c r="B2617" s="951"/>
    </row>
    <row r="2618" spans="1:2">
      <c r="A2618" s="951"/>
      <c r="B2618" s="951"/>
    </row>
    <row r="2619" spans="1:2">
      <c r="A2619" s="951"/>
      <c r="B2619" s="951"/>
    </row>
    <row r="2620" spans="1:2">
      <c r="A2620" s="951"/>
      <c r="B2620" s="951"/>
    </row>
    <row r="2621" spans="1:2">
      <c r="A2621" s="951"/>
      <c r="B2621" s="951"/>
    </row>
    <row r="2622" spans="1:2">
      <c r="A2622" s="951"/>
      <c r="B2622" s="951"/>
    </row>
    <row r="2623" spans="1:2">
      <c r="A2623" s="951"/>
      <c r="B2623" s="951"/>
    </row>
    <row r="2624" spans="1:2">
      <c r="A2624" s="951"/>
      <c r="B2624" s="951"/>
    </row>
    <row r="2625" spans="1:2">
      <c r="A2625" s="951"/>
      <c r="B2625" s="951"/>
    </row>
    <row r="2626" spans="1:2">
      <c r="A2626" s="951"/>
      <c r="B2626" s="951"/>
    </row>
    <row r="2627" spans="1:2">
      <c r="A2627" s="951"/>
      <c r="B2627" s="951"/>
    </row>
    <row r="2628" spans="1:2">
      <c r="A2628" s="951"/>
      <c r="B2628" s="951"/>
    </row>
    <row r="2629" spans="1:2">
      <c r="A2629" s="951"/>
      <c r="B2629" s="951"/>
    </row>
    <row r="2630" spans="1:2">
      <c r="A2630" s="951"/>
      <c r="B2630" s="951"/>
    </row>
    <row r="2631" spans="1:2">
      <c r="A2631" s="951"/>
      <c r="B2631" s="951"/>
    </row>
    <row r="2632" spans="1:2">
      <c r="A2632" s="951"/>
      <c r="B2632" s="951"/>
    </row>
    <row r="2633" spans="1:2">
      <c r="A2633" s="951"/>
      <c r="B2633" s="951"/>
    </row>
    <row r="2634" spans="1:2">
      <c r="A2634" s="951"/>
      <c r="B2634" s="951"/>
    </row>
    <row r="2635" spans="1:2">
      <c r="A2635" s="951"/>
      <c r="B2635" s="951"/>
    </row>
    <row r="2636" spans="1:2">
      <c r="A2636" s="951"/>
      <c r="B2636" s="951"/>
    </row>
    <row r="2637" spans="1:2">
      <c r="A2637" s="951"/>
      <c r="B2637" s="951"/>
    </row>
    <row r="2638" spans="1:2">
      <c r="A2638" s="951"/>
      <c r="B2638" s="951"/>
    </row>
    <row r="2639" spans="1:2">
      <c r="A2639" s="951"/>
      <c r="B2639" s="951"/>
    </row>
    <row r="2640" spans="1:2">
      <c r="A2640" s="951"/>
      <c r="B2640" s="951"/>
    </row>
    <row r="2641" spans="1:2">
      <c r="A2641" s="951"/>
      <c r="B2641" s="951"/>
    </row>
    <row r="2642" spans="1:2">
      <c r="A2642" s="951"/>
      <c r="B2642" s="951"/>
    </row>
    <row r="2643" spans="1:2">
      <c r="A2643" s="951"/>
      <c r="B2643" s="951"/>
    </row>
    <row r="2644" spans="1:2">
      <c r="A2644" s="951"/>
      <c r="B2644" s="951"/>
    </row>
    <row r="2645" spans="1:2">
      <c r="A2645" s="951"/>
      <c r="B2645" s="951"/>
    </row>
    <row r="2646" spans="1:2">
      <c r="A2646" s="951"/>
      <c r="B2646" s="951"/>
    </row>
    <row r="2647" spans="1:2">
      <c r="A2647" s="951"/>
      <c r="B2647" s="951"/>
    </row>
    <row r="2648" spans="1:2">
      <c r="A2648" s="951"/>
      <c r="B2648" s="951"/>
    </row>
    <row r="2649" spans="1:2">
      <c r="A2649" s="951"/>
      <c r="B2649" s="951"/>
    </row>
    <row r="2650" spans="1:2">
      <c r="A2650" s="951"/>
      <c r="B2650" s="951"/>
    </row>
    <row r="2651" spans="1:2">
      <c r="A2651" s="951"/>
      <c r="B2651" s="951"/>
    </row>
    <row r="2652" spans="1:2">
      <c r="A2652" s="951"/>
      <c r="B2652" s="951"/>
    </row>
    <row r="2653" spans="1:2">
      <c r="A2653" s="951"/>
      <c r="B2653" s="951"/>
    </row>
    <row r="2654" spans="1:2">
      <c r="A2654" s="951"/>
      <c r="B2654" s="951"/>
    </row>
    <row r="2655" spans="1:2">
      <c r="A2655" s="951"/>
      <c r="B2655" s="951"/>
    </row>
    <row r="2656" spans="1:2">
      <c r="A2656" s="951"/>
      <c r="B2656" s="951"/>
    </row>
    <row r="2657" spans="1:2">
      <c r="A2657" s="951"/>
      <c r="B2657" s="951"/>
    </row>
    <row r="2658" spans="1:2">
      <c r="A2658" s="951"/>
      <c r="B2658" s="951"/>
    </row>
    <row r="2659" spans="1:2">
      <c r="A2659" s="951"/>
      <c r="B2659" s="951"/>
    </row>
    <row r="2660" spans="1:2">
      <c r="A2660" s="951"/>
      <c r="B2660" s="951"/>
    </row>
    <row r="2661" spans="1:2">
      <c r="A2661" s="951"/>
      <c r="B2661" s="951"/>
    </row>
    <row r="2662" spans="1:2">
      <c r="A2662" s="951"/>
      <c r="B2662" s="951"/>
    </row>
    <row r="2663" spans="1:2">
      <c r="A2663" s="951"/>
      <c r="B2663" s="951"/>
    </row>
    <row r="2664" spans="1:2">
      <c r="A2664" s="951"/>
      <c r="B2664" s="951"/>
    </row>
    <row r="2665" spans="1:2">
      <c r="A2665" s="951"/>
      <c r="B2665" s="951"/>
    </row>
    <row r="2666" spans="1:2">
      <c r="A2666" s="951"/>
      <c r="B2666" s="951"/>
    </row>
    <row r="2667" spans="1:2">
      <c r="A2667" s="951"/>
      <c r="B2667" s="951"/>
    </row>
    <row r="2668" spans="1:2">
      <c r="A2668" s="951"/>
      <c r="B2668" s="951"/>
    </row>
    <row r="2669" spans="1:2">
      <c r="A2669" s="951"/>
      <c r="B2669" s="951"/>
    </row>
    <row r="2670" spans="1:2">
      <c r="A2670" s="951"/>
      <c r="B2670" s="951"/>
    </row>
    <row r="2671" spans="1:2">
      <c r="A2671" s="951"/>
      <c r="B2671" s="951"/>
    </row>
    <row r="2672" spans="1:2">
      <c r="A2672" s="951"/>
      <c r="B2672" s="951"/>
    </row>
    <row r="2673" spans="1:2">
      <c r="A2673" s="951"/>
      <c r="B2673" s="951"/>
    </row>
    <row r="2674" spans="1:2">
      <c r="A2674" s="951"/>
      <c r="B2674" s="951"/>
    </row>
    <row r="2675" spans="1:2">
      <c r="A2675" s="951"/>
      <c r="B2675" s="951"/>
    </row>
    <row r="2676" spans="1:2">
      <c r="A2676" s="951"/>
      <c r="B2676" s="951"/>
    </row>
    <row r="2677" spans="1:2">
      <c r="A2677" s="951"/>
      <c r="B2677" s="951"/>
    </row>
    <row r="2678" spans="1:2">
      <c r="A2678" s="951"/>
      <c r="B2678" s="951"/>
    </row>
    <row r="2679" spans="1:2">
      <c r="A2679" s="951"/>
      <c r="B2679" s="951"/>
    </row>
    <row r="2680" spans="1:2">
      <c r="A2680" s="951"/>
      <c r="B2680" s="951"/>
    </row>
    <row r="2681" spans="1:2">
      <c r="A2681" s="951"/>
      <c r="B2681" s="951"/>
    </row>
    <row r="2682" spans="1:2">
      <c r="A2682" s="951"/>
      <c r="B2682" s="951"/>
    </row>
    <row r="2683" spans="1:2">
      <c r="A2683" s="951"/>
      <c r="B2683" s="951"/>
    </row>
    <row r="2684" spans="1:2">
      <c r="A2684" s="951"/>
      <c r="B2684" s="951"/>
    </row>
    <row r="2685" spans="1:2">
      <c r="A2685" s="951"/>
      <c r="B2685" s="951"/>
    </row>
    <row r="2686" spans="1:2">
      <c r="A2686" s="951"/>
      <c r="B2686" s="951"/>
    </row>
    <row r="2687" spans="1:2">
      <c r="A2687" s="951"/>
      <c r="B2687" s="951"/>
    </row>
    <row r="2688" spans="1:2">
      <c r="A2688" s="951"/>
      <c r="B2688" s="951"/>
    </row>
    <row r="2689" spans="1:2">
      <c r="A2689" s="951"/>
      <c r="B2689" s="951"/>
    </row>
    <row r="2690" spans="1:2">
      <c r="A2690" s="951"/>
      <c r="B2690" s="951"/>
    </row>
    <row r="2691" spans="1:2">
      <c r="A2691" s="951"/>
      <c r="B2691" s="951"/>
    </row>
    <row r="2692" spans="1:2">
      <c r="A2692" s="951"/>
      <c r="B2692" s="951"/>
    </row>
    <row r="2693" spans="1:2">
      <c r="A2693" s="951"/>
      <c r="B2693" s="951"/>
    </row>
    <row r="2694" spans="1:2">
      <c r="A2694" s="951"/>
      <c r="B2694" s="951"/>
    </row>
    <row r="2695" spans="1:2">
      <c r="A2695" s="951"/>
      <c r="B2695" s="951"/>
    </row>
    <row r="2696" spans="1:2">
      <c r="A2696" s="951"/>
      <c r="B2696" s="951"/>
    </row>
    <row r="2697" spans="1:2">
      <c r="A2697" s="951"/>
      <c r="B2697" s="951"/>
    </row>
    <row r="2698" spans="1:2">
      <c r="A2698" s="951"/>
      <c r="B2698" s="951"/>
    </row>
    <row r="2699" spans="1:2">
      <c r="A2699" s="951"/>
      <c r="B2699" s="951"/>
    </row>
    <row r="2700" spans="1:2">
      <c r="A2700" s="951"/>
      <c r="B2700" s="951"/>
    </row>
    <row r="2701" spans="1:2">
      <c r="A2701" s="951"/>
      <c r="B2701" s="951"/>
    </row>
    <row r="2702" spans="1:2">
      <c r="A2702" s="951"/>
      <c r="B2702" s="951"/>
    </row>
    <row r="2703" spans="1:2">
      <c r="A2703" s="951"/>
      <c r="B2703" s="951"/>
    </row>
    <row r="2704" spans="1:2">
      <c r="A2704" s="951"/>
      <c r="B2704" s="951"/>
    </row>
    <row r="2705" spans="1:2">
      <c r="A2705" s="951"/>
      <c r="B2705" s="951"/>
    </row>
    <row r="2706" spans="1:2">
      <c r="A2706" s="951"/>
      <c r="B2706" s="951"/>
    </row>
    <row r="2707" spans="1:2">
      <c r="A2707" s="951"/>
      <c r="B2707" s="951"/>
    </row>
    <row r="2708" spans="1:2">
      <c r="A2708" s="951"/>
      <c r="B2708" s="951"/>
    </row>
    <row r="2709" spans="1:2">
      <c r="A2709" s="951"/>
      <c r="B2709" s="951"/>
    </row>
    <row r="2710" spans="1:2">
      <c r="A2710" s="951"/>
      <c r="B2710" s="951"/>
    </row>
    <row r="2711" spans="1:2">
      <c r="A2711" s="951"/>
      <c r="B2711" s="951"/>
    </row>
    <row r="2712" spans="1:2">
      <c r="A2712" s="951"/>
      <c r="B2712" s="951"/>
    </row>
    <row r="2713" spans="1:2">
      <c r="A2713" s="951"/>
      <c r="B2713" s="951"/>
    </row>
    <row r="2714" spans="1:2">
      <c r="A2714" s="951"/>
      <c r="B2714" s="951"/>
    </row>
    <row r="2715" spans="1:2">
      <c r="A2715" s="951"/>
      <c r="B2715" s="951"/>
    </row>
    <row r="2716" spans="1:2">
      <c r="A2716" s="951"/>
      <c r="B2716" s="951"/>
    </row>
    <row r="2717" spans="1:2">
      <c r="A2717" s="951"/>
      <c r="B2717" s="951"/>
    </row>
    <row r="2718" spans="1:2">
      <c r="A2718" s="951"/>
      <c r="B2718" s="951"/>
    </row>
    <row r="2719" spans="1:2">
      <c r="A2719" s="951"/>
      <c r="B2719" s="951"/>
    </row>
    <row r="2720" spans="1:2">
      <c r="A2720" s="951"/>
      <c r="B2720" s="951"/>
    </row>
    <row r="2721" spans="1:2">
      <c r="A2721" s="951"/>
      <c r="B2721" s="951"/>
    </row>
    <row r="2722" spans="1:2">
      <c r="A2722" s="951"/>
      <c r="B2722" s="951"/>
    </row>
    <row r="2723" spans="1:2">
      <c r="A2723" s="951"/>
      <c r="B2723" s="951"/>
    </row>
    <row r="2724" spans="1:2">
      <c r="A2724" s="951"/>
      <c r="B2724" s="951"/>
    </row>
    <row r="2725" spans="1:2">
      <c r="A2725" s="951"/>
      <c r="B2725" s="951"/>
    </row>
    <row r="2726" spans="1:2">
      <c r="A2726" s="951"/>
      <c r="B2726" s="951"/>
    </row>
    <row r="2727" spans="1:2">
      <c r="A2727" s="951"/>
      <c r="B2727" s="951"/>
    </row>
    <row r="2728" spans="1:2">
      <c r="A2728" s="951"/>
      <c r="B2728" s="951"/>
    </row>
    <row r="2729" spans="1:2">
      <c r="A2729" s="951"/>
      <c r="B2729" s="951"/>
    </row>
    <row r="2730" spans="1:2">
      <c r="A2730" s="951"/>
      <c r="B2730" s="951"/>
    </row>
    <row r="2731" spans="1:2">
      <c r="A2731" s="951"/>
      <c r="B2731" s="951"/>
    </row>
    <row r="2732" spans="1:2">
      <c r="A2732" s="951"/>
      <c r="B2732" s="951"/>
    </row>
    <row r="2733" spans="1:2">
      <c r="A2733" s="951"/>
      <c r="B2733" s="951"/>
    </row>
    <row r="2734" spans="1:2">
      <c r="A2734" s="951"/>
      <c r="B2734" s="951"/>
    </row>
    <row r="2735" spans="1:2">
      <c r="A2735" s="951"/>
      <c r="B2735" s="951"/>
    </row>
    <row r="2736" spans="1:2">
      <c r="A2736" s="951"/>
      <c r="B2736" s="951"/>
    </row>
    <row r="2737" spans="1:2">
      <c r="A2737" s="951"/>
      <c r="B2737" s="951"/>
    </row>
    <row r="2738" spans="1:2">
      <c r="A2738" s="951"/>
      <c r="B2738" s="951"/>
    </row>
    <row r="2739" spans="1:2">
      <c r="A2739" s="951"/>
      <c r="B2739" s="951"/>
    </row>
    <row r="2740" spans="1:2">
      <c r="A2740" s="951"/>
      <c r="B2740" s="951"/>
    </row>
    <row r="2741" spans="1:2">
      <c r="A2741" s="951"/>
      <c r="B2741" s="951"/>
    </row>
    <row r="2742" spans="1:2">
      <c r="A2742" s="951"/>
      <c r="B2742" s="951"/>
    </row>
    <row r="2743" spans="1:2">
      <c r="A2743" s="951"/>
      <c r="B2743" s="951"/>
    </row>
    <row r="2744" spans="1:2">
      <c r="A2744" s="951"/>
      <c r="B2744" s="951"/>
    </row>
    <row r="2745" spans="1:2">
      <c r="A2745" s="951"/>
      <c r="B2745" s="951"/>
    </row>
    <row r="2746" spans="1:2">
      <c r="A2746" s="951"/>
      <c r="B2746" s="951"/>
    </row>
    <row r="2747" spans="1:2">
      <c r="A2747" s="951"/>
      <c r="B2747" s="951"/>
    </row>
    <row r="2748" spans="1:2">
      <c r="A2748" s="951"/>
      <c r="B2748" s="951"/>
    </row>
    <row r="2749" spans="1:2">
      <c r="A2749" s="951"/>
      <c r="B2749" s="951"/>
    </row>
    <row r="2750" spans="1:2">
      <c r="A2750" s="951"/>
      <c r="B2750" s="951"/>
    </row>
    <row r="2751" spans="1:2">
      <c r="A2751" s="951"/>
      <c r="B2751" s="951"/>
    </row>
    <row r="2752" spans="1:2">
      <c r="A2752" s="951"/>
      <c r="B2752" s="951"/>
    </row>
    <row r="2753" spans="1:2">
      <c r="A2753" s="951"/>
      <c r="B2753" s="951"/>
    </row>
    <row r="2754" spans="1:2">
      <c r="A2754" s="951"/>
      <c r="B2754" s="951"/>
    </row>
    <row r="2755" spans="1:2">
      <c r="A2755" s="951"/>
      <c r="B2755" s="951"/>
    </row>
    <row r="2756" spans="1:2">
      <c r="A2756" s="951"/>
      <c r="B2756" s="951"/>
    </row>
    <row r="2757" spans="1:2">
      <c r="A2757" s="951"/>
      <c r="B2757" s="951"/>
    </row>
    <row r="2758" spans="1:2">
      <c r="A2758" s="951"/>
      <c r="B2758" s="951"/>
    </row>
    <row r="2759" spans="1:2">
      <c r="A2759" s="951"/>
      <c r="B2759" s="951"/>
    </row>
    <row r="2760" spans="1:2">
      <c r="A2760" s="951"/>
      <c r="B2760" s="951"/>
    </row>
    <row r="2761" spans="1:2">
      <c r="A2761" s="951"/>
      <c r="B2761" s="951"/>
    </row>
    <row r="2762" spans="1:2">
      <c r="A2762" s="951"/>
      <c r="B2762" s="951"/>
    </row>
    <row r="2763" spans="1:2">
      <c r="A2763" s="951"/>
      <c r="B2763" s="951"/>
    </row>
    <row r="2764" spans="1:2">
      <c r="A2764" s="951"/>
      <c r="B2764" s="951"/>
    </row>
    <row r="2765" spans="1:2">
      <c r="A2765" s="951"/>
      <c r="B2765" s="951"/>
    </row>
    <row r="2766" spans="1:2">
      <c r="A2766" s="951"/>
      <c r="B2766" s="951"/>
    </row>
    <row r="2767" spans="1:2">
      <c r="A2767" s="951"/>
      <c r="B2767" s="951"/>
    </row>
    <row r="2768" spans="1:2">
      <c r="A2768" s="951"/>
      <c r="B2768" s="951"/>
    </row>
    <row r="2769" spans="1:2">
      <c r="A2769" s="951"/>
      <c r="B2769" s="951"/>
    </row>
    <row r="2770" spans="1:2">
      <c r="A2770" s="951"/>
      <c r="B2770" s="951"/>
    </row>
    <row r="2771" spans="1:2">
      <c r="A2771" s="951"/>
      <c r="B2771" s="951"/>
    </row>
    <row r="2772" spans="1:2">
      <c r="A2772" s="951"/>
      <c r="B2772" s="951"/>
    </row>
    <row r="2773" spans="1:2">
      <c r="A2773" s="951"/>
      <c r="B2773" s="951"/>
    </row>
    <row r="2774" spans="1:2">
      <c r="A2774" s="951"/>
      <c r="B2774" s="951"/>
    </row>
    <row r="2775" spans="1:2">
      <c r="A2775" s="951"/>
      <c r="B2775" s="951"/>
    </row>
    <row r="2776" spans="1:2">
      <c r="A2776" s="951"/>
      <c r="B2776" s="951"/>
    </row>
    <row r="2777" spans="1:2">
      <c r="A2777" s="951"/>
      <c r="B2777" s="951"/>
    </row>
    <row r="2778" spans="1:2">
      <c r="A2778" s="951"/>
      <c r="B2778" s="951"/>
    </row>
    <row r="2779" spans="1:2">
      <c r="A2779" s="951"/>
      <c r="B2779" s="951"/>
    </row>
    <row r="2780" spans="1:2">
      <c r="A2780" s="951"/>
      <c r="B2780" s="951"/>
    </row>
    <row r="2781" spans="1:2">
      <c r="A2781" s="951"/>
      <c r="B2781" s="951"/>
    </row>
    <row r="2782" spans="1:2">
      <c r="A2782" s="951"/>
      <c r="B2782" s="951"/>
    </row>
    <row r="2783" spans="1:2">
      <c r="A2783" s="951"/>
      <c r="B2783" s="951"/>
    </row>
    <row r="2784" spans="1:2">
      <c r="A2784" s="951"/>
      <c r="B2784" s="951"/>
    </row>
    <row r="2785" spans="1:2">
      <c r="A2785" s="951"/>
      <c r="B2785" s="951"/>
    </row>
    <row r="2786" spans="1:2">
      <c r="A2786" s="951"/>
      <c r="B2786" s="951"/>
    </row>
    <row r="2787" spans="1:2">
      <c r="A2787" s="951"/>
      <c r="B2787" s="951"/>
    </row>
    <row r="2788" spans="1:2">
      <c r="A2788" s="951"/>
      <c r="B2788" s="951"/>
    </row>
    <row r="2789" spans="1:2">
      <c r="A2789" s="951"/>
      <c r="B2789" s="951"/>
    </row>
    <row r="2790" spans="1:2">
      <c r="A2790" s="951"/>
      <c r="B2790" s="951"/>
    </row>
    <row r="2791" spans="1:2">
      <c r="A2791" s="951"/>
      <c r="B2791" s="951"/>
    </row>
    <row r="2792" spans="1:2">
      <c r="A2792" s="951"/>
      <c r="B2792" s="951"/>
    </row>
    <row r="2793" spans="1:2">
      <c r="A2793" s="951"/>
      <c r="B2793" s="951"/>
    </row>
    <row r="2794" spans="1:2">
      <c r="A2794" s="951"/>
      <c r="B2794" s="951"/>
    </row>
    <row r="2795" spans="1:2">
      <c r="A2795" s="951"/>
      <c r="B2795" s="951"/>
    </row>
    <row r="2796" spans="1:2">
      <c r="A2796" s="951"/>
      <c r="B2796" s="951"/>
    </row>
    <row r="2797" spans="1:2">
      <c r="A2797" s="951"/>
      <c r="B2797" s="951"/>
    </row>
    <row r="2798" spans="1:2">
      <c r="A2798" s="951"/>
      <c r="B2798" s="951"/>
    </row>
    <row r="2799" spans="1:2">
      <c r="A2799" s="951"/>
      <c r="B2799" s="951"/>
    </row>
    <row r="2800" spans="1:2">
      <c r="A2800" s="951"/>
      <c r="B2800" s="951"/>
    </row>
    <row r="2801" spans="1:2">
      <c r="A2801" s="951"/>
      <c r="B2801" s="951"/>
    </row>
    <row r="2802" spans="1:2">
      <c r="A2802" s="951"/>
      <c r="B2802" s="951"/>
    </row>
    <row r="2803" spans="1:2">
      <c r="A2803" s="951"/>
      <c r="B2803" s="951"/>
    </row>
    <row r="2804" spans="1:2">
      <c r="A2804" s="951"/>
      <c r="B2804" s="951"/>
    </row>
    <row r="2805" spans="1:2">
      <c r="A2805" s="951"/>
      <c r="B2805" s="951"/>
    </row>
    <row r="2806" spans="1:2">
      <c r="A2806" s="951"/>
      <c r="B2806" s="951"/>
    </row>
    <row r="2807" spans="1:2">
      <c r="A2807" s="951"/>
      <c r="B2807" s="951"/>
    </row>
    <row r="2808" spans="1:2">
      <c r="A2808" s="951"/>
      <c r="B2808" s="951"/>
    </row>
    <row r="2809" spans="1:2">
      <c r="A2809" s="951"/>
      <c r="B2809" s="951"/>
    </row>
    <row r="2810" spans="1:2">
      <c r="A2810" s="951"/>
      <c r="B2810" s="951"/>
    </row>
    <row r="2811" spans="1:2">
      <c r="A2811" s="951"/>
      <c r="B2811" s="951"/>
    </row>
    <row r="2812" spans="1:2">
      <c r="A2812" s="951"/>
      <c r="B2812" s="951"/>
    </row>
    <row r="2813" spans="1:2">
      <c r="A2813" s="951"/>
      <c r="B2813" s="951"/>
    </row>
    <row r="2814" spans="1:2">
      <c r="A2814" s="951"/>
      <c r="B2814" s="951"/>
    </row>
    <row r="2815" spans="1:2">
      <c r="A2815" s="951"/>
      <c r="B2815" s="951"/>
    </row>
    <row r="2816" spans="1:2">
      <c r="A2816" s="951"/>
      <c r="B2816" s="951"/>
    </row>
    <row r="2817" spans="1:2">
      <c r="A2817" s="951"/>
      <c r="B2817" s="951"/>
    </row>
    <row r="2818" spans="1:2">
      <c r="A2818" s="951"/>
      <c r="B2818" s="951"/>
    </row>
    <row r="2819" spans="1:2">
      <c r="A2819" s="951"/>
      <c r="B2819" s="951"/>
    </row>
    <row r="2820" spans="1:2">
      <c r="A2820" s="951"/>
      <c r="B2820" s="951"/>
    </row>
    <row r="2821" spans="1:2">
      <c r="A2821" s="951"/>
      <c r="B2821" s="951"/>
    </row>
    <row r="2822" spans="1:2">
      <c r="A2822" s="951"/>
      <c r="B2822" s="951"/>
    </row>
    <row r="2823" spans="1:2">
      <c r="A2823" s="951"/>
      <c r="B2823" s="951"/>
    </row>
    <row r="2824" spans="1:2">
      <c r="A2824" s="951"/>
      <c r="B2824" s="951"/>
    </row>
    <row r="2825" spans="1:2">
      <c r="A2825" s="951"/>
      <c r="B2825" s="951"/>
    </row>
    <row r="2826" spans="1:2">
      <c r="A2826" s="951"/>
      <c r="B2826" s="951"/>
    </row>
    <row r="2827" spans="1:2">
      <c r="A2827" s="951"/>
      <c r="B2827" s="951"/>
    </row>
    <row r="2828" spans="1:2">
      <c r="A2828" s="951"/>
      <c r="B2828" s="951"/>
    </row>
    <row r="2829" spans="1:2">
      <c r="A2829" s="951"/>
      <c r="B2829" s="951"/>
    </row>
    <row r="2830" spans="1:2">
      <c r="A2830" s="951"/>
      <c r="B2830" s="951"/>
    </row>
    <row r="2831" spans="1:2">
      <c r="A2831" s="951"/>
      <c r="B2831" s="951"/>
    </row>
    <row r="2832" spans="1:2">
      <c r="A2832" s="951"/>
      <c r="B2832" s="951"/>
    </row>
    <row r="2833" spans="1:2">
      <c r="A2833" s="951"/>
      <c r="B2833" s="951"/>
    </row>
    <row r="2834" spans="1:2">
      <c r="A2834" s="951"/>
      <c r="B2834" s="951"/>
    </row>
    <row r="2835" spans="1:2">
      <c r="A2835" s="951"/>
      <c r="B2835" s="951"/>
    </row>
    <row r="2836" spans="1:2">
      <c r="A2836" s="951"/>
      <c r="B2836" s="951"/>
    </row>
    <row r="2837" spans="1:2">
      <c r="A2837" s="951"/>
      <c r="B2837" s="951"/>
    </row>
    <row r="2838" spans="1:2">
      <c r="A2838" s="951"/>
      <c r="B2838" s="951"/>
    </row>
    <row r="2839" spans="1:2">
      <c r="A2839" s="951"/>
      <c r="B2839" s="951"/>
    </row>
    <row r="2840" spans="1:2">
      <c r="A2840" s="951"/>
      <c r="B2840" s="951"/>
    </row>
    <row r="2841" spans="1:2">
      <c r="A2841" s="951"/>
      <c r="B2841" s="951"/>
    </row>
    <row r="2842" spans="1:2">
      <c r="A2842" s="951"/>
      <c r="B2842" s="951"/>
    </row>
    <row r="2843" spans="1:2">
      <c r="A2843" s="951"/>
      <c r="B2843" s="951"/>
    </row>
    <row r="2844" spans="1:2">
      <c r="A2844" s="951"/>
      <c r="B2844" s="951"/>
    </row>
    <row r="2845" spans="1:2">
      <c r="A2845" s="951"/>
      <c r="B2845" s="951"/>
    </row>
    <row r="2846" spans="1:2">
      <c r="A2846" s="951"/>
      <c r="B2846" s="951"/>
    </row>
    <row r="2847" spans="1:2">
      <c r="A2847" s="951"/>
      <c r="B2847" s="951"/>
    </row>
    <row r="2848" spans="1:2">
      <c r="A2848" s="951"/>
      <c r="B2848" s="951"/>
    </row>
    <row r="2849" spans="1:2">
      <c r="A2849" s="951"/>
      <c r="B2849" s="951"/>
    </row>
    <row r="2850" spans="1:2">
      <c r="A2850" s="951"/>
      <c r="B2850" s="951"/>
    </row>
    <row r="2851" spans="1:2">
      <c r="A2851" s="951"/>
      <c r="B2851" s="951"/>
    </row>
    <row r="2852" spans="1:2">
      <c r="A2852" s="951"/>
      <c r="B2852" s="951"/>
    </row>
    <row r="2853" spans="1:2">
      <c r="A2853" s="951"/>
      <c r="B2853" s="951"/>
    </row>
    <row r="2854" spans="1:2">
      <c r="A2854" s="951"/>
      <c r="B2854" s="951"/>
    </row>
    <row r="2855" spans="1:2">
      <c r="A2855" s="951"/>
      <c r="B2855" s="951"/>
    </row>
    <row r="2856" spans="1:2">
      <c r="A2856" s="951"/>
      <c r="B2856" s="951"/>
    </row>
    <row r="2857" spans="1:2">
      <c r="A2857" s="951"/>
      <c r="B2857" s="951"/>
    </row>
    <row r="2858" spans="1:2">
      <c r="A2858" s="951"/>
      <c r="B2858" s="951"/>
    </row>
    <row r="2859" spans="1:2">
      <c r="A2859" s="951"/>
      <c r="B2859" s="951"/>
    </row>
    <row r="2860" spans="1:2">
      <c r="A2860" s="951"/>
      <c r="B2860" s="951"/>
    </row>
    <row r="2861" spans="1:2">
      <c r="A2861" s="951"/>
      <c r="B2861" s="951"/>
    </row>
    <row r="2862" spans="1:2">
      <c r="A2862" s="951"/>
      <c r="B2862" s="951"/>
    </row>
    <row r="2863" spans="1:2">
      <c r="A2863" s="951"/>
      <c r="B2863" s="951"/>
    </row>
    <row r="2864" spans="1:2">
      <c r="A2864" s="951"/>
      <c r="B2864" s="951"/>
    </row>
    <row r="2865" spans="1:2">
      <c r="A2865" s="951"/>
      <c r="B2865" s="951"/>
    </row>
    <row r="2866" spans="1:2">
      <c r="A2866" s="951"/>
      <c r="B2866" s="951"/>
    </row>
    <row r="2867" spans="1:2">
      <c r="A2867" s="951"/>
      <c r="B2867" s="951"/>
    </row>
    <row r="2868" spans="1:2">
      <c r="A2868" s="951"/>
      <c r="B2868" s="951"/>
    </row>
    <row r="2869" spans="1:2">
      <c r="A2869" s="951"/>
      <c r="B2869" s="951"/>
    </row>
    <row r="2870" spans="1:2">
      <c r="A2870" s="951"/>
      <c r="B2870" s="951"/>
    </row>
    <row r="2871" spans="1:2">
      <c r="A2871" s="951"/>
      <c r="B2871" s="951"/>
    </row>
    <row r="2872" spans="1:2">
      <c r="A2872" s="951"/>
      <c r="B2872" s="951"/>
    </row>
    <row r="2873" spans="1:2">
      <c r="A2873" s="951"/>
      <c r="B2873" s="951"/>
    </row>
    <row r="2874" spans="1:2">
      <c r="A2874" s="951"/>
      <c r="B2874" s="951"/>
    </row>
    <row r="2875" spans="1:2">
      <c r="A2875" s="951"/>
      <c r="B2875" s="951"/>
    </row>
    <row r="2876" spans="1:2">
      <c r="A2876" s="951"/>
      <c r="B2876" s="951"/>
    </row>
    <row r="2877" spans="1:2">
      <c r="A2877" s="951"/>
      <c r="B2877" s="951"/>
    </row>
    <row r="2878" spans="1:2">
      <c r="A2878" s="951"/>
      <c r="B2878" s="951"/>
    </row>
    <row r="2879" spans="1:2">
      <c r="A2879" s="951"/>
      <c r="B2879" s="951"/>
    </row>
    <row r="2880" spans="1:2">
      <c r="A2880" s="951"/>
      <c r="B2880" s="951"/>
    </row>
    <row r="2881" spans="1:2">
      <c r="A2881" s="951"/>
      <c r="B2881" s="951"/>
    </row>
    <row r="2882" spans="1:2">
      <c r="A2882" s="951"/>
      <c r="B2882" s="951"/>
    </row>
    <row r="2883" spans="1:2">
      <c r="A2883" s="951"/>
      <c r="B2883" s="951"/>
    </row>
    <row r="2884" spans="1:2">
      <c r="A2884" s="951"/>
      <c r="B2884" s="951"/>
    </row>
    <row r="2885" spans="1:2">
      <c r="A2885" s="951"/>
      <c r="B2885" s="951"/>
    </row>
    <row r="2886" spans="1:2">
      <c r="A2886" s="951"/>
      <c r="B2886" s="951"/>
    </row>
    <row r="2887" spans="1:2">
      <c r="A2887" s="951"/>
      <c r="B2887" s="951"/>
    </row>
    <row r="2888" spans="1:2">
      <c r="A2888" s="951"/>
      <c r="B2888" s="951"/>
    </row>
    <row r="2889" spans="1:2">
      <c r="A2889" s="951"/>
      <c r="B2889" s="951"/>
    </row>
    <row r="2890" spans="1:2">
      <c r="A2890" s="951"/>
      <c r="B2890" s="951"/>
    </row>
    <row r="2891" spans="1:2">
      <c r="A2891" s="951"/>
      <c r="B2891" s="951"/>
    </row>
    <row r="2892" spans="1:2">
      <c r="A2892" s="951"/>
      <c r="B2892" s="951"/>
    </row>
    <row r="2893" spans="1:2">
      <c r="A2893" s="951"/>
      <c r="B2893" s="951"/>
    </row>
    <row r="2894" spans="1:2">
      <c r="A2894" s="951"/>
      <c r="B2894" s="951"/>
    </row>
    <row r="2895" spans="1:2">
      <c r="A2895" s="951"/>
      <c r="B2895" s="951"/>
    </row>
    <row r="2896" spans="1:2">
      <c r="A2896" s="951"/>
      <c r="B2896" s="951"/>
    </row>
    <row r="2897" spans="1:2">
      <c r="A2897" s="951"/>
      <c r="B2897" s="951"/>
    </row>
    <row r="2898" spans="1:2">
      <c r="A2898" s="951"/>
      <c r="B2898" s="951"/>
    </row>
    <row r="2899" spans="1:2">
      <c r="A2899" s="951"/>
      <c r="B2899" s="951"/>
    </row>
    <row r="2900" spans="1:2">
      <c r="A2900" s="951"/>
      <c r="B2900" s="951"/>
    </row>
    <row r="2901" spans="1:2">
      <c r="A2901" s="951"/>
      <c r="B2901" s="951"/>
    </row>
    <row r="2902" spans="1:2">
      <c r="A2902" s="951"/>
      <c r="B2902" s="951"/>
    </row>
    <row r="2903" spans="1:2">
      <c r="A2903" s="951"/>
      <c r="B2903" s="951"/>
    </row>
    <row r="2904" spans="1:2">
      <c r="A2904" s="951"/>
      <c r="B2904" s="951"/>
    </row>
    <row r="2905" spans="1:2">
      <c r="A2905" s="951"/>
      <c r="B2905" s="951"/>
    </row>
    <row r="2906" spans="1:2">
      <c r="A2906" s="951"/>
      <c r="B2906" s="951"/>
    </row>
    <row r="2907" spans="1:2">
      <c r="A2907" s="951"/>
      <c r="B2907" s="951"/>
    </row>
    <row r="2908" spans="1:2">
      <c r="A2908" s="951"/>
      <c r="B2908" s="951"/>
    </row>
    <row r="2909" spans="1:2">
      <c r="A2909" s="951"/>
      <c r="B2909" s="951"/>
    </row>
    <row r="2910" spans="1:2">
      <c r="A2910" s="951"/>
      <c r="B2910" s="951"/>
    </row>
    <row r="2911" spans="1:2">
      <c r="A2911" s="951"/>
      <c r="B2911" s="951"/>
    </row>
    <row r="2912" spans="1:2">
      <c r="A2912" s="951"/>
      <c r="B2912" s="951"/>
    </row>
    <row r="2913" spans="1:2">
      <c r="A2913" s="951"/>
      <c r="B2913" s="951"/>
    </row>
    <row r="2914" spans="1:2">
      <c r="A2914" s="951"/>
      <c r="B2914" s="951"/>
    </row>
    <row r="2915" spans="1:2">
      <c r="A2915" s="951"/>
      <c r="B2915" s="951"/>
    </row>
    <row r="2916" spans="1:2">
      <c r="A2916" s="951"/>
      <c r="B2916" s="951"/>
    </row>
    <row r="2917" spans="1:2">
      <c r="A2917" s="951"/>
      <c r="B2917" s="951"/>
    </row>
    <row r="2918" spans="1:2">
      <c r="A2918" s="951"/>
      <c r="B2918" s="951"/>
    </row>
    <row r="2919" spans="1:2">
      <c r="A2919" s="951"/>
      <c r="B2919" s="951"/>
    </row>
    <row r="2920" spans="1:2">
      <c r="A2920" s="951"/>
      <c r="B2920" s="951"/>
    </row>
    <row r="2921" spans="1:2">
      <c r="A2921" s="951"/>
      <c r="B2921" s="951"/>
    </row>
    <row r="2922" spans="1:2">
      <c r="A2922" s="951"/>
      <c r="B2922" s="951"/>
    </row>
    <row r="2923" spans="1:2">
      <c r="A2923" s="951"/>
      <c r="B2923" s="951"/>
    </row>
    <row r="2924" spans="1:2">
      <c r="A2924" s="951"/>
      <c r="B2924" s="951"/>
    </row>
    <row r="2925" spans="1:2">
      <c r="A2925" s="951"/>
      <c r="B2925" s="951"/>
    </row>
    <row r="2926" spans="1:2">
      <c r="A2926" s="951"/>
      <c r="B2926" s="951"/>
    </row>
    <row r="2927" spans="1:2">
      <c r="A2927" s="951"/>
      <c r="B2927" s="951"/>
    </row>
    <row r="2928" spans="1:2">
      <c r="A2928" s="951"/>
      <c r="B2928" s="951"/>
    </row>
    <row r="2929" spans="1:2">
      <c r="A2929" s="951"/>
      <c r="B2929" s="951"/>
    </row>
    <row r="2930" spans="1:2">
      <c r="A2930" s="951"/>
      <c r="B2930" s="951"/>
    </row>
    <row r="2931" spans="1:2">
      <c r="A2931" s="951"/>
      <c r="B2931" s="951"/>
    </row>
    <row r="2932" spans="1:2">
      <c r="A2932" s="951"/>
      <c r="B2932" s="951"/>
    </row>
    <row r="2933" spans="1:2">
      <c r="A2933" s="951"/>
      <c r="B2933" s="951"/>
    </row>
    <row r="2934" spans="1:2">
      <c r="A2934" s="951"/>
      <c r="B2934" s="951"/>
    </row>
    <row r="2935" spans="1:2">
      <c r="A2935" s="951"/>
      <c r="B2935" s="951"/>
    </row>
    <row r="2936" spans="1:2">
      <c r="A2936" s="951"/>
      <c r="B2936" s="951"/>
    </row>
    <row r="2937" spans="1:2">
      <c r="A2937" s="951"/>
      <c r="B2937" s="951"/>
    </row>
    <row r="2938" spans="1:2">
      <c r="A2938" s="951"/>
      <c r="B2938" s="951"/>
    </row>
    <row r="2939" spans="1:2">
      <c r="A2939" s="951"/>
      <c r="B2939" s="951"/>
    </row>
    <row r="2940" spans="1:2">
      <c r="A2940" s="951"/>
      <c r="B2940" s="951"/>
    </row>
    <row r="2941" spans="1:2">
      <c r="A2941" s="951"/>
      <c r="B2941" s="951"/>
    </row>
    <row r="2942" spans="1:2">
      <c r="A2942" s="951"/>
      <c r="B2942" s="951"/>
    </row>
    <row r="2943" spans="1:2">
      <c r="A2943" s="951"/>
      <c r="B2943" s="951"/>
    </row>
    <row r="2944" spans="1:2">
      <c r="A2944" s="951"/>
      <c r="B2944" s="951"/>
    </row>
    <row r="2945" spans="1:2">
      <c r="A2945" s="951"/>
      <c r="B2945" s="951"/>
    </row>
    <row r="2946" spans="1:2">
      <c r="A2946" s="951"/>
      <c r="B2946" s="951"/>
    </row>
    <row r="2947" spans="1:2">
      <c r="A2947" s="951"/>
      <c r="B2947" s="951"/>
    </row>
    <row r="2948" spans="1:2">
      <c r="A2948" s="951"/>
      <c r="B2948" s="951"/>
    </row>
    <row r="2949" spans="1:2">
      <c r="A2949" s="951"/>
      <c r="B2949" s="951"/>
    </row>
    <row r="2950" spans="1:2">
      <c r="A2950" s="951"/>
      <c r="B2950" s="951"/>
    </row>
    <row r="2951" spans="1:2">
      <c r="A2951" s="951"/>
      <c r="B2951" s="951"/>
    </row>
    <row r="2952" spans="1:2">
      <c r="A2952" s="951"/>
      <c r="B2952" s="951"/>
    </row>
    <row r="2953" spans="1:2">
      <c r="A2953" s="951"/>
      <c r="B2953" s="951"/>
    </row>
    <row r="2954" spans="1:2">
      <c r="A2954" s="951"/>
      <c r="B2954" s="951"/>
    </row>
    <row r="2955" spans="1:2">
      <c r="A2955" s="951"/>
      <c r="B2955" s="951"/>
    </row>
    <row r="2956" spans="1:2">
      <c r="A2956" s="951"/>
      <c r="B2956" s="951"/>
    </row>
    <row r="2957" spans="1:2">
      <c r="A2957" s="951"/>
      <c r="B2957" s="951"/>
    </row>
    <row r="2958" spans="1:2">
      <c r="A2958" s="951"/>
      <c r="B2958" s="951"/>
    </row>
    <row r="2959" spans="1:2">
      <c r="A2959" s="951"/>
      <c r="B2959" s="951"/>
    </row>
    <row r="2960" spans="1:2">
      <c r="A2960" s="951"/>
      <c r="B2960" s="951"/>
    </row>
    <row r="2961" spans="1:2">
      <c r="A2961" s="951"/>
      <c r="B2961" s="951"/>
    </row>
    <row r="2962" spans="1:2">
      <c r="A2962" s="951"/>
      <c r="B2962" s="951"/>
    </row>
    <row r="2963" spans="1:2">
      <c r="A2963" s="951"/>
      <c r="B2963" s="951"/>
    </row>
    <row r="2964" spans="1:2">
      <c r="A2964" s="951"/>
      <c r="B2964" s="951"/>
    </row>
    <row r="2965" spans="1:2">
      <c r="A2965" s="951"/>
      <c r="B2965" s="951"/>
    </row>
    <row r="2966" spans="1:2">
      <c r="A2966" s="951"/>
      <c r="B2966" s="951"/>
    </row>
    <row r="2967" spans="1:2">
      <c r="A2967" s="951"/>
      <c r="B2967" s="951"/>
    </row>
    <row r="2968" spans="1:2">
      <c r="A2968" s="951"/>
      <c r="B2968" s="951"/>
    </row>
    <row r="2969" spans="1:2">
      <c r="A2969" s="951"/>
      <c r="B2969" s="951"/>
    </row>
    <row r="2970" spans="1:2">
      <c r="A2970" s="951"/>
      <c r="B2970" s="951"/>
    </row>
    <row r="2971" spans="1:2">
      <c r="A2971" s="951"/>
      <c r="B2971" s="951"/>
    </row>
    <row r="2972" spans="1:2">
      <c r="A2972" s="951"/>
      <c r="B2972" s="951"/>
    </row>
    <row r="2973" spans="1:2">
      <c r="A2973" s="951"/>
      <c r="B2973" s="951"/>
    </row>
    <row r="2974" spans="1:2">
      <c r="A2974" s="951"/>
      <c r="B2974" s="951"/>
    </row>
    <row r="2975" spans="1:2">
      <c r="A2975" s="951"/>
      <c r="B2975" s="951"/>
    </row>
    <row r="2976" spans="1:2">
      <c r="A2976" s="951"/>
      <c r="B2976" s="951"/>
    </row>
    <row r="2977" spans="1:2">
      <c r="A2977" s="951"/>
      <c r="B2977" s="951"/>
    </row>
    <row r="2978" spans="1:2">
      <c r="A2978" s="951"/>
      <c r="B2978" s="951"/>
    </row>
    <row r="2979" spans="1:2">
      <c r="A2979" s="951"/>
      <c r="B2979" s="951"/>
    </row>
    <row r="2980" spans="1:2">
      <c r="A2980" s="951"/>
      <c r="B2980" s="951"/>
    </row>
    <row r="2981" spans="1:2">
      <c r="A2981" s="951"/>
      <c r="B2981" s="951"/>
    </row>
    <row r="2982" spans="1:2">
      <c r="A2982" s="951"/>
      <c r="B2982" s="951"/>
    </row>
    <row r="2983" spans="1:2">
      <c r="A2983" s="951"/>
      <c r="B2983" s="951"/>
    </row>
    <row r="2984" spans="1:2">
      <c r="A2984" s="951"/>
      <c r="B2984" s="951"/>
    </row>
    <row r="2985" spans="1:2">
      <c r="A2985" s="951"/>
      <c r="B2985" s="951"/>
    </row>
    <row r="2986" spans="1:2">
      <c r="A2986" s="951"/>
      <c r="B2986" s="951"/>
    </row>
    <row r="2987" spans="1:2">
      <c r="A2987" s="951"/>
      <c r="B2987" s="951"/>
    </row>
    <row r="2988" spans="1:2">
      <c r="A2988" s="951"/>
      <c r="B2988" s="951"/>
    </row>
    <row r="2989" spans="1:2">
      <c r="A2989" s="951"/>
      <c r="B2989" s="951"/>
    </row>
    <row r="2990" spans="1:2">
      <c r="A2990" s="951"/>
      <c r="B2990" s="951"/>
    </row>
    <row r="2991" spans="1:2">
      <c r="A2991" s="951"/>
      <c r="B2991" s="951"/>
    </row>
    <row r="2992" spans="1:2">
      <c r="A2992" s="951"/>
      <c r="B2992" s="951"/>
    </row>
    <row r="2993" spans="1:2">
      <c r="A2993" s="951"/>
      <c r="B2993" s="951"/>
    </row>
    <row r="2994" spans="1:2">
      <c r="A2994" s="951"/>
      <c r="B2994" s="951"/>
    </row>
    <row r="2995" spans="1:2">
      <c r="A2995" s="951"/>
      <c r="B2995" s="951"/>
    </row>
    <row r="2996" spans="1:2">
      <c r="A2996" s="951"/>
      <c r="B2996" s="951"/>
    </row>
    <row r="2997" spans="1:2">
      <c r="A2997" s="951"/>
      <c r="B2997" s="951"/>
    </row>
    <row r="2998" spans="1:2">
      <c r="A2998" s="951"/>
      <c r="B2998" s="951"/>
    </row>
    <row r="2999" spans="1:2">
      <c r="A2999" s="951"/>
      <c r="B2999" s="951"/>
    </row>
    <row r="3000" spans="1:2">
      <c r="A3000" s="951"/>
      <c r="B3000" s="951"/>
    </row>
    <row r="3001" spans="1:2">
      <c r="A3001" s="951"/>
      <c r="B3001" s="951"/>
    </row>
    <row r="3002" spans="1:2">
      <c r="A3002" s="951"/>
      <c r="B3002" s="951"/>
    </row>
    <row r="3003" spans="1:2">
      <c r="A3003" s="951"/>
      <c r="B3003" s="951"/>
    </row>
    <row r="3004" spans="1:2">
      <c r="A3004" s="951"/>
      <c r="B3004" s="951"/>
    </row>
    <row r="3005" spans="1:2">
      <c r="A3005" s="951"/>
      <c r="B3005" s="951"/>
    </row>
    <row r="3006" spans="1:2">
      <c r="A3006" s="951"/>
      <c r="B3006" s="951"/>
    </row>
    <row r="3007" spans="1:2">
      <c r="A3007" s="951"/>
      <c r="B3007" s="951"/>
    </row>
    <row r="3008" spans="1:2">
      <c r="A3008" s="951"/>
      <c r="B3008" s="951"/>
    </row>
    <row r="3009" spans="1:2">
      <c r="A3009" s="951"/>
      <c r="B3009" s="951"/>
    </row>
    <row r="3010" spans="1:2">
      <c r="A3010" s="951"/>
      <c r="B3010" s="951"/>
    </row>
    <row r="3011" spans="1:2">
      <c r="A3011" s="951"/>
      <c r="B3011" s="951"/>
    </row>
    <row r="3012" spans="1:2">
      <c r="A3012" s="951"/>
      <c r="B3012" s="951"/>
    </row>
    <row r="3013" spans="1:2">
      <c r="A3013" s="951"/>
      <c r="B3013" s="951"/>
    </row>
    <row r="3014" spans="1:2">
      <c r="A3014" s="951"/>
      <c r="B3014" s="951"/>
    </row>
    <row r="3015" spans="1:2">
      <c r="A3015" s="951"/>
      <c r="B3015" s="951"/>
    </row>
    <row r="3016" spans="1:2">
      <c r="A3016" s="951"/>
      <c r="B3016" s="951"/>
    </row>
    <row r="3017" spans="1:2">
      <c r="A3017" s="951"/>
      <c r="B3017" s="951"/>
    </row>
    <row r="3018" spans="1:2">
      <c r="A3018" s="951"/>
      <c r="B3018" s="951"/>
    </row>
    <row r="3019" spans="1:2">
      <c r="A3019" s="951"/>
      <c r="B3019" s="951"/>
    </row>
    <row r="3020" spans="1:2">
      <c r="A3020" s="951"/>
      <c r="B3020" s="951"/>
    </row>
    <row r="3021" spans="1:2">
      <c r="A3021" s="951"/>
      <c r="B3021" s="951"/>
    </row>
    <row r="3022" spans="1:2">
      <c r="A3022" s="951"/>
      <c r="B3022" s="951"/>
    </row>
    <row r="3023" spans="1:2">
      <c r="A3023" s="951"/>
      <c r="B3023" s="951"/>
    </row>
    <row r="3024" spans="1:2">
      <c r="A3024" s="951"/>
      <c r="B3024" s="951"/>
    </row>
    <row r="3025" spans="1:2">
      <c r="A3025" s="951"/>
      <c r="B3025" s="951"/>
    </row>
    <row r="3026" spans="1:2">
      <c r="A3026" s="951"/>
      <c r="B3026" s="951"/>
    </row>
    <row r="3027" spans="1:2">
      <c r="A3027" s="951"/>
      <c r="B3027" s="951"/>
    </row>
    <row r="3028" spans="1:2">
      <c r="A3028" s="951"/>
      <c r="B3028" s="951"/>
    </row>
    <row r="3029" spans="1:2">
      <c r="A3029" s="951"/>
      <c r="B3029" s="951"/>
    </row>
    <row r="3030" spans="1:2">
      <c r="A3030" s="951"/>
      <c r="B3030" s="951"/>
    </row>
    <row r="3031" spans="1:2">
      <c r="A3031" s="951"/>
      <c r="B3031" s="951"/>
    </row>
    <row r="3032" spans="1:2">
      <c r="A3032" s="951"/>
      <c r="B3032" s="951"/>
    </row>
    <row r="3033" spans="1:2">
      <c r="A3033" s="951"/>
      <c r="B3033" s="951"/>
    </row>
    <row r="3034" spans="1:2">
      <c r="A3034" s="951"/>
      <c r="B3034" s="951"/>
    </row>
    <row r="3035" spans="1:2">
      <c r="A3035" s="951"/>
      <c r="B3035" s="951"/>
    </row>
    <row r="3036" spans="1:2">
      <c r="A3036" s="951"/>
      <c r="B3036" s="951"/>
    </row>
    <row r="3037" spans="1:2">
      <c r="A3037" s="951"/>
      <c r="B3037" s="951"/>
    </row>
    <row r="3038" spans="1:2">
      <c r="A3038" s="951"/>
      <c r="B3038" s="951"/>
    </row>
    <row r="3039" spans="1:2">
      <c r="A3039" s="951"/>
      <c r="B3039" s="951"/>
    </row>
    <row r="3040" spans="1:2">
      <c r="A3040" s="951"/>
      <c r="B3040" s="951"/>
    </row>
    <row r="3041" spans="1:2">
      <c r="A3041" s="951"/>
      <c r="B3041" s="951"/>
    </row>
    <row r="3042" spans="1:2">
      <c r="A3042" s="951"/>
      <c r="B3042" s="951"/>
    </row>
    <row r="3043" spans="1:2">
      <c r="A3043" s="951"/>
      <c r="B3043" s="951"/>
    </row>
    <row r="3044" spans="1:2">
      <c r="A3044" s="951"/>
      <c r="B3044" s="951"/>
    </row>
    <row r="3045" spans="1:2">
      <c r="A3045" s="951"/>
      <c r="B3045" s="951"/>
    </row>
    <row r="3046" spans="1:2">
      <c r="A3046" s="951"/>
      <c r="B3046" s="951"/>
    </row>
    <row r="3047" spans="1:2">
      <c r="A3047" s="951"/>
      <c r="B3047" s="951"/>
    </row>
    <row r="3048" spans="1:2">
      <c r="A3048" s="951"/>
      <c r="B3048" s="951"/>
    </row>
    <row r="3049" spans="1:2">
      <c r="A3049" s="951"/>
      <c r="B3049" s="951"/>
    </row>
    <row r="3050" spans="1:2">
      <c r="A3050" s="951"/>
      <c r="B3050" s="951"/>
    </row>
    <row r="3051" spans="1:2">
      <c r="A3051" s="951"/>
      <c r="B3051" s="951"/>
    </row>
    <row r="3052" spans="1:2">
      <c r="A3052" s="951"/>
      <c r="B3052" s="951"/>
    </row>
    <row r="3053" spans="1:2">
      <c r="A3053" s="951"/>
      <c r="B3053" s="951"/>
    </row>
    <row r="3054" spans="1:2">
      <c r="A3054" s="951"/>
      <c r="B3054" s="951"/>
    </row>
    <row r="3055" spans="1:2">
      <c r="A3055" s="951"/>
      <c r="B3055" s="951"/>
    </row>
    <row r="3056" spans="1:2">
      <c r="A3056" s="951"/>
      <c r="B3056" s="951"/>
    </row>
    <row r="3057" spans="1:2">
      <c r="A3057" s="951"/>
      <c r="B3057" s="951"/>
    </row>
    <row r="3058" spans="1:2">
      <c r="A3058" s="951"/>
      <c r="B3058" s="951"/>
    </row>
    <row r="3059" spans="1:2">
      <c r="A3059" s="951"/>
      <c r="B3059" s="951"/>
    </row>
    <row r="3060" spans="1:2">
      <c r="A3060" s="951"/>
      <c r="B3060" s="951"/>
    </row>
    <row r="3061" spans="1:2">
      <c r="A3061" s="951"/>
      <c r="B3061" s="951"/>
    </row>
    <row r="3062" spans="1:2">
      <c r="A3062" s="951"/>
      <c r="B3062" s="951"/>
    </row>
    <row r="3063" spans="1:2">
      <c r="A3063" s="951"/>
      <c r="B3063" s="951"/>
    </row>
    <row r="3064" spans="1:2">
      <c r="A3064" s="951"/>
      <c r="B3064" s="951"/>
    </row>
    <row r="3065" spans="1:2">
      <c r="A3065" s="951"/>
      <c r="B3065" s="951"/>
    </row>
    <row r="3066" spans="1:2">
      <c r="A3066" s="951"/>
      <c r="B3066" s="951"/>
    </row>
    <row r="3067" spans="1:2">
      <c r="A3067" s="951"/>
      <c r="B3067" s="951"/>
    </row>
    <row r="3068" spans="1:2">
      <c r="A3068" s="951"/>
      <c r="B3068" s="951"/>
    </row>
    <row r="3069" spans="1:2">
      <c r="A3069" s="951"/>
      <c r="B3069" s="951"/>
    </row>
    <row r="3070" spans="1:2">
      <c r="A3070" s="951"/>
      <c r="B3070" s="951"/>
    </row>
    <row r="3071" spans="1:2">
      <c r="A3071" s="951"/>
      <c r="B3071" s="951"/>
    </row>
    <row r="3072" spans="1:2">
      <c r="A3072" s="951"/>
      <c r="B3072" s="951"/>
    </row>
    <row r="3073" spans="1:2">
      <c r="A3073" s="951"/>
      <c r="B3073" s="951"/>
    </row>
    <row r="3074" spans="1:2">
      <c r="A3074" s="951"/>
      <c r="B3074" s="951"/>
    </row>
    <row r="3075" spans="1:2">
      <c r="A3075" s="951"/>
      <c r="B3075" s="951"/>
    </row>
    <row r="3076" spans="1:2">
      <c r="A3076" s="951"/>
      <c r="B3076" s="951"/>
    </row>
    <row r="3077" spans="1:2">
      <c r="A3077" s="951"/>
      <c r="B3077" s="951"/>
    </row>
    <row r="3078" spans="1:2">
      <c r="A3078" s="951"/>
      <c r="B3078" s="951"/>
    </row>
    <row r="3079" spans="1:2">
      <c r="A3079" s="951"/>
      <c r="B3079" s="951"/>
    </row>
    <row r="3080" spans="1:2">
      <c r="A3080" s="951"/>
      <c r="B3080" s="951"/>
    </row>
    <row r="3081" spans="1:2">
      <c r="A3081" s="951"/>
      <c r="B3081" s="951"/>
    </row>
    <row r="3082" spans="1:2">
      <c r="A3082" s="951"/>
      <c r="B3082" s="951"/>
    </row>
    <row r="3083" spans="1:2">
      <c r="A3083" s="951"/>
      <c r="B3083" s="951"/>
    </row>
    <row r="3084" spans="1:2">
      <c r="A3084" s="951"/>
      <c r="B3084" s="951"/>
    </row>
    <row r="3085" spans="1:2">
      <c r="A3085" s="951"/>
      <c r="B3085" s="951"/>
    </row>
    <row r="3086" spans="1:2">
      <c r="A3086" s="951"/>
      <c r="B3086" s="951"/>
    </row>
    <row r="3087" spans="1:2">
      <c r="A3087" s="951"/>
      <c r="B3087" s="951"/>
    </row>
    <row r="3088" spans="1:2">
      <c r="A3088" s="951"/>
      <c r="B3088" s="951"/>
    </row>
    <row r="3089" spans="1:2">
      <c r="A3089" s="951"/>
      <c r="B3089" s="951"/>
    </row>
    <row r="3090" spans="1:2">
      <c r="A3090" s="951"/>
      <c r="B3090" s="951"/>
    </row>
    <row r="3091" spans="1:2">
      <c r="A3091" s="951"/>
      <c r="B3091" s="951"/>
    </row>
    <row r="3092" spans="1:2">
      <c r="A3092" s="951"/>
      <c r="B3092" s="951"/>
    </row>
    <row r="3093" spans="1:2">
      <c r="A3093" s="951"/>
      <c r="B3093" s="951"/>
    </row>
    <row r="3094" spans="1:2">
      <c r="A3094" s="951"/>
      <c r="B3094" s="951"/>
    </row>
    <row r="3095" spans="1:2">
      <c r="A3095" s="951"/>
      <c r="B3095" s="951"/>
    </row>
    <row r="3096" spans="1:2">
      <c r="A3096" s="951"/>
      <c r="B3096" s="951"/>
    </row>
    <row r="3097" spans="1:2">
      <c r="A3097" s="951"/>
      <c r="B3097" s="951"/>
    </row>
    <row r="3098" spans="1:2">
      <c r="A3098" s="951"/>
      <c r="B3098" s="951"/>
    </row>
    <row r="3099" spans="1:2">
      <c r="A3099" s="951"/>
      <c r="B3099" s="951"/>
    </row>
    <row r="3100" spans="1:2">
      <c r="A3100" s="951"/>
      <c r="B3100" s="951"/>
    </row>
    <row r="3101" spans="1:2">
      <c r="A3101" s="951"/>
      <c r="B3101" s="951"/>
    </row>
    <row r="3102" spans="1:2">
      <c r="A3102" s="951"/>
      <c r="B3102" s="951"/>
    </row>
    <row r="3103" spans="1:2">
      <c r="A3103" s="951"/>
      <c r="B3103" s="951"/>
    </row>
    <row r="3104" spans="1:2">
      <c r="A3104" s="951"/>
      <c r="B3104" s="951"/>
    </row>
    <row r="3105" spans="1:2">
      <c r="A3105" s="951"/>
      <c r="B3105" s="951"/>
    </row>
    <row r="3106" spans="1:2">
      <c r="A3106" s="951"/>
      <c r="B3106" s="951"/>
    </row>
    <row r="3107" spans="1:2">
      <c r="A3107" s="951"/>
      <c r="B3107" s="951"/>
    </row>
    <row r="3108" spans="1:2">
      <c r="A3108" s="951"/>
      <c r="B3108" s="951"/>
    </row>
    <row r="3109" spans="1:2">
      <c r="A3109" s="951"/>
      <c r="B3109" s="951"/>
    </row>
    <row r="3110" spans="1:2">
      <c r="A3110" s="951"/>
      <c r="B3110" s="951"/>
    </row>
    <row r="3111" spans="1:2">
      <c r="A3111" s="951"/>
      <c r="B3111" s="951"/>
    </row>
    <row r="3112" spans="1:2">
      <c r="A3112" s="951"/>
      <c r="B3112" s="951"/>
    </row>
    <row r="3113" spans="1:2">
      <c r="A3113" s="951"/>
      <c r="B3113" s="951"/>
    </row>
    <row r="3114" spans="1:2">
      <c r="A3114" s="951"/>
      <c r="B3114" s="951"/>
    </row>
    <row r="3115" spans="1:2">
      <c r="A3115" s="951"/>
      <c r="B3115" s="951"/>
    </row>
    <row r="3116" spans="1:2">
      <c r="A3116" s="951"/>
      <c r="B3116" s="951"/>
    </row>
    <row r="3117" spans="1:2">
      <c r="A3117" s="951"/>
      <c r="B3117" s="951"/>
    </row>
    <row r="3118" spans="1:2">
      <c r="A3118" s="951"/>
      <c r="B3118" s="951"/>
    </row>
    <row r="3119" spans="1:2">
      <c r="A3119" s="951"/>
      <c r="B3119" s="951"/>
    </row>
    <row r="3120" spans="1:2">
      <c r="A3120" s="951"/>
      <c r="B3120" s="951"/>
    </row>
    <row r="3121" spans="1:2">
      <c r="A3121" s="951"/>
      <c r="B3121" s="951"/>
    </row>
    <row r="3122" spans="1:2">
      <c r="A3122" s="951"/>
      <c r="B3122" s="951"/>
    </row>
    <row r="3123" spans="1:2">
      <c r="A3123" s="951"/>
      <c r="B3123" s="951"/>
    </row>
    <row r="3124" spans="1:2">
      <c r="A3124" s="951"/>
      <c r="B3124" s="951"/>
    </row>
    <row r="3125" spans="1:2">
      <c r="A3125" s="951"/>
      <c r="B3125" s="951"/>
    </row>
    <row r="3126" spans="1:2">
      <c r="A3126" s="951"/>
      <c r="B3126" s="951"/>
    </row>
    <row r="3127" spans="1:2">
      <c r="A3127" s="951"/>
      <c r="B3127" s="951"/>
    </row>
    <row r="3128" spans="1:2">
      <c r="A3128" s="951"/>
      <c r="B3128" s="951"/>
    </row>
    <row r="3129" spans="1:2">
      <c r="A3129" s="951"/>
      <c r="B3129" s="951"/>
    </row>
    <row r="3130" spans="1:2">
      <c r="A3130" s="951"/>
      <c r="B3130" s="951"/>
    </row>
    <row r="3131" spans="1:2">
      <c r="A3131" s="951"/>
      <c r="B3131" s="951"/>
    </row>
    <row r="3132" spans="1:2">
      <c r="A3132" s="951"/>
      <c r="B3132" s="951"/>
    </row>
    <row r="3133" spans="1:2">
      <c r="A3133" s="951"/>
      <c r="B3133" s="951"/>
    </row>
    <row r="3134" spans="1:2">
      <c r="A3134" s="951"/>
      <c r="B3134" s="951"/>
    </row>
    <row r="3135" spans="1:2">
      <c r="A3135" s="951"/>
      <c r="B3135" s="951"/>
    </row>
    <row r="3136" spans="1:2">
      <c r="A3136" s="951"/>
      <c r="B3136" s="951"/>
    </row>
    <row r="3137" spans="1:2">
      <c r="A3137" s="951"/>
      <c r="B3137" s="951"/>
    </row>
    <row r="3138" spans="1:2">
      <c r="A3138" s="951"/>
      <c r="B3138" s="951"/>
    </row>
    <row r="3139" spans="1:2">
      <c r="A3139" s="951"/>
      <c r="B3139" s="951"/>
    </row>
    <row r="3140" spans="1:2">
      <c r="A3140" s="951"/>
      <c r="B3140" s="951"/>
    </row>
    <row r="3141" spans="1:2">
      <c r="A3141" s="951"/>
      <c r="B3141" s="951"/>
    </row>
    <row r="3142" spans="1:2">
      <c r="A3142" s="951"/>
      <c r="B3142" s="951"/>
    </row>
    <row r="3143" spans="1:2">
      <c r="A3143" s="951"/>
      <c r="B3143" s="951"/>
    </row>
    <row r="3144" spans="1:2">
      <c r="A3144" s="951"/>
      <c r="B3144" s="951"/>
    </row>
    <row r="3145" spans="1:2">
      <c r="A3145" s="951"/>
      <c r="B3145" s="951"/>
    </row>
    <row r="3146" spans="1:2">
      <c r="A3146" s="951"/>
      <c r="B3146" s="951"/>
    </row>
    <row r="3147" spans="1:2">
      <c r="A3147" s="951"/>
      <c r="B3147" s="951"/>
    </row>
    <row r="3148" spans="1:2">
      <c r="A3148" s="951"/>
      <c r="B3148" s="951"/>
    </row>
    <row r="3149" spans="1:2">
      <c r="A3149" s="951"/>
      <c r="B3149" s="951"/>
    </row>
    <row r="3150" spans="1:2">
      <c r="A3150" s="951"/>
      <c r="B3150" s="951"/>
    </row>
    <row r="3151" spans="1:2">
      <c r="A3151" s="951"/>
      <c r="B3151" s="951"/>
    </row>
    <row r="3152" spans="1:2">
      <c r="A3152" s="951"/>
      <c r="B3152" s="951"/>
    </row>
    <row r="3153" spans="1:2">
      <c r="A3153" s="951"/>
      <c r="B3153" s="951"/>
    </row>
    <row r="3154" spans="1:2">
      <c r="A3154" s="951"/>
      <c r="B3154" s="951"/>
    </row>
    <row r="3155" spans="1:2">
      <c r="A3155" s="951"/>
      <c r="B3155" s="951"/>
    </row>
    <row r="3156" spans="1:2">
      <c r="A3156" s="951"/>
      <c r="B3156" s="951"/>
    </row>
    <row r="3157" spans="1:2">
      <c r="A3157" s="951"/>
      <c r="B3157" s="951"/>
    </row>
    <row r="3158" spans="1:2">
      <c r="A3158" s="951"/>
      <c r="B3158" s="951"/>
    </row>
    <row r="3159" spans="1:2">
      <c r="A3159" s="951"/>
      <c r="B3159" s="951"/>
    </row>
    <row r="3160" spans="1:2">
      <c r="A3160" s="951"/>
      <c r="B3160" s="951"/>
    </row>
    <row r="3161" spans="1:2">
      <c r="A3161" s="951"/>
      <c r="B3161" s="951"/>
    </row>
    <row r="3162" spans="1:2">
      <c r="A3162" s="951"/>
      <c r="B3162" s="951"/>
    </row>
    <row r="3163" spans="1:2">
      <c r="A3163" s="951"/>
      <c r="B3163" s="951"/>
    </row>
    <row r="3164" spans="1:2">
      <c r="A3164" s="951"/>
      <c r="B3164" s="951"/>
    </row>
    <row r="3165" spans="1:2">
      <c r="A3165" s="951"/>
      <c r="B3165" s="951"/>
    </row>
    <row r="3166" spans="1:2">
      <c r="A3166" s="951"/>
      <c r="B3166" s="951"/>
    </row>
    <row r="3167" spans="1:2">
      <c r="A3167" s="951"/>
      <c r="B3167" s="951"/>
    </row>
    <row r="3168" spans="1:2">
      <c r="A3168" s="951"/>
      <c r="B3168" s="951"/>
    </row>
    <row r="3169" spans="1:2">
      <c r="A3169" s="951"/>
      <c r="B3169" s="951"/>
    </row>
    <row r="3170" spans="1:2">
      <c r="A3170" s="951"/>
      <c r="B3170" s="951"/>
    </row>
    <row r="3171" spans="1:2">
      <c r="A3171" s="951"/>
      <c r="B3171" s="951"/>
    </row>
    <row r="3172" spans="1:2">
      <c r="A3172" s="951"/>
      <c r="B3172" s="951"/>
    </row>
    <row r="3173" spans="1:2">
      <c r="A3173" s="951"/>
      <c r="B3173" s="951"/>
    </row>
    <row r="3174" spans="1:2">
      <c r="A3174" s="951"/>
      <c r="B3174" s="951"/>
    </row>
    <row r="3175" spans="1:2">
      <c r="A3175" s="951"/>
      <c r="B3175" s="951"/>
    </row>
    <row r="3176" spans="1:2">
      <c r="A3176" s="951"/>
      <c r="B3176" s="951"/>
    </row>
    <row r="3177" spans="1:2">
      <c r="A3177" s="951"/>
      <c r="B3177" s="951"/>
    </row>
    <row r="3178" spans="1:2">
      <c r="A3178" s="951"/>
      <c r="B3178" s="951"/>
    </row>
    <row r="3179" spans="1:2">
      <c r="A3179" s="951"/>
      <c r="B3179" s="951"/>
    </row>
    <row r="3180" spans="1:2">
      <c r="A3180" s="951"/>
      <c r="B3180" s="951"/>
    </row>
    <row r="3181" spans="1:2">
      <c r="A3181" s="951"/>
      <c r="B3181" s="951"/>
    </row>
    <row r="3182" spans="1:2">
      <c r="A3182" s="951"/>
      <c r="B3182" s="951"/>
    </row>
    <row r="3183" spans="1:2">
      <c r="A3183" s="951"/>
      <c r="B3183" s="951"/>
    </row>
    <row r="3184" spans="1:2">
      <c r="A3184" s="951"/>
      <c r="B3184" s="951"/>
    </row>
    <row r="3185" spans="1:2">
      <c r="A3185" s="951"/>
      <c r="B3185" s="951"/>
    </row>
    <row r="3186" spans="1:2">
      <c r="A3186" s="951"/>
      <c r="B3186" s="951"/>
    </row>
    <row r="3187" spans="1:2">
      <c r="A3187" s="951"/>
      <c r="B3187" s="951"/>
    </row>
    <row r="3188" spans="1:2">
      <c r="A3188" s="951"/>
      <c r="B3188" s="951"/>
    </row>
    <row r="3189" spans="1:2">
      <c r="A3189" s="951"/>
      <c r="B3189" s="951"/>
    </row>
    <row r="3190" spans="1:2">
      <c r="A3190" s="951"/>
      <c r="B3190" s="951"/>
    </row>
    <row r="3191" spans="1:2">
      <c r="A3191" s="951"/>
      <c r="B3191" s="951"/>
    </row>
    <row r="3192" spans="1:2">
      <c r="A3192" s="951"/>
      <c r="B3192" s="951"/>
    </row>
    <row r="3193" spans="1:2">
      <c r="A3193" s="951"/>
      <c r="B3193" s="951"/>
    </row>
    <row r="3194" spans="1:2">
      <c r="A3194" s="951"/>
      <c r="B3194" s="951"/>
    </row>
    <row r="3195" spans="1:2">
      <c r="A3195" s="951"/>
      <c r="B3195" s="951"/>
    </row>
    <row r="3196" spans="1:2">
      <c r="A3196" s="951"/>
      <c r="B3196" s="951"/>
    </row>
    <row r="3197" spans="1:2">
      <c r="A3197" s="951"/>
      <c r="B3197" s="951"/>
    </row>
    <row r="3198" spans="1:2">
      <c r="A3198" s="951"/>
      <c r="B3198" s="951"/>
    </row>
    <row r="3199" spans="1:2">
      <c r="A3199" s="951"/>
      <c r="B3199" s="951"/>
    </row>
    <row r="3200" spans="1:2">
      <c r="A3200" s="951"/>
      <c r="B3200" s="951"/>
    </row>
    <row r="3201" spans="1:2">
      <c r="A3201" s="951"/>
      <c r="B3201" s="951"/>
    </row>
    <row r="3202" spans="1:2">
      <c r="A3202" s="951"/>
      <c r="B3202" s="951"/>
    </row>
    <row r="3203" spans="1:2">
      <c r="A3203" s="951"/>
      <c r="B3203" s="951"/>
    </row>
    <row r="3204" spans="1:2">
      <c r="A3204" s="951"/>
      <c r="B3204" s="951"/>
    </row>
    <row r="3205" spans="1:2">
      <c r="A3205" s="951"/>
      <c r="B3205" s="951"/>
    </row>
    <row r="3206" spans="1:2">
      <c r="A3206" s="951"/>
      <c r="B3206" s="951"/>
    </row>
    <row r="3207" spans="1:2">
      <c r="A3207" s="951"/>
      <c r="B3207" s="951"/>
    </row>
    <row r="3208" spans="1:2">
      <c r="A3208" s="951"/>
      <c r="B3208" s="951"/>
    </row>
    <row r="3209" spans="1:2">
      <c r="A3209" s="951"/>
      <c r="B3209" s="951"/>
    </row>
    <row r="3210" spans="1:2">
      <c r="A3210" s="951"/>
      <c r="B3210" s="951"/>
    </row>
    <row r="3211" spans="1:2">
      <c r="A3211" s="951"/>
      <c r="B3211" s="951"/>
    </row>
    <row r="3212" spans="1:2">
      <c r="A3212" s="951"/>
      <c r="B3212" s="951"/>
    </row>
    <row r="3213" spans="1:2">
      <c r="A3213" s="951"/>
      <c r="B3213" s="951"/>
    </row>
    <row r="3214" spans="1:2">
      <c r="A3214" s="951"/>
      <c r="B3214" s="951"/>
    </row>
    <row r="3215" spans="1:2">
      <c r="A3215" s="951"/>
      <c r="B3215" s="951"/>
    </row>
    <row r="3216" spans="1:2">
      <c r="A3216" s="951"/>
      <c r="B3216" s="951"/>
    </row>
    <row r="3217" spans="1:2">
      <c r="A3217" s="951"/>
      <c r="B3217" s="951"/>
    </row>
    <row r="3218" spans="1:2">
      <c r="A3218" s="951"/>
      <c r="B3218" s="951"/>
    </row>
    <row r="3219" spans="1:2">
      <c r="A3219" s="951"/>
      <c r="B3219" s="951"/>
    </row>
    <row r="3220" spans="1:2">
      <c r="A3220" s="951"/>
      <c r="B3220" s="951"/>
    </row>
    <row r="3221" spans="1:2">
      <c r="A3221" s="951"/>
      <c r="B3221" s="951"/>
    </row>
    <row r="3222" spans="1:2">
      <c r="A3222" s="951"/>
      <c r="B3222" s="951"/>
    </row>
    <row r="3223" spans="1:2">
      <c r="A3223" s="951"/>
      <c r="B3223" s="951"/>
    </row>
    <row r="3224" spans="1:2">
      <c r="A3224" s="951"/>
      <c r="B3224" s="951"/>
    </row>
    <row r="3225" spans="1:2">
      <c r="A3225" s="951"/>
      <c r="B3225" s="951"/>
    </row>
    <row r="3226" spans="1:2">
      <c r="A3226" s="951"/>
      <c r="B3226" s="951"/>
    </row>
    <row r="3227" spans="1:2">
      <c r="A3227" s="951"/>
      <c r="B3227" s="951"/>
    </row>
    <row r="3228" spans="1:2">
      <c r="A3228" s="951"/>
      <c r="B3228" s="951"/>
    </row>
    <row r="3229" spans="1:2">
      <c r="A3229" s="951"/>
      <c r="B3229" s="951"/>
    </row>
    <row r="3230" spans="1:2">
      <c r="A3230" s="951"/>
      <c r="B3230" s="951"/>
    </row>
    <row r="3231" spans="1:2">
      <c r="A3231" s="951"/>
      <c r="B3231" s="951"/>
    </row>
    <row r="3232" spans="1:2">
      <c r="A3232" s="951"/>
      <c r="B3232" s="951"/>
    </row>
    <row r="3233" spans="1:2">
      <c r="A3233" s="951"/>
      <c r="B3233" s="951"/>
    </row>
    <row r="3234" spans="1:2">
      <c r="A3234" s="951"/>
      <c r="B3234" s="951"/>
    </row>
    <row r="3235" spans="1:2">
      <c r="A3235" s="951"/>
      <c r="B3235" s="951"/>
    </row>
    <row r="3236" spans="1:2">
      <c r="A3236" s="951"/>
      <c r="B3236" s="951"/>
    </row>
    <row r="3237" spans="1:2">
      <c r="A3237" s="951"/>
      <c r="B3237" s="951"/>
    </row>
    <row r="3238" spans="1:2">
      <c r="A3238" s="951"/>
      <c r="B3238" s="951"/>
    </row>
    <row r="3239" spans="1:2">
      <c r="A3239" s="951"/>
      <c r="B3239" s="951"/>
    </row>
    <row r="3240" spans="1:2">
      <c r="A3240" s="951"/>
      <c r="B3240" s="951"/>
    </row>
    <row r="3241" spans="1:2">
      <c r="A3241" s="951"/>
      <c r="B3241" s="951"/>
    </row>
    <row r="3242" spans="1:2">
      <c r="A3242" s="951"/>
      <c r="B3242" s="951"/>
    </row>
    <row r="3243" spans="1:2">
      <c r="A3243" s="951"/>
      <c r="B3243" s="951"/>
    </row>
    <row r="3244" spans="1:2">
      <c r="A3244" s="951"/>
      <c r="B3244" s="951"/>
    </row>
    <row r="3245" spans="1:2">
      <c r="A3245" s="951"/>
      <c r="B3245" s="951"/>
    </row>
    <row r="3246" spans="1:2">
      <c r="A3246" s="951"/>
      <c r="B3246" s="951"/>
    </row>
    <row r="3247" spans="1:2">
      <c r="A3247" s="951"/>
      <c r="B3247" s="951"/>
    </row>
    <row r="3248" spans="1:2">
      <c r="A3248" s="951"/>
      <c r="B3248" s="951"/>
    </row>
    <row r="3249" spans="1:2">
      <c r="A3249" s="951"/>
      <c r="B3249" s="951"/>
    </row>
    <row r="3250" spans="1:2">
      <c r="A3250" s="951"/>
      <c r="B3250" s="951"/>
    </row>
    <row r="3251" spans="1:2">
      <c r="A3251" s="951"/>
      <c r="B3251" s="951"/>
    </row>
    <row r="3252" spans="1:2">
      <c r="A3252" s="951"/>
      <c r="B3252" s="951"/>
    </row>
    <row r="3253" spans="1:2">
      <c r="A3253" s="951"/>
      <c r="B3253" s="951"/>
    </row>
    <row r="3254" spans="1:2">
      <c r="A3254" s="951"/>
      <c r="B3254" s="951"/>
    </row>
    <row r="3255" spans="1:2">
      <c r="A3255" s="951"/>
      <c r="B3255" s="951"/>
    </row>
    <row r="3256" spans="1:2">
      <c r="A3256" s="951"/>
      <c r="B3256" s="951"/>
    </row>
    <row r="3257" spans="1:2">
      <c r="A3257" s="951"/>
      <c r="B3257" s="951"/>
    </row>
    <row r="3258" spans="1:2">
      <c r="A3258" s="951"/>
      <c r="B3258" s="951"/>
    </row>
    <row r="3259" spans="1:2">
      <c r="A3259" s="951"/>
      <c r="B3259" s="951"/>
    </row>
    <row r="3260" spans="1:2">
      <c r="A3260" s="951"/>
      <c r="B3260" s="951"/>
    </row>
    <row r="3261" spans="1:2">
      <c r="A3261" s="951"/>
      <c r="B3261" s="951"/>
    </row>
    <row r="3262" spans="1:2">
      <c r="A3262" s="951"/>
      <c r="B3262" s="951"/>
    </row>
    <row r="3263" spans="1:2">
      <c r="A3263" s="951"/>
      <c r="B3263" s="951"/>
    </row>
    <row r="3264" spans="1:2">
      <c r="A3264" s="951"/>
      <c r="B3264" s="951"/>
    </row>
    <row r="3265" spans="1:2">
      <c r="A3265" s="951"/>
      <c r="B3265" s="951"/>
    </row>
    <row r="3266" spans="1:2">
      <c r="A3266" s="951"/>
      <c r="B3266" s="951"/>
    </row>
    <row r="3267" spans="1:2">
      <c r="A3267" s="951"/>
      <c r="B3267" s="951"/>
    </row>
    <row r="3268" spans="1:2">
      <c r="A3268" s="951"/>
      <c r="B3268" s="951"/>
    </row>
    <row r="3269" spans="1:2">
      <c r="A3269" s="951"/>
      <c r="B3269" s="951"/>
    </row>
    <row r="3270" spans="1:2">
      <c r="A3270" s="951"/>
      <c r="B3270" s="951"/>
    </row>
    <row r="3271" spans="1:2">
      <c r="A3271" s="951"/>
      <c r="B3271" s="951"/>
    </row>
    <row r="3272" spans="1:2">
      <c r="A3272" s="951"/>
      <c r="B3272" s="951"/>
    </row>
    <row r="3273" spans="1:2">
      <c r="A3273" s="951"/>
      <c r="B3273" s="951"/>
    </row>
    <row r="3274" spans="1:2">
      <c r="A3274" s="951"/>
      <c r="B3274" s="951"/>
    </row>
    <row r="3275" spans="1:2">
      <c r="A3275" s="951"/>
      <c r="B3275" s="951"/>
    </row>
    <row r="3276" spans="1:2">
      <c r="A3276" s="951"/>
      <c r="B3276" s="951"/>
    </row>
    <row r="3277" spans="1:2">
      <c r="A3277" s="951"/>
      <c r="B3277" s="951"/>
    </row>
    <row r="3278" spans="1:2">
      <c r="A3278" s="951"/>
      <c r="B3278" s="951"/>
    </row>
    <row r="3279" spans="1:2">
      <c r="A3279" s="951"/>
      <c r="B3279" s="951"/>
    </row>
    <row r="3280" spans="1:2">
      <c r="A3280" s="951"/>
      <c r="B3280" s="951"/>
    </row>
    <row r="3281" spans="1:2">
      <c r="A3281" s="951"/>
      <c r="B3281" s="951"/>
    </row>
    <row r="3282" spans="1:2">
      <c r="A3282" s="951"/>
      <c r="B3282" s="951"/>
    </row>
    <row r="3283" spans="1:2">
      <c r="A3283" s="951"/>
      <c r="B3283" s="951"/>
    </row>
    <row r="3284" spans="1:2">
      <c r="A3284" s="951"/>
      <c r="B3284" s="951"/>
    </row>
    <row r="3285" spans="1:2">
      <c r="A3285" s="951"/>
      <c r="B3285" s="951"/>
    </row>
    <row r="3286" spans="1:2">
      <c r="A3286" s="951"/>
      <c r="B3286" s="951"/>
    </row>
    <row r="3287" spans="1:2">
      <c r="A3287" s="951"/>
      <c r="B3287" s="951"/>
    </row>
    <row r="3288" spans="1:2">
      <c r="A3288" s="951"/>
      <c r="B3288" s="951"/>
    </row>
    <row r="3289" spans="1:2">
      <c r="A3289" s="951"/>
      <c r="B3289" s="951"/>
    </row>
    <row r="3290" spans="1:2">
      <c r="A3290" s="951"/>
      <c r="B3290" s="951"/>
    </row>
    <row r="3291" spans="1:2">
      <c r="A3291" s="951"/>
      <c r="B3291" s="951"/>
    </row>
    <row r="3292" spans="1:2">
      <c r="A3292" s="951"/>
      <c r="B3292" s="951"/>
    </row>
    <row r="3293" spans="1:2">
      <c r="A3293" s="951"/>
      <c r="B3293" s="951"/>
    </row>
    <row r="3294" spans="1:2">
      <c r="A3294" s="951"/>
      <c r="B3294" s="951"/>
    </row>
    <row r="3295" spans="1:2">
      <c r="A3295" s="951"/>
      <c r="B3295" s="951"/>
    </row>
    <row r="3296" spans="1:2">
      <c r="A3296" s="951"/>
      <c r="B3296" s="951"/>
    </row>
    <row r="3297" spans="1:2">
      <c r="A3297" s="951"/>
      <c r="B3297" s="951"/>
    </row>
    <row r="3298" spans="1:2">
      <c r="A3298" s="951"/>
      <c r="B3298" s="951"/>
    </row>
    <row r="3299" spans="1:2">
      <c r="A3299" s="951"/>
      <c r="B3299" s="951"/>
    </row>
    <row r="3300" spans="1:2">
      <c r="A3300" s="951"/>
      <c r="B3300" s="951"/>
    </row>
    <row r="3301" spans="1:2">
      <c r="A3301" s="951"/>
      <c r="B3301" s="951"/>
    </row>
    <row r="3302" spans="1:2">
      <c r="A3302" s="951"/>
      <c r="B3302" s="951"/>
    </row>
    <row r="3303" spans="1:2">
      <c r="A3303" s="951"/>
      <c r="B3303" s="951"/>
    </row>
    <row r="3304" spans="1:2">
      <c r="A3304" s="951"/>
      <c r="B3304" s="951"/>
    </row>
    <row r="3305" spans="1:2">
      <c r="A3305" s="951"/>
      <c r="B3305" s="951"/>
    </row>
    <row r="3306" spans="1:2">
      <c r="A3306" s="951"/>
      <c r="B3306" s="951"/>
    </row>
    <row r="3307" spans="1:2">
      <c r="A3307" s="951"/>
      <c r="B3307" s="951"/>
    </row>
    <row r="3308" spans="1:2">
      <c r="A3308" s="951"/>
      <c r="B3308" s="951"/>
    </row>
    <row r="3309" spans="1:2">
      <c r="A3309" s="951"/>
      <c r="B3309" s="951"/>
    </row>
    <row r="3310" spans="1:2">
      <c r="A3310" s="951"/>
      <c r="B3310" s="951"/>
    </row>
    <row r="3311" spans="1:2">
      <c r="A3311" s="951"/>
      <c r="B3311" s="951"/>
    </row>
    <row r="3312" spans="1:2">
      <c r="A3312" s="951"/>
      <c r="B3312" s="951"/>
    </row>
    <row r="3313" spans="1:2">
      <c r="A3313" s="951"/>
      <c r="B3313" s="951"/>
    </row>
    <row r="3314" spans="1:2">
      <c r="A3314" s="951"/>
      <c r="B3314" s="951"/>
    </row>
    <row r="3315" spans="1:2">
      <c r="A3315" s="951"/>
      <c r="B3315" s="951"/>
    </row>
    <row r="3316" spans="1:2">
      <c r="A3316" s="951"/>
      <c r="B3316" s="951"/>
    </row>
    <row r="3317" spans="1:2">
      <c r="A3317" s="951"/>
      <c r="B3317" s="951"/>
    </row>
    <row r="3318" spans="1:2">
      <c r="A3318" s="951"/>
      <c r="B3318" s="951"/>
    </row>
    <row r="3319" spans="1:2">
      <c r="A3319" s="951"/>
      <c r="B3319" s="951"/>
    </row>
    <row r="3320" spans="1:2">
      <c r="A3320" s="951"/>
      <c r="B3320" s="951"/>
    </row>
    <row r="3321" spans="1:2">
      <c r="A3321" s="951"/>
      <c r="B3321" s="951"/>
    </row>
    <row r="3322" spans="1:2">
      <c r="A3322" s="951"/>
      <c r="B3322" s="951"/>
    </row>
    <row r="3323" spans="1:2">
      <c r="A3323" s="951"/>
      <c r="B3323" s="951"/>
    </row>
    <row r="3324" spans="1:2">
      <c r="A3324" s="951"/>
      <c r="B3324" s="951"/>
    </row>
    <row r="3325" spans="1:2">
      <c r="A3325" s="951"/>
      <c r="B3325" s="951"/>
    </row>
    <row r="3326" spans="1:2">
      <c r="A3326" s="951"/>
      <c r="B3326" s="951"/>
    </row>
    <row r="3327" spans="1:2">
      <c r="A3327" s="951"/>
      <c r="B3327" s="951"/>
    </row>
    <row r="3328" spans="1:2">
      <c r="A3328" s="951"/>
      <c r="B3328" s="951"/>
    </row>
    <row r="3329" spans="1:2">
      <c r="A3329" s="951"/>
      <c r="B3329" s="951"/>
    </row>
    <row r="3330" spans="1:2">
      <c r="A3330" s="951"/>
      <c r="B3330" s="951"/>
    </row>
    <row r="3331" spans="1:2">
      <c r="A3331" s="951"/>
      <c r="B3331" s="951"/>
    </row>
    <row r="3332" spans="1:2">
      <c r="A3332" s="951"/>
      <c r="B3332" s="951"/>
    </row>
    <row r="3333" spans="1:2">
      <c r="A3333" s="951"/>
      <c r="B3333" s="951"/>
    </row>
    <row r="3334" spans="1:2">
      <c r="A3334" s="951"/>
      <c r="B3334" s="951"/>
    </row>
    <row r="3335" spans="1:2">
      <c r="A3335" s="951"/>
      <c r="B3335" s="951"/>
    </row>
    <row r="3336" spans="1:2">
      <c r="A3336" s="951"/>
      <c r="B3336" s="951"/>
    </row>
    <row r="3337" spans="1:2">
      <c r="A3337" s="951"/>
      <c r="B3337" s="951"/>
    </row>
    <row r="3338" spans="1:2">
      <c r="A3338" s="951"/>
      <c r="B3338" s="951"/>
    </row>
    <row r="3339" spans="1:2">
      <c r="A3339" s="951"/>
      <c r="B3339" s="951"/>
    </row>
    <row r="3340" spans="1:2">
      <c r="A3340" s="951"/>
      <c r="B3340" s="951"/>
    </row>
    <row r="3341" spans="1:2">
      <c r="A3341" s="951"/>
      <c r="B3341" s="951"/>
    </row>
    <row r="3342" spans="1:2">
      <c r="A3342" s="951"/>
      <c r="B3342" s="951"/>
    </row>
    <row r="3343" spans="1:2">
      <c r="A3343" s="951"/>
      <c r="B3343" s="951"/>
    </row>
    <row r="3344" spans="1:2">
      <c r="A3344" s="951"/>
      <c r="B3344" s="951"/>
    </row>
    <row r="3345" spans="1:2">
      <c r="A3345" s="951"/>
      <c r="B3345" s="951"/>
    </row>
    <row r="3346" spans="1:2">
      <c r="A3346" s="951"/>
      <c r="B3346" s="951"/>
    </row>
    <row r="3347" spans="1:2">
      <c r="A3347" s="951"/>
      <c r="B3347" s="951"/>
    </row>
    <row r="3348" spans="1:2">
      <c r="A3348" s="951"/>
      <c r="B3348" s="951"/>
    </row>
    <row r="3349" spans="1:2">
      <c r="A3349" s="951"/>
      <c r="B3349" s="951"/>
    </row>
    <row r="3350" spans="1:2">
      <c r="A3350" s="951"/>
      <c r="B3350" s="951"/>
    </row>
    <row r="3351" spans="1:2">
      <c r="A3351" s="951"/>
      <c r="B3351" s="951"/>
    </row>
    <row r="3352" spans="1:2">
      <c r="A3352" s="951"/>
      <c r="B3352" s="951"/>
    </row>
    <row r="3353" spans="1:2">
      <c r="A3353" s="951"/>
      <c r="B3353" s="951"/>
    </row>
    <row r="3354" spans="1:2">
      <c r="A3354" s="951"/>
      <c r="B3354" s="951"/>
    </row>
    <row r="3355" spans="1:2">
      <c r="A3355" s="951"/>
      <c r="B3355" s="951"/>
    </row>
    <row r="3356" spans="1:2">
      <c r="A3356" s="951"/>
      <c r="B3356" s="951"/>
    </row>
    <row r="3357" spans="1:2">
      <c r="A3357" s="951"/>
      <c r="B3357" s="951"/>
    </row>
    <row r="3358" spans="1:2">
      <c r="A3358" s="951"/>
      <c r="B3358" s="951"/>
    </row>
    <row r="3359" spans="1:2">
      <c r="A3359" s="951"/>
      <c r="B3359" s="951"/>
    </row>
    <row r="3360" spans="1:2">
      <c r="A3360" s="951"/>
      <c r="B3360" s="951"/>
    </row>
    <row r="3361" spans="1:2">
      <c r="A3361" s="951"/>
      <c r="B3361" s="951"/>
    </row>
    <row r="3362" spans="1:2">
      <c r="A3362" s="951"/>
      <c r="B3362" s="951"/>
    </row>
    <row r="3363" spans="1:2">
      <c r="A3363" s="951"/>
      <c r="B3363" s="951"/>
    </row>
    <row r="3364" spans="1:2">
      <c r="A3364" s="951"/>
      <c r="B3364" s="951"/>
    </row>
    <row r="3365" spans="1:2">
      <c r="A3365" s="951"/>
      <c r="B3365" s="951"/>
    </row>
    <row r="3366" spans="1:2">
      <c r="A3366" s="951"/>
      <c r="B3366" s="951"/>
    </row>
    <row r="3367" spans="1:2">
      <c r="A3367" s="951"/>
      <c r="B3367" s="951"/>
    </row>
    <row r="3368" spans="1:2">
      <c r="A3368" s="951"/>
      <c r="B3368" s="951"/>
    </row>
    <row r="3369" spans="1:2">
      <c r="A3369" s="951"/>
      <c r="B3369" s="951"/>
    </row>
    <row r="3370" spans="1:2">
      <c r="A3370" s="951"/>
      <c r="B3370" s="951"/>
    </row>
    <row r="3371" spans="1:2">
      <c r="A3371" s="951"/>
      <c r="B3371" s="951"/>
    </row>
    <row r="3372" spans="1:2">
      <c r="A3372" s="951"/>
      <c r="B3372" s="951"/>
    </row>
    <row r="3373" spans="1:2">
      <c r="A3373" s="951"/>
      <c r="B3373" s="951"/>
    </row>
    <row r="3374" spans="1:2">
      <c r="A3374" s="951"/>
      <c r="B3374" s="951"/>
    </row>
    <row r="3375" spans="1:2">
      <c r="A3375" s="951"/>
      <c r="B3375" s="951"/>
    </row>
    <row r="3376" spans="1:2">
      <c r="A3376" s="951"/>
      <c r="B3376" s="951"/>
    </row>
    <row r="3377" spans="1:2">
      <c r="A3377" s="951"/>
      <c r="B3377" s="951"/>
    </row>
    <row r="3378" spans="1:2">
      <c r="A3378" s="951"/>
      <c r="B3378" s="951"/>
    </row>
    <row r="3379" spans="1:2">
      <c r="A3379" s="951"/>
      <c r="B3379" s="951"/>
    </row>
    <row r="3380" spans="1:2">
      <c r="A3380" s="951"/>
      <c r="B3380" s="951"/>
    </row>
    <row r="3381" spans="1:2">
      <c r="A3381" s="951"/>
      <c r="B3381" s="951"/>
    </row>
    <row r="3382" spans="1:2">
      <c r="A3382" s="951"/>
      <c r="B3382" s="951"/>
    </row>
    <row r="3383" spans="1:2">
      <c r="A3383" s="951"/>
      <c r="B3383" s="951"/>
    </row>
    <row r="3384" spans="1:2">
      <c r="A3384" s="951"/>
      <c r="B3384" s="951"/>
    </row>
    <row r="3385" spans="1:2">
      <c r="A3385" s="951"/>
      <c r="B3385" s="951"/>
    </row>
    <row r="3386" spans="1:2">
      <c r="A3386" s="951"/>
      <c r="B3386" s="951"/>
    </row>
    <row r="3387" spans="1:2">
      <c r="A3387" s="951"/>
      <c r="B3387" s="951"/>
    </row>
    <row r="3388" spans="1:2">
      <c r="A3388" s="951"/>
      <c r="B3388" s="951"/>
    </row>
    <row r="3389" spans="1:2">
      <c r="A3389" s="951"/>
      <c r="B3389" s="951"/>
    </row>
    <row r="3390" spans="1:2">
      <c r="A3390" s="951"/>
      <c r="B3390" s="951"/>
    </row>
    <row r="3391" spans="1:2">
      <c r="A3391" s="951"/>
      <c r="B3391" s="951"/>
    </row>
    <row r="3392" spans="1:2">
      <c r="A3392" s="951"/>
      <c r="B3392" s="951"/>
    </row>
    <row r="3393" spans="1:2">
      <c r="A3393" s="951"/>
      <c r="B3393" s="951"/>
    </row>
    <row r="3394" spans="1:2">
      <c r="A3394" s="951"/>
      <c r="B3394" s="951"/>
    </row>
    <row r="3395" spans="1:2">
      <c r="A3395" s="951"/>
      <c r="B3395" s="951"/>
    </row>
    <row r="3396" spans="1:2">
      <c r="A3396" s="951"/>
      <c r="B3396" s="951"/>
    </row>
    <row r="3397" spans="1:2">
      <c r="A3397" s="951"/>
      <c r="B3397" s="951"/>
    </row>
    <row r="3398" spans="1:2">
      <c r="A3398" s="951"/>
      <c r="B3398" s="951"/>
    </row>
    <row r="3399" spans="1:2">
      <c r="A3399" s="951"/>
      <c r="B3399" s="951"/>
    </row>
    <row r="3400" spans="1:2">
      <c r="A3400" s="951"/>
      <c r="B3400" s="951"/>
    </row>
    <row r="3401" spans="1:2">
      <c r="A3401" s="951"/>
      <c r="B3401" s="951"/>
    </row>
    <row r="3402" spans="1:2">
      <c r="A3402" s="951"/>
      <c r="B3402" s="951"/>
    </row>
    <row r="3403" spans="1:2">
      <c r="A3403" s="951"/>
      <c r="B3403" s="951"/>
    </row>
    <row r="3404" spans="1:2">
      <c r="A3404" s="951"/>
      <c r="B3404" s="951"/>
    </row>
    <row r="3405" spans="1:2">
      <c r="A3405" s="951"/>
      <c r="B3405" s="951"/>
    </row>
    <row r="3406" spans="1:2">
      <c r="A3406" s="951"/>
      <c r="B3406" s="951"/>
    </row>
    <row r="3407" spans="1:2">
      <c r="A3407" s="951"/>
      <c r="B3407" s="951"/>
    </row>
    <row r="3408" spans="1:2">
      <c r="A3408" s="951"/>
      <c r="B3408" s="951"/>
    </row>
    <row r="3409" spans="1:2">
      <c r="A3409" s="951"/>
      <c r="B3409" s="951"/>
    </row>
    <row r="3410" spans="1:2">
      <c r="A3410" s="951"/>
      <c r="B3410" s="951"/>
    </row>
    <row r="3411" spans="1:2">
      <c r="A3411" s="951"/>
      <c r="B3411" s="951"/>
    </row>
    <row r="3412" spans="1:2">
      <c r="A3412" s="951"/>
      <c r="B3412" s="951"/>
    </row>
    <row r="3413" spans="1:2">
      <c r="A3413" s="951"/>
      <c r="B3413" s="951"/>
    </row>
    <row r="3414" spans="1:2">
      <c r="A3414" s="951"/>
      <c r="B3414" s="951"/>
    </row>
    <row r="3415" spans="1:2">
      <c r="A3415" s="951"/>
      <c r="B3415" s="951"/>
    </row>
    <row r="3416" spans="1:2">
      <c r="A3416" s="951"/>
      <c r="B3416" s="951"/>
    </row>
    <row r="3417" spans="1:2">
      <c r="A3417" s="951"/>
      <c r="B3417" s="951"/>
    </row>
    <row r="3418" spans="1:2">
      <c r="A3418" s="951"/>
      <c r="B3418" s="951"/>
    </row>
    <row r="3419" spans="1:2">
      <c r="A3419" s="951"/>
      <c r="B3419" s="951"/>
    </row>
    <row r="3420" spans="1:2">
      <c r="A3420" s="951"/>
      <c r="B3420" s="951"/>
    </row>
    <row r="3421" spans="1:2">
      <c r="A3421" s="951"/>
      <c r="B3421" s="951"/>
    </row>
    <row r="3422" spans="1:2">
      <c r="A3422" s="951"/>
      <c r="B3422" s="951"/>
    </row>
    <row r="3423" spans="1:2">
      <c r="A3423" s="951"/>
      <c r="B3423" s="951"/>
    </row>
    <row r="3424" spans="1:2">
      <c r="A3424" s="951"/>
      <c r="B3424" s="951"/>
    </row>
    <row r="3425" spans="1:2">
      <c r="A3425" s="951"/>
      <c r="B3425" s="951"/>
    </row>
    <row r="3426" spans="1:2">
      <c r="A3426" s="951"/>
      <c r="B3426" s="951"/>
    </row>
    <row r="3427" spans="1:2">
      <c r="A3427" s="951"/>
      <c r="B3427" s="951"/>
    </row>
    <row r="3428" spans="1:2">
      <c r="A3428" s="951"/>
      <c r="B3428" s="951"/>
    </row>
    <row r="3429" spans="1:2">
      <c r="A3429" s="951"/>
      <c r="B3429" s="951"/>
    </row>
    <row r="3430" spans="1:2">
      <c r="A3430" s="951"/>
      <c r="B3430" s="951"/>
    </row>
    <row r="3431" spans="1:2">
      <c r="A3431" s="951"/>
      <c r="B3431" s="951"/>
    </row>
    <row r="3432" spans="1:2">
      <c r="A3432" s="951"/>
      <c r="B3432" s="951"/>
    </row>
    <row r="3433" spans="1:2">
      <c r="A3433" s="951"/>
      <c r="B3433" s="951"/>
    </row>
    <row r="3434" spans="1:2">
      <c r="A3434" s="951"/>
      <c r="B3434" s="951"/>
    </row>
    <row r="3435" spans="1:2">
      <c r="A3435" s="951"/>
      <c r="B3435" s="951"/>
    </row>
    <row r="3436" spans="1:2">
      <c r="A3436" s="951"/>
      <c r="B3436" s="951"/>
    </row>
    <row r="3437" spans="1:2">
      <c r="A3437" s="951"/>
      <c r="B3437" s="951"/>
    </row>
    <row r="3438" spans="1:2">
      <c r="A3438" s="951"/>
      <c r="B3438" s="951"/>
    </row>
    <row r="3439" spans="1:2">
      <c r="A3439" s="951"/>
      <c r="B3439" s="951"/>
    </row>
    <row r="3440" spans="1:2">
      <c r="A3440" s="951"/>
      <c r="B3440" s="951"/>
    </row>
    <row r="3441" spans="1:2">
      <c r="A3441" s="951"/>
      <c r="B3441" s="951"/>
    </row>
    <row r="3442" spans="1:2">
      <c r="A3442" s="951"/>
      <c r="B3442" s="951"/>
    </row>
    <row r="3443" spans="1:2">
      <c r="A3443" s="951"/>
      <c r="B3443" s="951"/>
    </row>
    <row r="3444" spans="1:2">
      <c r="A3444" s="951"/>
      <c r="B3444" s="951"/>
    </row>
    <row r="3445" spans="1:2">
      <c r="A3445" s="951"/>
      <c r="B3445" s="951"/>
    </row>
    <row r="3446" spans="1:2">
      <c r="A3446" s="951"/>
      <c r="B3446" s="951"/>
    </row>
    <row r="3447" spans="1:2">
      <c r="A3447" s="951"/>
      <c r="B3447" s="951"/>
    </row>
    <row r="3448" spans="1:2">
      <c r="A3448" s="951"/>
      <c r="B3448" s="951"/>
    </row>
    <row r="3449" spans="1:2">
      <c r="A3449" s="951"/>
      <c r="B3449" s="951"/>
    </row>
    <row r="3450" spans="1:2">
      <c r="A3450" s="951"/>
      <c r="B3450" s="951"/>
    </row>
    <row r="3451" spans="1:2">
      <c r="A3451" s="951"/>
      <c r="B3451" s="951"/>
    </row>
    <row r="3452" spans="1:2">
      <c r="A3452" s="951"/>
      <c r="B3452" s="951"/>
    </row>
    <row r="3453" spans="1:2">
      <c r="A3453" s="951"/>
      <c r="B3453" s="951"/>
    </row>
    <row r="3454" spans="1:2">
      <c r="A3454" s="951"/>
      <c r="B3454" s="951"/>
    </row>
    <row r="3455" spans="1:2">
      <c r="A3455" s="951"/>
      <c r="B3455" s="951"/>
    </row>
    <row r="3456" spans="1:2">
      <c r="A3456" s="951"/>
      <c r="B3456" s="951"/>
    </row>
    <row r="3457" spans="1:2">
      <c r="A3457" s="951"/>
      <c r="B3457" s="951"/>
    </row>
    <row r="3458" spans="1:2">
      <c r="A3458" s="951"/>
      <c r="B3458" s="951"/>
    </row>
    <row r="3459" spans="1:2">
      <c r="A3459" s="951"/>
      <c r="B3459" s="951"/>
    </row>
    <row r="3460" spans="1:2">
      <c r="A3460" s="951"/>
      <c r="B3460" s="951"/>
    </row>
    <row r="3461" spans="1:2">
      <c r="A3461" s="951"/>
      <c r="B3461" s="951"/>
    </row>
    <row r="3462" spans="1:2">
      <c r="A3462" s="951"/>
      <c r="B3462" s="951"/>
    </row>
    <row r="3463" spans="1:2">
      <c r="A3463" s="951"/>
      <c r="B3463" s="951"/>
    </row>
    <row r="3464" spans="1:2">
      <c r="A3464" s="951"/>
      <c r="B3464" s="951"/>
    </row>
    <row r="3465" spans="1:2">
      <c r="A3465" s="951"/>
      <c r="B3465" s="951"/>
    </row>
    <row r="3466" spans="1:2">
      <c r="A3466" s="951"/>
      <c r="B3466" s="951"/>
    </row>
    <row r="3467" spans="1:2">
      <c r="A3467" s="951"/>
      <c r="B3467" s="951"/>
    </row>
    <row r="3468" spans="1:2">
      <c r="A3468" s="951"/>
      <c r="B3468" s="951"/>
    </row>
    <row r="3469" spans="1:2">
      <c r="A3469" s="951"/>
      <c r="B3469" s="951"/>
    </row>
    <row r="3470" spans="1:2">
      <c r="A3470" s="951"/>
      <c r="B3470" s="951"/>
    </row>
    <row r="3471" spans="1:2">
      <c r="A3471" s="951"/>
      <c r="B3471" s="951"/>
    </row>
    <row r="3472" spans="1:2">
      <c r="A3472" s="951"/>
      <c r="B3472" s="951"/>
    </row>
    <row r="3473" spans="1:2">
      <c r="A3473" s="951"/>
      <c r="B3473" s="951"/>
    </row>
    <row r="3474" spans="1:2">
      <c r="A3474" s="951"/>
      <c r="B3474" s="951"/>
    </row>
    <row r="3475" spans="1:2">
      <c r="A3475" s="951"/>
      <c r="B3475" s="951"/>
    </row>
    <row r="3476" spans="1:2">
      <c r="A3476" s="951"/>
      <c r="B3476" s="951"/>
    </row>
    <row r="3477" spans="1:2">
      <c r="A3477" s="951"/>
      <c r="B3477" s="951"/>
    </row>
    <row r="3478" spans="1:2">
      <c r="A3478" s="951"/>
      <c r="B3478" s="951"/>
    </row>
    <row r="3479" spans="1:2">
      <c r="A3479" s="951"/>
      <c r="B3479" s="951"/>
    </row>
    <row r="3480" spans="1:2">
      <c r="A3480" s="951"/>
      <c r="B3480" s="951"/>
    </row>
    <row r="3481" spans="1:2">
      <c r="A3481" s="951"/>
      <c r="B3481" s="951"/>
    </row>
    <row r="3482" spans="1:2">
      <c r="A3482" s="951"/>
      <c r="B3482" s="951"/>
    </row>
    <row r="3483" spans="1:2">
      <c r="A3483" s="951"/>
      <c r="B3483" s="951"/>
    </row>
    <row r="3484" spans="1:2">
      <c r="A3484" s="951"/>
      <c r="B3484" s="951"/>
    </row>
    <row r="3485" spans="1:2">
      <c r="A3485" s="951"/>
      <c r="B3485" s="951"/>
    </row>
    <row r="3486" spans="1:2">
      <c r="A3486" s="951"/>
      <c r="B3486" s="951"/>
    </row>
    <row r="3487" spans="1:2">
      <c r="A3487" s="951"/>
      <c r="B3487" s="951"/>
    </row>
    <row r="3488" spans="1:2">
      <c r="A3488" s="951"/>
      <c r="B3488" s="951"/>
    </row>
    <row r="3489" spans="1:2">
      <c r="A3489" s="951"/>
      <c r="B3489" s="951"/>
    </row>
    <row r="3490" spans="1:2">
      <c r="A3490" s="951"/>
      <c r="B3490" s="951"/>
    </row>
    <row r="3491" spans="1:2">
      <c r="A3491" s="951"/>
      <c r="B3491" s="951"/>
    </row>
    <row r="3492" spans="1:2">
      <c r="A3492" s="951"/>
      <c r="B3492" s="951"/>
    </row>
    <row r="3493" spans="1:2">
      <c r="A3493" s="951"/>
      <c r="B3493" s="951"/>
    </row>
    <row r="3494" spans="1:2">
      <c r="A3494" s="951"/>
      <c r="B3494" s="951"/>
    </row>
    <row r="3495" spans="1:2">
      <c r="A3495" s="951"/>
      <c r="B3495" s="951"/>
    </row>
    <row r="3496" spans="1:2">
      <c r="A3496" s="951"/>
      <c r="B3496" s="951"/>
    </row>
    <row r="3497" spans="1:2">
      <c r="A3497" s="951"/>
      <c r="B3497" s="951"/>
    </row>
    <row r="3498" spans="1:2">
      <c r="A3498" s="951"/>
      <c r="B3498" s="951"/>
    </row>
    <row r="3499" spans="1:2">
      <c r="A3499" s="951"/>
      <c r="B3499" s="951"/>
    </row>
    <row r="3500" spans="1:2">
      <c r="A3500" s="951"/>
      <c r="B3500" s="951"/>
    </row>
    <row r="3501" spans="1:2">
      <c r="A3501" s="951"/>
      <c r="B3501" s="951"/>
    </row>
    <row r="3502" spans="1:2">
      <c r="A3502" s="951"/>
      <c r="B3502" s="951"/>
    </row>
    <row r="3503" spans="1:2">
      <c r="A3503" s="951"/>
      <c r="B3503" s="951"/>
    </row>
    <row r="3504" spans="1:2">
      <c r="A3504" s="951"/>
      <c r="B3504" s="951"/>
    </row>
    <row r="3505" spans="1:2">
      <c r="A3505" s="951"/>
      <c r="B3505" s="951"/>
    </row>
    <row r="3506" spans="1:2">
      <c r="A3506" s="951"/>
      <c r="B3506" s="951"/>
    </row>
    <row r="3507" spans="1:2">
      <c r="A3507" s="951"/>
      <c r="B3507" s="951"/>
    </row>
    <row r="3508" spans="1:2">
      <c r="A3508" s="951"/>
      <c r="B3508" s="951"/>
    </row>
    <row r="3509" spans="1:2">
      <c r="A3509" s="951"/>
      <c r="B3509" s="951"/>
    </row>
    <row r="3510" spans="1:2">
      <c r="A3510" s="951"/>
      <c r="B3510" s="951"/>
    </row>
    <row r="3511" spans="1:2">
      <c r="A3511" s="951"/>
      <c r="B3511" s="951"/>
    </row>
    <row r="3512" spans="1:2">
      <c r="A3512" s="951"/>
      <c r="B3512" s="951"/>
    </row>
    <row r="3513" spans="1:2">
      <c r="A3513" s="951"/>
      <c r="B3513" s="951"/>
    </row>
    <row r="3514" spans="1:2">
      <c r="A3514" s="951"/>
      <c r="B3514" s="951"/>
    </row>
    <row r="3515" spans="1:2">
      <c r="A3515" s="951"/>
      <c r="B3515" s="951"/>
    </row>
    <row r="3516" spans="1:2">
      <c r="A3516" s="951"/>
      <c r="B3516" s="951"/>
    </row>
    <row r="3517" spans="1:2">
      <c r="A3517" s="951"/>
      <c r="B3517" s="951"/>
    </row>
    <row r="3518" spans="1:2">
      <c r="A3518" s="951"/>
      <c r="B3518" s="951"/>
    </row>
    <row r="3519" spans="1:2">
      <c r="A3519" s="951"/>
      <c r="B3519" s="951"/>
    </row>
    <row r="3520" spans="1:2">
      <c r="A3520" s="951"/>
      <c r="B3520" s="951"/>
    </row>
    <row r="3521" spans="1:2">
      <c r="A3521" s="951"/>
      <c r="B3521" s="951"/>
    </row>
    <row r="3522" spans="1:2">
      <c r="A3522" s="951"/>
      <c r="B3522" s="951"/>
    </row>
    <row r="3523" spans="1:2">
      <c r="A3523" s="951"/>
      <c r="B3523" s="951"/>
    </row>
    <row r="3524" spans="1:2">
      <c r="A3524" s="951"/>
      <c r="B3524" s="951"/>
    </row>
    <row r="3525" spans="1:2">
      <c r="A3525" s="951"/>
      <c r="B3525" s="951"/>
    </row>
    <row r="3526" spans="1:2">
      <c r="A3526" s="951"/>
      <c r="B3526" s="951"/>
    </row>
    <row r="3527" spans="1:2">
      <c r="A3527" s="951"/>
      <c r="B3527" s="951"/>
    </row>
    <row r="3528" spans="1:2">
      <c r="A3528" s="951"/>
      <c r="B3528" s="951"/>
    </row>
    <row r="3529" spans="1:2">
      <c r="A3529" s="951"/>
      <c r="B3529" s="951"/>
    </row>
    <row r="3530" spans="1:2">
      <c r="A3530" s="951"/>
      <c r="B3530" s="951"/>
    </row>
    <row r="3531" spans="1:2">
      <c r="A3531" s="951"/>
      <c r="B3531" s="951"/>
    </row>
    <row r="3532" spans="1:2">
      <c r="A3532" s="951"/>
      <c r="B3532" s="951"/>
    </row>
    <row r="3533" spans="1:2">
      <c r="A3533" s="951"/>
      <c r="B3533" s="951"/>
    </row>
    <row r="3534" spans="1:2">
      <c r="A3534" s="951"/>
      <c r="B3534" s="951"/>
    </row>
    <row r="3535" spans="1:2">
      <c r="A3535" s="951"/>
      <c r="B3535" s="951"/>
    </row>
    <row r="3536" spans="1:2">
      <c r="A3536" s="951"/>
      <c r="B3536" s="951"/>
    </row>
    <row r="3537" spans="1:2">
      <c r="A3537" s="951"/>
      <c r="B3537" s="951"/>
    </row>
    <row r="3538" spans="1:2">
      <c r="A3538" s="951"/>
      <c r="B3538" s="951"/>
    </row>
    <row r="3539" spans="1:2">
      <c r="A3539" s="951"/>
      <c r="B3539" s="951"/>
    </row>
    <row r="3540" spans="1:2">
      <c r="A3540" s="951"/>
      <c r="B3540" s="951"/>
    </row>
    <row r="3541" spans="1:2">
      <c r="A3541" s="951"/>
      <c r="B3541" s="951"/>
    </row>
    <row r="3542" spans="1:2">
      <c r="A3542" s="951"/>
      <c r="B3542" s="951"/>
    </row>
    <row r="3543" spans="1:2">
      <c r="A3543" s="951"/>
      <c r="B3543" s="951"/>
    </row>
    <row r="3544" spans="1:2">
      <c r="A3544" s="951"/>
      <c r="B3544" s="951"/>
    </row>
    <row r="3545" spans="1:2">
      <c r="A3545" s="951"/>
      <c r="B3545" s="951"/>
    </row>
    <row r="3546" spans="1:2">
      <c r="A3546" s="951"/>
      <c r="B3546" s="951"/>
    </row>
    <row r="3547" spans="1:2">
      <c r="A3547" s="951"/>
      <c r="B3547" s="951"/>
    </row>
    <row r="3548" spans="1:2">
      <c r="A3548" s="951"/>
      <c r="B3548" s="951"/>
    </row>
    <row r="3549" spans="1:2">
      <c r="A3549" s="951"/>
      <c r="B3549" s="951"/>
    </row>
    <row r="3550" spans="1:2">
      <c r="A3550" s="951"/>
      <c r="B3550" s="951"/>
    </row>
    <row r="3551" spans="1:2">
      <c r="A3551" s="951"/>
      <c r="B3551" s="951"/>
    </row>
    <row r="3552" spans="1:2">
      <c r="A3552" s="951"/>
      <c r="B3552" s="951"/>
    </row>
    <row r="3553" spans="1:2">
      <c r="A3553" s="951"/>
      <c r="B3553" s="951"/>
    </row>
    <row r="3554" spans="1:2">
      <c r="A3554" s="951"/>
      <c r="B3554" s="951"/>
    </row>
    <row r="3555" spans="1:2">
      <c r="A3555" s="951"/>
      <c r="B3555" s="951"/>
    </row>
    <row r="3556" spans="1:2">
      <c r="A3556" s="951"/>
      <c r="B3556" s="951"/>
    </row>
    <row r="3557" spans="1:2">
      <c r="A3557" s="951"/>
      <c r="B3557" s="951"/>
    </row>
    <row r="3558" spans="1:2">
      <c r="A3558" s="951"/>
      <c r="B3558" s="951"/>
    </row>
    <row r="3559" spans="1:2">
      <c r="A3559" s="951"/>
      <c r="B3559" s="951"/>
    </row>
    <row r="3560" spans="1:2">
      <c r="A3560" s="951"/>
      <c r="B3560" s="951"/>
    </row>
    <row r="3561" spans="1:2">
      <c r="A3561" s="951"/>
      <c r="B3561" s="951"/>
    </row>
    <row r="3562" spans="1:2">
      <c r="A3562" s="951"/>
      <c r="B3562" s="951"/>
    </row>
    <row r="3563" spans="1:2">
      <c r="A3563" s="951"/>
      <c r="B3563" s="951"/>
    </row>
    <row r="3564" spans="1:2">
      <c r="A3564" s="951"/>
      <c r="B3564" s="951"/>
    </row>
    <row r="3565" spans="1:2">
      <c r="A3565" s="951"/>
      <c r="B3565" s="951"/>
    </row>
    <row r="3566" spans="1:2">
      <c r="A3566" s="951"/>
      <c r="B3566" s="951"/>
    </row>
    <row r="3567" spans="1:2">
      <c r="A3567" s="951"/>
      <c r="B3567" s="951"/>
    </row>
    <row r="3568" spans="1:2">
      <c r="A3568" s="951"/>
      <c r="B3568" s="951"/>
    </row>
    <row r="3569" spans="1:2">
      <c r="A3569" s="951"/>
      <c r="B3569" s="951"/>
    </row>
    <row r="3570" spans="1:2">
      <c r="A3570" s="951"/>
      <c r="B3570" s="951"/>
    </row>
    <row r="3571" spans="1:2">
      <c r="A3571" s="951"/>
      <c r="B3571" s="951"/>
    </row>
    <row r="3572" spans="1:2">
      <c r="A3572" s="951"/>
      <c r="B3572" s="951"/>
    </row>
    <row r="3573" spans="1:2">
      <c r="A3573" s="951"/>
      <c r="B3573" s="951"/>
    </row>
    <row r="3574" spans="1:2">
      <c r="A3574" s="951"/>
      <c r="B3574" s="951"/>
    </row>
    <row r="3575" spans="1:2">
      <c r="A3575" s="951"/>
      <c r="B3575" s="951"/>
    </row>
    <row r="3576" spans="1:2">
      <c r="A3576" s="951"/>
      <c r="B3576" s="951"/>
    </row>
    <row r="3577" spans="1:2">
      <c r="A3577" s="951"/>
      <c r="B3577" s="951"/>
    </row>
    <row r="3578" spans="1:2">
      <c r="A3578" s="951"/>
      <c r="B3578" s="951"/>
    </row>
    <row r="3579" spans="1:2">
      <c r="A3579" s="951"/>
      <c r="B3579" s="951"/>
    </row>
    <row r="3580" spans="1:2">
      <c r="A3580" s="951"/>
      <c r="B3580" s="951"/>
    </row>
    <row r="3581" spans="1:2">
      <c r="A3581" s="951"/>
      <c r="B3581" s="951"/>
    </row>
    <row r="3582" spans="1:2">
      <c r="A3582" s="951"/>
      <c r="B3582" s="951"/>
    </row>
    <row r="3583" spans="1:2">
      <c r="A3583" s="951"/>
      <c r="B3583" s="951"/>
    </row>
    <row r="3584" spans="1:2">
      <c r="A3584" s="951"/>
      <c r="B3584" s="951"/>
    </row>
    <row r="3585" spans="1:2">
      <c r="A3585" s="951"/>
      <c r="B3585" s="951"/>
    </row>
    <row r="3586" spans="1:2">
      <c r="A3586" s="951"/>
      <c r="B3586" s="951"/>
    </row>
    <row r="3587" spans="1:2">
      <c r="A3587" s="951"/>
      <c r="B3587" s="951"/>
    </row>
    <row r="3588" spans="1:2">
      <c r="A3588" s="951"/>
      <c r="B3588" s="951"/>
    </row>
    <row r="3589" spans="1:2">
      <c r="A3589" s="951"/>
      <c r="B3589" s="951"/>
    </row>
    <row r="3590" spans="1:2">
      <c r="A3590" s="951"/>
      <c r="B3590" s="951"/>
    </row>
    <row r="3591" spans="1:2">
      <c r="A3591" s="951"/>
      <c r="B3591" s="951"/>
    </row>
    <row r="3592" spans="1:2">
      <c r="A3592" s="951"/>
      <c r="B3592" s="951"/>
    </row>
    <row r="3593" spans="1:2">
      <c r="A3593" s="951"/>
      <c r="B3593" s="951"/>
    </row>
    <row r="3594" spans="1:2">
      <c r="A3594" s="951"/>
      <c r="B3594" s="951"/>
    </row>
    <row r="3595" spans="1:2">
      <c r="A3595" s="951"/>
      <c r="B3595" s="951"/>
    </row>
    <row r="3596" spans="1:2">
      <c r="A3596" s="951"/>
      <c r="B3596" s="951"/>
    </row>
    <row r="3597" spans="1:2">
      <c r="A3597" s="951"/>
      <c r="B3597" s="951"/>
    </row>
    <row r="3598" spans="1:2">
      <c r="A3598" s="951"/>
      <c r="B3598" s="951"/>
    </row>
    <row r="3599" spans="1:2">
      <c r="A3599" s="951"/>
      <c r="B3599" s="951"/>
    </row>
    <row r="3600" spans="1:2">
      <c r="A3600" s="951"/>
      <c r="B3600" s="951"/>
    </row>
    <row r="3601" spans="1:2">
      <c r="A3601" s="951"/>
      <c r="B3601" s="951"/>
    </row>
    <row r="3602" spans="1:2">
      <c r="A3602" s="951"/>
      <c r="B3602" s="951"/>
    </row>
    <row r="3603" spans="1:2">
      <c r="A3603" s="951"/>
      <c r="B3603" s="951"/>
    </row>
    <row r="3604" spans="1:2">
      <c r="A3604" s="951"/>
      <c r="B3604" s="951"/>
    </row>
    <row r="3605" spans="1:2">
      <c r="A3605" s="951"/>
      <c r="B3605" s="951"/>
    </row>
    <row r="3606" spans="1:2">
      <c r="A3606" s="951"/>
      <c r="B3606" s="951"/>
    </row>
    <row r="3607" spans="1:2">
      <c r="A3607" s="951"/>
      <c r="B3607" s="951"/>
    </row>
    <row r="3608" spans="1:2">
      <c r="A3608" s="951"/>
      <c r="B3608" s="951"/>
    </row>
    <row r="3609" spans="1:2">
      <c r="A3609" s="951"/>
      <c r="B3609" s="951"/>
    </row>
    <row r="3610" spans="1:2">
      <c r="A3610" s="951"/>
      <c r="B3610" s="951"/>
    </row>
    <row r="3611" spans="1:2">
      <c r="A3611" s="951"/>
      <c r="B3611" s="951"/>
    </row>
    <row r="3612" spans="1:2">
      <c r="A3612" s="951"/>
      <c r="B3612" s="951"/>
    </row>
    <row r="3613" spans="1:2">
      <c r="A3613" s="951"/>
      <c r="B3613" s="951"/>
    </row>
    <row r="3614" spans="1:2">
      <c r="A3614" s="951"/>
      <c r="B3614" s="951"/>
    </row>
    <row r="3615" spans="1:2">
      <c r="A3615" s="951"/>
      <c r="B3615" s="951"/>
    </row>
    <row r="3616" spans="1:2">
      <c r="A3616" s="951"/>
      <c r="B3616" s="951"/>
    </row>
    <row r="3617" spans="1:2">
      <c r="A3617" s="951"/>
      <c r="B3617" s="951"/>
    </row>
    <row r="3618" spans="1:2">
      <c r="A3618" s="951"/>
      <c r="B3618" s="951"/>
    </row>
    <row r="3619" spans="1:2">
      <c r="A3619" s="951"/>
      <c r="B3619" s="951"/>
    </row>
    <row r="3620" spans="1:2">
      <c r="A3620" s="951"/>
      <c r="B3620" s="951"/>
    </row>
    <row r="3621" spans="1:2">
      <c r="A3621" s="951"/>
      <c r="B3621" s="951"/>
    </row>
    <row r="3622" spans="1:2">
      <c r="A3622" s="951"/>
      <c r="B3622" s="951"/>
    </row>
    <row r="3623" spans="1:2">
      <c r="A3623" s="951"/>
      <c r="B3623" s="951"/>
    </row>
    <row r="3624" spans="1:2">
      <c r="A3624" s="951"/>
      <c r="B3624" s="951"/>
    </row>
    <row r="3625" spans="1:2">
      <c r="A3625" s="951"/>
      <c r="B3625" s="951"/>
    </row>
    <row r="3626" spans="1:2">
      <c r="A3626" s="951"/>
      <c r="B3626" s="951"/>
    </row>
    <row r="3627" spans="1:2">
      <c r="A3627" s="951"/>
      <c r="B3627" s="951"/>
    </row>
    <row r="3628" spans="1:2">
      <c r="A3628" s="951"/>
      <c r="B3628" s="951"/>
    </row>
    <row r="3629" spans="1:2">
      <c r="A3629" s="951"/>
      <c r="B3629" s="951"/>
    </row>
    <row r="3630" spans="1:2">
      <c r="A3630" s="951"/>
      <c r="B3630" s="951"/>
    </row>
    <row r="3631" spans="1:2">
      <c r="A3631" s="951"/>
      <c r="B3631" s="951"/>
    </row>
    <row r="3632" spans="1:2">
      <c r="A3632" s="951"/>
      <c r="B3632" s="951"/>
    </row>
    <row r="3633" spans="1:2">
      <c r="A3633" s="951"/>
      <c r="B3633" s="951"/>
    </row>
    <row r="3634" spans="1:2">
      <c r="A3634" s="951"/>
      <c r="B3634" s="951"/>
    </row>
    <row r="3635" spans="1:2">
      <c r="A3635" s="951"/>
      <c r="B3635" s="951"/>
    </row>
    <row r="3636" spans="1:2">
      <c r="A3636" s="951"/>
      <c r="B3636" s="951"/>
    </row>
    <row r="3637" spans="1:2">
      <c r="A3637" s="951"/>
      <c r="B3637" s="951"/>
    </row>
    <row r="3638" spans="1:2">
      <c r="A3638" s="951"/>
      <c r="B3638" s="951"/>
    </row>
    <row r="3639" spans="1:2">
      <c r="A3639" s="951"/>
      <c r="B3639" s="951"/>
    </row>
    <row r="3640" spans="1:2">
      <c r="A3640" s="951"/>
      <c r="B3640" s="951"/>
    </row>
    <row r="3641" spans="1:2">
      <c r="A3641" s="951"/>
      <c r="B3641" s="951"/>
    </row>
    <row r="3642" spans="1:2">
      <c r="A3642" s="951"/>
      <c r="B3642" s="951"/>
    </row>
    <row r="3643" spans="1:2">
      <c r="A3643" s="951"/>
      <c r="B3643" s="951"/>
    </row>
    <row r="3644" spans="1:2">
      <c r="A3644" s="951"/>
      <c r="B3644" s="951"/>
    </row>
    <row r="3645" spans="1:2">
      <c r="A3645" s="951"/>
      <c r="B3645" s="951"/>
    </row>
    <row r="3646" spans="1:2">
      <c r="A3646" s="951"/>
      <c r="B3646" s="951"/>
    </row>
    <row r="3647" spans="1:2">
      <c r="A3647" s="951"/>
      <c r="B3647" s="951"/>
    </row>
    <row r="3648" spans="1:2">
      <c r="A3648" s="951"/>
      <c r="B3648" s="951"/>
    </row>
    <row r="3649" spans="1:2">
      <c r="A3649" s="951"/>
      <c r="B3649" s="951"/>
    </row>
    <row r="3650" spans="1:2">
      <c r="A3650" s="951"/>
      <c r="B3650" s="951"/>
    </row>
    <row r="3651" spans="1:2">
      <c r="A3651" s="951"/>
      <c r="B3651" s="951"/>
    </row>
    <row r="3652" spans="1:2">
      <c r="A3652" s="951"/>
      <c r="B3652" s="951"/>
    </row>
    <row r="3653" spans="1:2">
      <c r="A3653" s="951"/>
      <c r="B3653" s="951"/>
    </row>
    <row r="3654" spans="1:2">
      <c r="A3654" s="951"/>
      <c r="B3654" s="951"/>
    </row>
    <row r="3655" spans="1:2">
      <c r="A3655" s="951"/>
      <c r="B3655" s="951"/>
    </row>
    <row r="3656" spans="1:2">
      <c r="A3656" s="951"/>
      <c r="B3656" s="951"/>
    </row>
    <row r="3657" spans="1:2">
      <c r="A3657" s="951"/>
      <c r="B3657" s="951"/>
    </row>
    <row r="3658" spans="1:2">
      <c r="A3658" s="951"/>
      <c r="B3658" s="951"/>
    </row>
    <row r="3659" spans="1:2">
      <c r="A3659" s="951"/>
      <c r="B3659" s="951"/>
    </row>
    <row r="3660" spans="1:2">
      <c r="A3660" s="951"/>
      <c r="B3660" s="951"/>
    </row>
    <row r="3661" spans="1:2">
      <c r="A3661" s="951"/>
      <c r="B3661" s="951"/>
    </row>
    <row r="3662" spans="1:2">
      <c r="A3662" s="951"/>
      <c r="B3662" s="951"/>
    </row>
    <row r="3663" spans="1:2">
      <c r="A3663" s="951"/>
      <c r="B3663" s="951"/>
    </row>
    <row r="3664" spans="1:2">
      <c r="A3664" s="951"/>
      <c r="B3664" s="951"/>
    </row>
    <row r="3665" spans="1:2">
      <c r="A3665" s="951"/>
      <c r="B3665" s="951"/>
    </row>
    <row r="3666" spans="1:2">
      <c r="A3666" s="951"/>
      <c r="B3666" s="951"/>
    </row>
    <row r="3667" spans="1:2">
      <c r="A3667" s="951"/>
      <c r="B3667" s="951"/>
    </row>
    <row r="3668" spans="1:2">
      <c r="A3668" s="951"/>
      <c r="B3668" s="951"/>
    </row>
    <row r="3669" spans="1:2">
      <c r="A3669" s="951"/>
      <c r="B3669" s="951"/>
    </row>
    <row r="3670" spans="1:2">
      <c r="A3670" s="951"/>
      <c r="B3670" s="951"/>
    </row>
    <row r="3671" spans="1:2">
      <c r="A3671" s="951"/>
      <c r="B3671" s="951"/>
    </row>
    <row r="3672" spans="1:2">
      <c r="A3672" s="951"/>
      <c r="B3672" s="951"/>
    </row>
    <row r="3673" spans="1:2">
      <c r="A3673" s="951"/>
      <c r="B3673" s="951"/>
    </row>
    <row r="3674" spans="1:2">
      <c r="A3674" s="951"/>
      <c r="B3674" s="951"/>
    </row>
    <row r="3675" spans="1:2">
      <c r="A3675" s="951"/>
      <c r="B3675" s="951"/>
    </row>
    <row r="3676" spans="1:2">
      <c r="A3676" s="951"/>
      <c r="B3676" s="951"/>
    </row>
    <row r="3677" spans="1:2">
      <c r="A3677" s="951"/>
      <c r="B3677" s="951"/>
    </row>
    <row r="3678" spans="1:2">
      <c r="A3678" s="951"/>
      <c r="B3678" s="951"/>
    </row>
    <row r="3679" spans="1:2">
      <c r="A3679" s="951"/>
      <c r="B3679" s="951"/>
    </row>
    <row r="3680" spans="1:2">
      <c r="A3680" s="951"/>
      <c r="B3680" s="951"/>
    </row>
    <row r="3681" spans="1:2">
      <c r="A3681" s="951"/>
      <c r="B3681" s="951"/>
    </row>
    <row r="3682" spans="1:2">
      <c r="A3682" s="951"/>
      <c r="B3682" s="951"/>
    </row>
    <row r="3683" spans="1:2">
      <c r="A3683" s="951"/>
      <c r="B3683" s="951"/>
    </row>
    <row r="3684" spans="1:2">
      <c r="A3684" s="951"/>
      <c r="B3684" s="951"/>
    </row>
    <row r="3685" spans="1:2">
      <c r="A3685" s="951"/>
      <c r="B3685" s="951"/>
    </row>
    <row r="3686" spans="1:2">
      <c r="A3686" s="951"/>
      <c r="B3686" s="951"/>
    </row>
    <row r="3687" spans="1:2">
      <c r="A3687" s="951"/>
      <c r="B3687" s="951"/>
    </row>
    <row r="3688" spans="1:2">
      <c r="A3688" s="951"/>
      <c r="B3688" s="951"/>
    </row>
    <row r="3689" spans="1:2">
      <c r="A3689" s="951"/>
      <c r="B3689" s="951"/>
    </row>
    <row r="3690" spans="1:2">
      <c r="A3690" s="951"/>
      <c r="B3690" s="951"/>
    </row>
    <row r="3691" spans="1:2">
      <c r="A3691" s="951"/>
      <c r="B3691" s="951"/>
    </row>
    <row r="3692" spans="1:2">
      <c r="A3692" s="951"/>
      <c r="B3692" s="951"/>
    </row>
    <row r="3693" spans="1:2">
      <c r="A3693" s="951"/>
      <c r="B3693" s="951"/>
    </row>
    <row r="3694" spans="1:2">
      <c r="A3694" s="951"/>
      <c r="B3694" s="951"/>
    </row>
    <row r="3695" spans="1:2">
      <c r="A3695" s="951"/>
      <c r="B3695" s="951"/>
    </row>
    <row r="3696" spans="1:2">
      <c r="A3696" s="951"/>
      <c r="B3696" s="951"/>
    </row>
    <row r="3697" spans="1:2">
      <c r="A3697" s="951"/>
      <c r="B3697" s="951"/>
    </row>
    <row r="3698" spans="1:2">
      <c r="A3698" s="951"/>
      <c r="B3698" s="951"/>
    </row>
    <row r="3699" spans="1:2">
      <c r="A3699" s="951"/>
      <c r="B3699" s="951"/>
    </row>
    <row r="3700" spans="1:2">
      <c r="A3700" s="951"/>
      <c r="B3700" s="951"/>
    </row>
    <row r="3701" spans="1:2">
      <c r="A3701" s="951"/>
      <c r="B3701" s="951"/>
    </row>
    <row r="3702" spans="1:2">
      <c r="A3702" s="951"/>
      <c r="B3702" s="951"/>
    </row>
    <row r="3703" spans="1:2">
      <c r="A3703" s="951"/>
      <c r="B3703" s="951"/>
    </row>
    <row r="3704" spans="1:2">
      <c r="A3704" s="951"/>
      <c r="B3704" s="951"/>
    </row>
    <row r="3705" spans="1:2">
      <c r="A3705" s="951"/>
      <c r="B3705" s="951"/>
    </row>
    <row r="3706" spans="1:2">
      <c r="A3706" s="951"/>
      <c r="B3706" s="951"/>
    </row>
    <row r="3707" spans="1:2">
      <c r="A3707" s="951"/>
      <c r="B3707" s="951"/>
    </row>
    <row r="3708" spans="1:2">
      <c r="A3708" s="951"/>
      <c r="B3708" s="951"/>
    </row>
    <row r="3709" spans="1:2">
      <c r="A3709" s="951"/>
      <c r="B3709" s="951"/>
    </row>
    <row r="3710" spans="1:2">
      <c r="A3710" s="951"/>
      <c r="B3710" s="951"/>
    </row>
    <row r="3711" spans="1:2">
      <c r="A3711" s="951"/>
      <c r="B3711" s="951"/>
    </row>
    <row r="3712" spans="1:2">
      <c r="A3712" s="951"/>
      <c r="B3712" s="951"/>
    </row>
    <row r="3713" spans="1:2">
      <c r="A3713" s="951"/>
      <c r="B3713" s="951"/>
    </row>
    <row r="3714" spans="1:2">
      <c r="A3714" s="951"/>
      <c r="B3714" s="951"/>
    </row>
    <row r="3715" spans="1:2">
      <c r="A3715" s="951"/>
      <c r="B3715" s="951"/>
    </row>
    <row r="3716" spans="1:2">
      <c r="A3716" s="951"/>
      <c r="B3716" s="951"/>
    </row>
    <row r="3717" spans="1:2">
      <c r="A3717" s="951"/>
      <c r="B3717" s="951"/>
    </row>
    <row r="3718" spans="1:2">
      <c r="A3718" s="951"/>
      <c r="B3718" s="951"/>
    </row>
    <row r="3719" spans="1:2">
      <c r="A3719" s="951"/>
      <c r="B3719" s="951"/>
    </row>
    <row r="3720" spans="1:2">
      <c r="A3720" s="951"/>
      <c r="B3720" s="951"/>
    </row>
    <row r="3721" spans="1:2">
      <c r="A3721" s="951"/>
      <c r="B3721" s="951"/>
    </row>
    <row r="3722" spans="1:2">
      <c r="A3722" s="951"/>
      <c r="B3722" s="951"/>
    </row>
    <row r="3723" spans="1:2">
      <c r="A3723" s="951"/>
      <c r="B3723" s="951"/>
    </row>
    <row r="3724" spans="1:2">
      <c r="A3724" s="951"/>
      <c r="B3724" s="951"/>
    </row>
    <row r="3725" spans="1:2">
      <c r="A3725" s="951"/>
      <c r="B3725" s="951"/>
    </row>
    <row r="3726" spans="1:2">
      <c r="A3726" s="951"/>
      <c r="B3726" s="951"/>
    </row>
    <row r="3727" spans="1:2">
      <c r="A3727" s="951"/>
      <c r="B3727" s="951"/>
    </row>
    <row r="3728" spans="1:2">
      <c r="A3728" s="951"/>
      <c r="B3728" s="951"/>
    </row>
    <row r="3729" spans="1:2">
      <c r="A3729" s="951"/>
      <c r="B3729" s="951"/>
    </row>
    <row r="3730" spans="1:2">
      <c r="A3730" s="951"/>
      <c r="B3730" s="951"/>
    </row>
    <row r="3731" spans="1:2">
      <c r="A3731" s="951"/>
      <c r="B3731" s="951"/>
    </row>
    <row r="3732" spans="1:2">
      <c r="A3732" s="951"/>
      <c r="B3732" s="951"/>
    </row>
    <row r="3733" spans="1:2">
      <c r="A3733" s="951"/>
      <c r="B3733" s="951"/>
    </row>
    <row r="3734" spans="1:2">
      <c r="A3734" s="951"/>
      <c r="B3734" s="951"/>
    </row>
    <row r="3735" spans="1:2">
      <c r="A3735" s="951"/>
      <c r="B3735" s="951"/>
    </row>
    <row r="3736" spans="1:2">
      <c r="A3736" s="951"/>
      <c r="B3736" s="951"/>
    </row>
    <row r="3737" spans="1:2">
      <c r="A3737" s="951"/>
      <c r="B3737" s="951"/>
    </row>
    <row r="3738" spans="1:2">
      <c r="A3738" s="951"/>
      <c r="B3738" s="951"/>
    </row>
    <row r="3739" spans="1:2">
      <c r="A3739" s="951"/>
      <c r="B3739" s="951"/>
    </row>
    <row r="3740" spans="1:2">
      <c r="A3740" s="951"/>
      <c r="B3740" s="951"/>
    </row>
    <row r="3741" spans="1:2">
      <c r="A3741" s="951"/>
      <c r="B3741" s="951"/>
    </row>
    <row r="3742" spans="1:2">
      <c r="A3742" s="951"/>
      <c r="B3742" s="951"/>
    </row>
    <row r="3743" spans="1:2">
      <c r="A3743" s="951"/>
      <c r="B3743" s="951"/>
    </row>
    <row r="3744" spans="1:2">
      <c r="A3744" s="951"/>
      <c r="B3744" s="951"/>
    </row>
    <row r="3745" spans="1:2">
      <c r="A3745" s="951"/>
      <c r="B3745" s="951"/>
    </row>
    <row r="3746" spans="1:2">
      <c r="A3746" s="951"/>
      <c r="B3746" s="951"/>
    </row>
    <row r="3747" spans="1:2">
      <c r="A3747" s="951"/>
      <c r="B3747" s="951"/>
    </row>
    <row r="3748" spans="1:2">
      <c r="A3748" s="951"/>
      <c r="B3748" s="951"/>
    </row>
    <row r="3749" spans="1:2">
      <c r="A3749" s="951"/>
      <c r="B3749" s="951"/>
    </row>
    <row r="3750" spans="1:2">
      <c r="A3750" s="951"/>
      <c r="B3750" s="951"/>
    </row>
    <row r="3751" spans="1:2">
      <c r="A3751" s="951"/>
      <c r="B3751" s="951"/>
    </row>
    <row r="3752" spans="1:2">
      <c r="A3752" s="951"/>
      <c r="B3752" s="951"/>
    </row>
    <row r="3753" spans="1:2">
      <c r="A3753" s="951"/>
      <c r="B3753" s="951"/>
    </row>
    <row r="3754" spans="1:2">
      <c r="A3754" s="951"/>
      <c r="B3754" s="951"/>
    </row>
    <row r="3755" spans="1:2">
      <c r="A3755" s="951"/>
      <c r="B3755" s="951"/>
    </row>
    <row r="3756" spans="1:2">
      <c r="A3756" s="951"/>
      <c r="B3756" s="951"/>
    </row>
    <row r="3757" spans="1:2">
      <c r="A3757" s="951"/>
      <c r="B3757" s="951"/>
    </row>
    <row r="3758" spans="1:2">
      <c r="A3758" s="951"/>
      <c r="B3758" s="951"/>
    </row>
    <row r="3759" spans="1:2">
      <c r="A3759" s="951"/>
      <c r="B3759" s="951"/>
    </row>
    <row r="3760" spans="1:2">
      <c r="A3760" s="951"/>
      <c r="B3760" s="951"/>
    </row>
    <row r="3761" spans="1:2">
      <c r="A3761" s="951"/>
      <c r="B3761" s="951"/>
    </row>
    <row r="3762" spans="1:2">
      <c r="A3762" s="951"/>
      <c r="B3762" s="951"/>
    </row>
    <row r="3763" spans="1:2">
      <c r="A3763" s="951"/>
      <c r="B3763" s="951"/>
    </row>
    <row r="3764" spans="1:2">
      <c r="A3764" s="951"/>
      <c r="B3764" s="951"/>
    </row>
    <row r="3765" spans="1:2">
      <c r="A3765" s="951"/>
      <c r="B3765" s="951"/>
    </row>
    <row r="3766" spans="1:2">
      <c r="A3766" s="951"/>
      <c r="B3766" s="951"/>
    </row>
    <row r="3767" spans="1:2">
      <c r="A3767" s="951"/>
      <c r="B3767" s="951"/>
    </row>
    <row r="3768" spans="1:2">
      <c r="A3768" s="951"/>
      <c r="B3768" s="951"/>
    </row>
    <row r="3769" spans="1:2">
      <c r="A3769" s="951"/>
      <c r="B3769" s="951"/>
    </row>
    <row r="3770" spans="1:2">
      <c r="A3770" s="951"/>
      <c r="B3770" s="951"/>
    </row>
    <row r="3771" spans="1:2">
      <c r="A3771" s="951"/>
      <c r="B3771" s="951"/>
    </row>
    <row r="3772" spans="1:2">
      <c r="A3772" s="951"/>
      <c r="B3772" s="951"/>
    </row>
    <row r="3773" spans="1:2">
      <c r="A3773" s="951"/>
      <c r="B3773" s="951"/>
    </row>
    <row r="3774" spans="1:2">
      <c r="A3774" s="951"/>
      <c r="B3774" s="951"/>
    </row>
    <row r="3775" spans="1:2">
      <c r="A3775" s="951"/>
      <c r="B3775" s="951"/>
    </row>
    <row r="3776" spans="1:2">
      <c r="A3776" s="951"/>
      <c r="B3776" s="951"/>
    </row>
    <row r="3777" spans="1:2">
      <c r="A3777" s="951"/>
      <c r="B3777" s="951"/>
    </row>
    <row r="3778" spans="1:2">
      <c r="A3778" s="951"/>
      <c r="B3778" s="951"/>
    </row>
    <row r="3779" spans="1:2">
      <c r="A3779" s="951"/>
      <c r="B3779" s="951"/>
    </row>
    <row r="3780" spans="1:2">
      <c r="A3780" s="951"/>
      <c r="B3780" s="951"/>
    </row>
    <row r="3781" spans="1:2">
      <c r="A3781" s="951"/>
      <c r="B3781" s="951"/>
    </row>
    <row r="3782" spans="1:2">
      <c r="A3782" s="951"/>
      <c r="B3782" s="951"/>
    </row>
    <row r="3783" spans="1:2">
      <c r="A3783" s="951"/>
      <c r="B3783" s="951"/>
    </row>
    <row r="3784" spans="1:2">
      <c r="A3784" s="951"/>
      <c r="B3784" s="951"/>
    </row>
    <row r="3785" spans="1:2">
      <c r="A3785" s="951"/>
      <c r="B3785" s="951"/>
    </row>
    <row r="3786" spans="1:2">
      <c r="A3786" s="951"/>
      <c r="B3786" s="951"/>
    </row>
    <row r="3787" spans="1:2">
      <c r="A3787" s="951"/>
      <c r="B3787" s="951"/>
    </row>
    <row r="3788" spans="1:2">
      <c r="A3788" s="951"/>
      <c r="B3788" s="951"/>
    </row>
    <row r="3789" spans="1:2">
      <c r="A3789" s="951"/>
      <c r="B3789" s="951"/>
    </row>
    <row r="3790" spans="1:2">
      <c r="A3790" s="951"/>
      <c r="B3790" s="951"/>
    </row>
    <row r="3791" spans="1:2">
      <c r="A3791" s="951"/>
      <c r="B3791" s="951"/>
    </row>
    <row r="3792" spans="1:2">
      <c r="A3792" s="951"/>
      <c r="B3792" s="951"/>
    </row>
    <row r="3793" spans="1:2">
      <c r="A3793" s="951"/>
      <c r="B3793" s="951"/>
    </row>
    <row r="3794" spans="1:2">
      <c r="A3794" s="951"/>
      <c r="B3794" s="951"/>
    </row>
    <row r="3795" spans="1:2">
      <c r="A3795" s="951"/>
      <c r="B3795" s="951"/>
    </row>
    <row r="3796" spans="1:2">
      <c r="A3796" s="951"/>
      <c r="B3796" s="951"/>
    </row>
    <row r="3797" spans="1:2">
      <c r="A3797" s="951"/>
      <c r="B3797" s="951"/>
    </row>
    <row r="3798" spans="1:2">
      <c r="A3798" s="951"/>
      <c r="B3798" s="951"/>
    </row>
    <row r="3799" spans="1:2">
      <c r="A3799" s="951"/>
      <c r="B3799" s="951"/>
    </row>
    <row r="3800" spans="1:2">
      <c r="A3800" s="951"/>
      <c r="B3800" s="951"/>
    </row>
    <row r="3801" spans="1:2">
      <c r="A3801" s="951"/>
      <c r="B3801" s="951"/>
    </row>
    <row r="3802" spans="1:2">
      <c r="A3802" s="951"/>
      <c r="B3802" s="951"/>
    </row>
    <row r="3803" spans="1:2">
      <c r="A3803" s="951"/>
      <c r="B3803" s="951"/>
    </row>
    <row r="3804" spans="1:2">
      <c r="A3804" s="951"/>
      <c r="B3804" s="951"/>
    </row>
    <row r="3805" spans="1:2">
      <c r="A3805" s="951"/>
      <c r="B3805" s="951"/>
    </row>
    <row r="3806" spans="1:2">
      <c r="A3806" s="951"/>
      <c r="B3806" s="951"/>
    </row>
    <row r="3807" spans="1:2">
      <c r="A3807" s="951"/>
      <c r="B3807" s="951"/>
    </row>
    <row r="3808" spans="1:2">
      <c r="A3808" s="951"/>
      <c r="B3808" s="951"/>
    </row>
    <row r="3809" spans="1:2">
      <c r="A3809" s="951"/>
      <c r="B3809" s="951"/>
    </row>
    <row r="3810" spans="1:2">
      <c r="A3810" s="951"/>
      <c r="B3810" s="951"/>
    </row>
    <row r="3811" spans="1:2">
      <c r="A3811" s="951"/>
      <c r="B3811" s="951"/>
    </row>
    <row r="3812" spans="1:2">
      <c r="A3812" s="951"/>
      <c r="B3812" s="951"/>
    </row>
    <row r="3813" spans="1:2">
      <c r="A3813" s="951"/>
      <c r="B3813" s="951"/>
    </row>
    <row r="3814" spans="1:2">
      <c r="A3814" s="951"/>
      <c r="B3814" s="951"/>
    </row>
    <row r="3815" spans="1:2">
      <c r="A3815" s="951"/>
      <c r="B3815" s="951"/>
    </row>
    <row r="3816" spans="1:2">
      <c r="A3816" s="951"/>
      <c r="B3816" s="951"/>
    </row>
    <row r="3817" spans="1:2">
      <c r="A3817" s="951"/>
      <c r="B3817" s="951"/>
    </row>
    <row r="3818" spans="1:2">
      <c r="A3818" s="951"/>
      <c r="B3818" s="951"/>
    </row>
    <row r="3819" spans="1:2">
      <c r="A3819" s="951"/>
      <c r="B3819" s="951"/>
    </row>
    <row r="3820" spans="1:2">
      <c r="A3820" s="951"/>
      <c r="B3820" s="951"/>
    </row>
    <row r="3821" spans="1:2">
      <c r="A3821" s="951"/>
      <c r="B3821" s="951"/>
    </row>
    <row r="3822" spans="1:2">
      <c r="A3822" s="951"/>
      <c r="B3822" s="951"/>
    </row>
    <row r="3823" spans="1:2">
      <c r="A3823" s="951"/>
      <c r="B3823" s="951"/>
    </row>
    <row r="3824" spans="1:2">
      <c r="A3824" s="951"/>
      <c r="B3824" s="951"/>
    </row>
    <row r="3825" spans="1:2">
      <c r="A3825" s="951"/>
      <c r="B3825" s="951"/>
    </row>
    <row r="3826" spans="1:2">
      <c r="A3826" s="951"/>
      <c r="B3826" s="951"/>
    </row>
    <row r="3827" spans="1:2">
      <c r="A3827" s="951"/>
      <c r="B3827" s="951"/>
    </row>
    <row r="3828" spans="1:2">
      <c r="A3828" s="951"/>
      <c r="B3828" s="951"/>
    </row>
    <row r="3829" spans="1:2">
      <c r="A3829" s="951"/>
      <c r="B3829" s="951"/>
    </row>
    <row r="3830" spans="1:2">
      <c r="A3830" s="951"/>
      <c r="B3830" s="951"/>
    </row>
    <row r="3831" spans="1:2">
      <c r="A3831" s="951"/>
      <c r="B3831" s="951"/>
    </row>
    <row r="3832" spans="1:2">
      <c r="A3832" s="951"/>
      <c r="B3832" s="951"/>
    </row>
    <row r="3833" spans="1:2">
      <c r="A3833" s="951"/>
      <c r="B3833" s="951"/>
    </row>
    <row r="3834" spans="1:2">
      <c r="A3834" s="951"/>
      <c r="B3834" s="951"/>
    </row>
    <row r="3835" spans="1:2">
      <c r="A3835" s="951"/>
      <c r="B3835" s="951"/>
    </row>
    <row r="3836" spans="1:2">
      <c r="A3836" s="951"/>
      <c r="B3836" s="951"/>
    </row>
    <row r="3837" spans="1:2">
      <c r="A3837" s="951"/>
      <c r="B3837" s="951"/>
    </row>
    <row r="3838" spans="1:2">
      <c r="A3838" s="951"/>
      <c r="B3838" s="951"/>
    </row>
    <row r="3839" spans="1:2">
      <c r="A3839" s="951"/>
      <c r="B3839" s="951"/>
    </row>
    <row r="3840" spans="1:2">
      <c r="A3840" s="951"/>
      <c r="B3840" s="951"/>
    </row>
    <row r="3841" spans="1:2">
      <c r="A3841" s="951"/>
      <c r="B3841" s="951"/>
    </row>
    <row r="3842" spans="1:2">
      <c r="A3842" s="951"/>
      <c r="B3842" s="951"/>
    </row>
    <row r="3843" spans="1:2">
      <c r="A3843" s="951"/>
      <c r="B3843" s="951"/>
    </row>
    <row r="3844" spans="1:2">
      <c r="A3844" s="951"/>
      <c r="B3844" s="951"/>
    </row>
    <row r="3845" spans="1:2">
      <c r="A3845" s="951"/>
      <c r="B3845" s="951"/>
    </row>
    <row r="3846" spans="1:2">
      <c r="A3846" s="951"/>
      <c r="B3846" s="951"/>
    </row>
    <row r="3847" spans="1:2">
      <c r="A3847" s="951"/>
      <c r="B3847" s="951"/>
    </row>
    <row r="3848" spans="1:2">
      <c r="A3848" s="951"/>
      <c r="B3848" s="951"/>
    </row>
    <row r="3849" spans="1:2">
      <c r="A3849" s="951"/>
      <c r="B3849" s="951"/>
    </row>
    <row r="3850" spans="1:2">
      <c r="A3850" s="951"/>
      <c r="B3850" s="951"/>
    </row>
    <row r="3851" spans="1:2">
      <c r="A3851" s="951"/>
      <c r="B3851" s="951"/>
    </row>
    <row r="3852" spans="1:2">
      <c r="A3852" s="951"/>
      <c r="B3852" s="951"/>
    </row>
    <row r="3853" spans="1:2">
      <c r="A3853" s="951"/>
      <c r="B3853" s="951"/>
    </row>
    <row r="3854" spans="1:2">
      <c r="A3854" s="951"/>
      <c r="B3854" s="951"/>
    </row>
    <row r="3855" spans="1:2">
      <c r="A3855" s="951"/>
      <c r="B3855" s="951"/>
    </row>
    <row r="3856" spans="1:2">
      <c r="A3856" s="951"/>
      <c r="B3856" s="951"/>
    </row>
    <row r="3857" spans="1:2">
      <c r="A3857" s="951"/>
      <c r="B3857" s="951"/>
    </row>
    <row r="3858" spans="1:2">
      <c r="A3858" s="951"/>
      <c r="B3858" s="951"/>
    </row>
    <row r="3859" spans="1:2">
      <c r="A3859" s="951"/>
      <c r="B3859" s="951"/>
    </row>
    <row r="3860" spans="1:2">
      <c r="A3860" s="951"/>
      <c r="B3860" s="951"/>
    </row>
    <row r="3861" spans="1:2">
      <c r="A3861" s="951"/>
      <c r="B3861" s="951"/>
    </row>
    <row r="3862" spans="1:2">
      <c r="A3862" s="951"/>
      <c r="B3862" s="951"/>
    </row>
    <row r="3863" spans="1:2">
      <c r="A3863" s="951"/>
      <c r="B3863" s="951"/>
    </row>
    <row r="3864" spans="1:2">
      <c r="A3864" s="951"/>
      <c r="B3864" s="951"/>
    </row>
    <row r="3865" spans="1:2">
      <c r="A3865" s="951"/>
      <c r="B3865" s="951"/>
    </row>
    <row r="3866" spans="1:2">
      <c r="A3866" s="951"/>
      <c r="B3866" s="951"/>
    </row>
    <row r="3867" spans="1:2">
      <c r="A3867" s="951"/>
      <c r="B3867" s="951"/>
    </row>
    <row r="3868" spans="1:2">
      <c r="A3868" s="951"/>
      <c r="B3868" s="951"/>
    </row>
    <row r="3869" spans="1:2">
      <c r="A3869" s="951"/>
      <c r="B3869" s="951"/>
    </row>
    <row r="3870" spans="1:2">
      <c r="A3870" s="951"/>
      <c r="B3870" s="951"/>
    </row>
    <row r="3871" spans="1:2">
      <c r="A3871" s="951"/>
      <c r="B3871" s="951"/>
    </row>
    <row r="3872" spans="1:2">
      <c r="A3872" s="951"/>
      <c r="B3872" s="951"/>
    </row>
    <row r="3873" spans="1:2">
      <c r="A3873" s="951"/>
      <c r="B3873" s="951"/>
    </row>
    <row r="3874" spans="1:2">
      <c r="A3874" s="951"/>
      <c r="B3874" s="951"/>
    </row>
    <row r="3875" spans="1:2">
      <c r="A3875" s="951"/>
      <c r="B3875" s="951"/>
    </row>
    <row r="3876" spans="1:2">
      <c r="A3876" s="951"/>
      <c r="B3876" s="951"/>
    </row>
    <row r="3877" spans="1:2">
      <c r="A3877" s="951"/>
      <c r="B3877" s="951"/>
    </row>
    <row r="3878" spans="1:2">
      <c r="A3878" s="951"/>
      <c r="B3878" s="951"/>
    </row>
    <row r="3879" spans="1:2">
      <c r="A3879" s="951"/>
      <c r="B3879" s="951"/>
    </row>
    <row r="3880" spans="1:2">
      <c r="A3880" s="951"/>
      <c r="B3880" s="951"/>
    </row>
    <row r="3881" spans="1:2">
      <c r="A3881" s="951"/>
      <c r="B3881" s="951"/>
    </row>
    <row r="3882" spans="1:2">
      <c r="A3882" s="951"/>
      <c r="B3882" s="951"/>
    </row>
    <row r="3883" spans="1:2">
      <c r="A3883" s="951"/>
      <c r="B3883" s="951"/>
    </row>
    <row r="3884" spans="1:2">
      <c r="A3884" s="951"/>
      <c r="B3884" s="951"/>
    </row>
    <row r="3885" spans="1:2">
      <c r="A3885" s="951"/>
      <c r="B3885" s="951"/>
    </row>
    <row r="3886" spans="1:2">
      <c r="A3886" s="951"/>
      <c r="B3886" s="951"/>
    </row>
    <row r="3887" spans="1:2">
      <c r="A3887" s="951"/>
      <c r="B3887" s="951"/>
    </row>
    <row r="3888" spans="1:2">
      <c r="A3888" s="951"/>
      <c r="B3888" s="951"/>
    </row>
    <row r="3889" spans="1:2">
      <c r="A3889" s="951"/>
      <c r="B3889" s="951"/>
    </row>
    <row r="3890" spans="1:2">
      <c r="A3890" s="951"/>
      <c r="B3890" s="951"/>
    </row>
    <row r="3891" spans="1:2">
      <c r="A3891" s="951"/>
      <c r="B3891" s="951"/>
    </row>
    <row r="3892" spans="1:2">
      <c r="A3892" s="951"/>
      <c r="B3892" s="951"/>
    </row>
    <row r="3893" spans="1:2">
      <c r="A3893" s="951"/>
      <c r="B3893" s="951"/>
    </row>
    <row r="3894" spans="1:2">
      <c r="A3894" s="951"/>
      <c r="B3894" s="951"/>
    </row>
    <row r="3895" spans="1:2">
      <c r="A3895" s="951"/>
      <c r="B3895" s="951"/>
    </row>
    <row r="3896" spans="1:2">
      <c r="A3896" s="951"/>
      <c r="B3896" s="951"/>
    </row>
    <row r="3897" spans="1:2">
      <c r="A3897" s="951"/>
      <c r="B3897" s="951"/>
    </row>
    <row r="3898" spans="1:2">
      <c r="A3898" s="951"/>
      <c r="B3898" s="951"/>
    </row>
    <row r="3899" spans="1:2">
      <c r="A3899" s="951"/>
      <c r="B3899" s="951"/>
    </row>
    <row r="3900" spans="1:2">
      <c r="A3900" s="951"/>
      <c r="B3900" s="951"/>
    </row>
    <row r="3901" spans="1:2">
      <c r="A3901" s="951"/>
      <c r="B3901" s="951"/>
    </row>
    <row r="3902" spans="1:2">
      <c r="A3902" s="951"/>
      <c r="B3902" s="951"/>
    </row>
    <row r="3903" spans="1:2">
      <c r="A3903" s="951"/>
      <c r="B3903" s="951"/>
    </row>
    <row r="3904" spans="1:2">
      <c r="A3904" s="951"/>
      <c r="B3904" s="951"/>
    </row>
    <row r="3905" spans="1:2">
      <c r="A3905" s="951"/>
      <c r="B3905" s="951"/>
    </row>
    <row r="3906" spans="1:2">
      <c r="A3906" s="951"/>
      <c r="B3906" s="951"/>
    </row>
    <row r="3907" spans="1:2">
      <c r="A3907" s="951"/>
      <c r="B3907" s="951"/>
    </row>
    <row r="3908" spans="1:2">
      <c r="A3908" s="951"/>
      <c r="B3908" s="951"/>
    </row>
    <row r="3909" spans="1:2">
      <c r="A3909" s="951"/>
      <c r="B3909" s="951"/>
    </row>
    <row r="3910" spans="1:2">
      <c r="A3910" s="951"/>
      <c r="B3910" s="951"/>
    </row>
    <row r="3911" spans="1:2">
      <c r="A3911" s="951"/>
      <c r="B3911" s="951"/>
    </row>
    <row r="3912" spans="1:2">
      <c r="A3912" s="951"/>
      <c r="B3912" s="951"/>
    </row>
    <row r="3913" spans="1:2">
      <c r="A3913" s="951"/>
      <c r="B3913" s="951"/>
    </row>
    <row r="3914" spans="1:2">
      <c r="A3914" s="951"/>
      <c r="B3914" s="951"/>
    </row>
    <row r="3915" spans="1:2">
      <c r="A3915" s="951"/>
      <c r="B3915" s="951"/>
    </row>
    <row r="3916" spans="1:2">
      <c r="A3916" s="951"/>
      <c r="B3916" s="951"/>
    </row>
    <row r="3917" spans="1:2">
      <c r="A3917" s="951"/>
      <c r="B3917" s="951"/>
    </row>
    <row r="3918" spans="1:2">
      <c r="A3918" s="951"/>
      <c r="B3918" s="951"/>
    </row>
    <row r="3919" spans="1:2">
      <c r="A3919" s="951"/>
      <c r="B3919" s="951"/>
    </row>
    <row r="3920" spans="1:2">
      <c r="A3920" s="951"/>
      <c r="B3920" s="951"/>
    </row>
    <row r="3921" spans="1:2">
      <c r="A3921" s="951"/>
      <c r="B3921" s="951"/>
    </row>
    <row r="3922" spans="1:2">
      <c r="A3922" s="951"/>
      <c r="B3922" s="951"/>
    </row>
    <row r="3923" spans="1:2">
      <c r="A3923" s="951"/>
      <c r="B3923" s="951"/>
    </row>
    <row r="3924" spans="1:2">
      <c r="A3924" s="951"/>
      <c r="B3924" s="951"/>
    </row>
    <row r="3925" spans="1:2">
      <c r="A3925" s="951"/>
      <c r="B3925" s="951"/>
    </row>
    <row r="3926" spans="1:2">
      <c r="A3926" s="951"/>
      <c r="B3926" s="951"/>
    </row>
    <row r="3927" spans="1:2">
      <c r="A3927" s="951"/>
      <c r="B3927" s="951"/>
    </row>
    <row r="3928" spans="1:2">
      <c r="A3928" s="951"/>
      <c r="B3928" s="951"/>
    </row>
    <row r="3929" spans="1:2">
      <c r="A3929" s="951"/>
      <c r="B3929" s="951"/>
    </row>
    <row r="3930" spans="1:2">
      <c r="A3930" s="951"/>
      <c r="B3930" s="951"/>
    </row>
    <row r="3931" spans="1:2">
      <c r="A3931" s="951"/>
      <c r="B3931" s="951"/>
    </row>
    <row r="3932" spans="1:2">
      <c r="A3932" s="951"/>
      <c r="B3932" s="951"/>
    </row>
    <row r="3933" spans="1:2">
      <c r="A3933" s="951"/>
      <c r="B3933" s="951"/>
    </row>
    <row r="3934" spans="1:2">
      <c r="A3934" s="951"/>
      <c r="B3934" s="951"/>
    </row>
    <row r="3935" spans="1:2">
      <c r="A3935" s="951"/>
      <c r="B3935" s="951"/>
    </row>
    <row r="3936" spans="1:2">
      <c r="A3936" s="951"/>
      <c r="B3936" s="951"/>
    </row>
    <row r="3937" spans="1:2">
      <c r="A3937" s="951"/>
      <c r="B3937" s="951"/>
    </row>
    <row r="3938" spans="1:2">
      <c r="A3938" s="951"/>
      <c r="B3938" s="951"/>
    </row>
    <row r="3939" spans="1:2">
      <c r="A3939" s="951"/>
      <c r="B3939" s="951"/>
    </row>
    <row r="3940" spans="1:2">
      <c r="A3940" s="951"/>
      <c r="B3940" s="951"/>
    </row>
    <row r="3941" spans="1:2">
      <c r="A3941" s="951"/>
      <c r="B3941" s="951"/>
    </row>
    <row r="3942" spans="1:2">
      <c r="A3942" s="951"/>
      <c r="B3942" s="951"/>
    </row>
    <row r="3943" spans="1:2">
      <c r="A3943" s="951"/>
      <c r="B3943" s="951"/>
    </row>
    <row r="3944" spans="1:2">
      <c r="A3944" s="951"/>
      <c r="B3944" s="951"/>
    </row>
    <row r="3945" spans="1:2">
      <c r="A3945" s="951"/>
      <c r="B3945" s="951"/>
    </row>
    <row r="3946" spans="1:2">
      <c r="A3946" s="951"/>
      <c r="B3946" s="951"/>
    </row>
    <row r="3947" spans="1:2">
      <c r="A3947" s="951"/>
      <c r="B3947" s="951"/>
    </row>
    <row r="3948" spans="1:2">
      <c r="A3948" s="951"/>
      <c r="B3948" s="951"/>
    </row>
    <row r="3949" spans="1:2">
      <c r="A3949" s="951"/>
      <c r="B3949" s="951"/>
    </row>
    <row r="3950" spans="1:2">
      <c r="A3950" s="951"/>
      <c r="B3950" s="951"/>
    </row>
    <row r="3951" spans="1:2">
      <c r="A3951" s="951"/>
      <c r="B3951" s="951"/>
    </row>
    <row r="3952" spans="1:2">
      <c r="A3952" s="951"/>
      <c r="B3952" s="951"/>
    </row>
    <row r="3953" spans="1:2">
      <c r="A3953" s="951"/>
      <c r="B3953" s="951"/>
    </row>
    <row r="3954" spans="1:2">
      <c r="A3954" s="951"/>
      <c r="B3954" s="951"/>
    </row>
    <row r="3955" spans="1:2">
      <c r="A3955" s="951"/>
      <c r="B3955" s="951"/>
    </row>
    <row r="3956" spans="1:2">
      <c r="A3956" s="951"/>
      <c r="B3956" s="951"/>
    </row>
    <row r="3957" spans="1:2">
      <c r="A3957" s="951"/>
      <c r="B3957" s="951"/>
    </row>
    <row r="3958" spans="1:2">
      <c r="A3958" s="951"/>
      <c r="B3958" s="951"/>
    </row>
    <row r="3959" spans="1:2">
      <c r="A3959" s="951"/>
      <c r="B3959" s="951"/>
    </row>
    <row r="3960" spans="1:2">
      <c r="A3960" s="951"/>
      <c r="B3960" s="951"/>
    </row>
    <row r="3961" spans="1:2">
      <c r="A3961" s="951"/>
      <c r="B3961" s="951"/>
    </row>
    <row r="3962" spans="1:2">
      <c r="A3962" s="951"/>
      <c r="B3962" s="951"/>
    </row>
    <row r="3963" spans="1:2">
      <c r="A3963" s="951"/>
      <c r="B3963" s="951"/>
    </row>
    <row r="3964" spans="1:2">
      <c r="A3964" s="951"/>
      <c r="B3964" s="951"/>
    </row>
    <row r="3965" spans="1:2">
      <c r="A3965" s="951"/>
      <c r="B3965" s="951"/>
    </row>
    <row r="3966" spans="1:2">
      <c r="A3966" s="951"/>
      <c r="B3966" s="951"/>
    </row>
    <row r="3967" spans="1:2">
      <c r="A3967" s="951"/>
      <c r="B3967" s="951"/>
    </row>
    <row r="3968" spans="1:2">
      <c r="A3968" s="951"/>
      <c r="B3968" s="951"/>
    </row>
    <row r="3969" spans="1:2">
      <c r="A3969" s="951"/>
      <c r="B3969" s="951"/>
    </row>
    <row r="3970" spans="1:2">
      <c r="A3970" s="951"/>
      <c r="B3970" s="951"/>
    </row>
    <row r="3971" spans="1:2">
      <c r="A3971" s="951"/>
      <c r="B3971" s="951"/>
    </row>
    <row r="3972" spans="1:2">
      <c r="A3972" s="951"/>
      <c r="B3972" s="951"/>
    </row>
    <row r="3973" spans="1:2">
      <c r="A3973" s="951"/>
      <c r="B3973" s="951"/>
    </row>
    <row r="3974" spans="1:2">
      <c r="A3974" s="951"/>
      <c r="B3974" s="951"/>
    </row>
    <row r="3975" spans="1:2">
      <c r="A3975" s="951"/>
      <c r="B3975" s="951"/>
    </row>
    <row r="3976" spans="1:2">
      <c r="A3976" s="951"/>
      <c r="B3976" s="951"/>
    </row>
    <row r="3977" spans="1:2">
      <c r="A3977" s="951"/>
      <c r="B3977" s="951"/>
    </row>
    <row r="3978" spans="1:2">
      <c r="A3978" s="951"/>
      <c r="B3978" s="951"/>
    </row>
    <row r="3979" spans="1:2">
      <c r="A3979" s="951"/>
      <c r="B3979" s="951"/>
    </row>
    <row r="3980" spans="1:2">
      <c r="A3980" s="951"/>
      <c r="B3980" s="951"/>
    </row>
    <row r="3981" spans="1:2">
      <c r="A3981" s="951"/>
      <c r="B3981" s="951"/>
    </row>
    <row r="3982" spans="1:2">
      <c r="A3982" s="951"/>
      <c r="B3982" s="951"/>
    </row>
    <row r="3983" spans="1:2">
      <c r="A3983" s="951"/>
      <c r="B3983" s="951"/>
    </row>
    <row r="3984" spans="1:2">
      <c r="A3984" s="951"/>
      <c r="B3984" s="951"/>
    </row>
    <row r="3985" spans="1:2">
      <c r="A3985" s="951"/>
      <c r="B3985" s="951"/>
    </row>
    <row r="3986" spans="1:2">
      <c r="A3986" s="951"/>
      <c r="B3986" s="951"/>
    </row>
    <row r="3987" spans="1:2">
      <c r="A3987" s="951"/>
      <c r="B3987" s="951"/>
    </row>
    <row r="3988" spans="1:2">
      <c r="A3988" s="951"/>
      <c r="B3988" s="951"/>
    </row>
    <row r="3989" spans="1:2">
      <c r="A3989" s="951"/>
      <c r="B3989" s="951"/>
    </row>
    <row r="3990" spans="1:2">
      <c r="A3990" s="951"/>
      <c r="B3990" s="951"/>
    </row>
    <row r="3991" spans="1:2">
      <c r="A3991" s="951"/>
      <c r="B3991" s="951"/>
    </row>
    <row r="3992" spans="1:2">
      <c r="A3992" s="951"/>
      <c r="B3992" s="951"/>
    </row>
    <row r="3993" spans="1:2">
      <c r="A3993" s="951"/>
      <c r="B3993" s="951"/>
    </row>
    <row r="3994" spans="1:2">
      <c r="A3994" s="951"/>
      <c r="B3994" s="951"/>
    </row>
    <row r="3995" spans="1:2">
      <c r="A3995" s="951"/>
      <c r="B3995" s="951"/>
    </row>
    <row r="3996" spans="1:2">
      <c r="A3996" s="951"/>
      <c r="B3996" s="951"/>
    </row>
    <row r="3997" spans="1:2">
      <c r="A3997" s="951"/>
      <c r="B3997" s="951"/>
    </row>
    <row r="3998" spans="1:2">
      <c r="A3998" s="951"/>
      <c r="B3998" s="951"/>
    </row>
    <row r="3999" spans="1:2">
      <c r="A3999" s="951"/>
      <c r="B3999" s="951"/>
    </row>
    <row r="4000" spans="1:2">
      <c r="A4000" s="951"/>
      <c r="B4000" s="951"/>
    </row>
    <row r="4001" spans="1:2">
      <c r="A4001" s="951"/>
      <c r="B4001" s="951"/>
    </row>
    <row r="4002" spans="1:2">
      <c r="A4002" s="951"/>
      <c r="B4002" s="951"/>
    </row>
    <row r="4003" spans="1:2">
      <c r="A4003" s="951"/>
      <c r="B4003" s="951"/>
    </row>
    <row r="4004" spans="1:2">
      <c r="A4004" s="951"/>
      <c r="B4004" s="951"/>
    </row>
    <row r="4005" spans="1:2">
      <c r="A4005" s="951"/>
      <c r="B4005" s="951"/>
    </row>
    <row r="4006" spans="1:2">
      <c r="A4006" s="951"/>
      <c r="B4006" s="951"/>
    </row>
    <row r="4007" spans="1:2">
      <c r="A4007" s="951"/>
      <c r="B4007" s="951"/>
    </row>
    <row r="4008" spans="1:2">
      <c r="A4008" s="951"/>
      <c r="B4008" s="951"/>
    </row>
    <row r="4009" spans="1:2">
      <c r="A4009" s="951"/>
      <c r="B4009" s="951"/>
    </row>
    <row r="4010" spans="1:2">
      <c r="A4010" s="951"/>
      <c r="B4010" s="951"/>
    </row>
    <row r="4011" spans="1:2">
      <c r="A4011" s="951"/>
      <c r="B4011" s="951"/>
    </row>
    <row r="4012" spans="1:2">
      <c r="A4012" s="951"/>
      <c r="B4012" s="951"/>
    </row>
    <row r="4013" spans="1:2">
      <c r="A4013" s="951"/>
      <c r="B4013" s="951"/>
    </row>
    <row r="4014" spans="1:2">
      <c r="A4014" s="951"/>
      <c r="B4014" s="951"/>
    </row>
    <row r="4015" spans="1:2">
      <c r="A4015" s="951"/>
      <c r="B4015" s="951"/>
    </row>
    <row r="4016" spans="1:2">
      <c r="A4016" s="951"/>
      <c r="B4016" s="951"/>
    </row>
    <row r="4017" spans="1:2">
      <c r="A4017" s="951"/>
      <c r="B4017" s="951"/>
    </row>
    <row r="4018" spans="1:2">
      <c r="A4018" s="951"/>
      <c r="B4018" s="951"/>
    </row>
    <row r="4019" spans="1:2">
      <c r="A4019" s="951"/>
      <c r="B4019" s="951"/>
    </row>
    <row r="4020" spans="1:2">
      <c r="A4020" s="951"/>
      <c r="B4020" s="951"/>
    </row>
    <row r="4021" spans="1:2">
      <c r="A4021" s="951"/>
      <c r="B4021" s="951"/>
    </row>
    <row r="4022" spans="1:2">
      <c r="A4022" s="951"/>
      <c r="B4022" s="951"/>
    </row>
    <row r="4023" spans="1:2">
      <c r="A4023" s="951"/>
      <c r="B4023" s="951"/>
    </row>
    <row r="4024" spans="1:2">
      <c r="A4024" s="951"/>
      <c r="B4024" s="951"/>
    </row>
    <row r="4025" spans="1:2">
      <c r="A4025" s="951"/>
      <c r="B4025" s="951"/>
    </row>
    <row r="4026" spans="1:2">
      <c r="A4026" s="951"/>
      <c r="B4026" s="951"/>
    </row>
    <row r="4027" spans="1:2">
      <c r="A4027" s="951"/>
      <c r="B4027" s="951"/>
    </row>
    <row r="4028" spans="1:2">
      <c r="A4028" s="951"/>
      <c r="B4028" s="951"/>
    </row>
    <row r="4029" spans="1:2">
      <c r="A4029" s="951"/>
      <c r="B4029" s="951"/>
    </row>
    <row r="4030" spans="1:2">
      <c r="A4030" s="951"/>
      <c r="B4030" s="951"/>
    </row>
    <row r="4031" spans="1:2">
      <c r="A4031" s="951"/>
      <c r="B4031" s="951"/>
    </row>
    <row r="4032" spans="1:2">
      <c r="A4032" s="951"/>
      <c r="B4032" s="951"/>
    </row>
    <row r="4033" spans="1:2">
      <c r="A4033" s="951"/>
      <c r="B4033" s="951"/>
    </row>
    <row r="4034" spans="1:2">
      <c r="A4034" s="951"/>
      <c r="B4034" s="951"/>
    </row>
    <row r="4035" spans="1:2">
      <c r="A4035" s="951"/>
      <c r="B4035" s="951"/>
    </row>
    <row r="4036" spans="1:2">
      <c r="A4036" s="951"/>
      <c r="B4036" s="951"/>
    </row>
    <row r="4037" spans="1:2">
      <c r="A4037" s="951"/>
      <c r="B4037" s="951"/>
    </row>
    <row r="4038" spans="1:2">
      <c r="A4038" s="951"/>
      <c r="B4038" s="951"/>
    </row>
    <row r="4039" spans="1:2">
      <c r="A4039" s="951"/>
      <c r="B4039" s="951"/>
    </row>
    <row r="4040" spans="1:2">
      <c r="A4040" s="951"/>
      <c r="B4040" s="951"/>
    </row>
    <row r="4041" spans="1:2">
      <c r="A4041" s="951"/>
      <c r="B4041" s="951"/>
    </row>
    <row r="4042" spans="1:2">
      <c r="A4042" s="951"/>
      <c r="B4042" s="951"/>
    </row>
    <row r="4043" spans="1:2">
      <c r="A4043" s="951"/>
      <c r="B4043" s="951"/>
    </row>
    <row r="4044" spans="1:2">
      <c r="A4044" s="951"/>
      <c r="B4044" s="951"/>
    </row>
    <row r="4045" spans="1:2">
      <c r="A4045" s="951"/>
      <c r="B4045" s="951"/>
    </row>
    <row r="4046" spans="1:2">
      <c r="A4046" s="951"/>
      <c r="B4046" s="951"/>
    </row>
    <row r="4047" spans="1:2">
      <c r="A4047" s="951"/>
      <c r="B4047" s="951"/>
    </row>
    <row r="4048" spans="1:2">
      <c r="A4048" s="951"/>
      <c r="B4048" s="951"/>
    </row>
    <row r="4049" spans="1:2">
      <c r="A4049" s="951"/>
      <c r="B4049" s="951"/>
    </row>
    <row r="4050" spans="1:2">
      <c r="A4050" s="951"/>
      <c r="B4050" s="951"/>
    </row>
    <row r="4051" spans="1:2">
      <c r="A4051" s="951"/>
      <c r="B4051" s="951"/>
    </row>
    <row r="4052" spans="1:2">
      <c r="A4052" s="951"/>
      <c r="B4052" s="951"/>
    </row>
    <row r="4053" spans="1:2">
      <c r="A4053" s="951"/>
      <c r="B4053" s="951"/>
    </row>
    <row r="4054" spans="1:2">
      <c r="A4054" s="951"/>
      <c r="B4054" s="951"/>
    </row>
    <row r="4055" spans="1:2">
      <c r="A4055" s="951"/>
      <c r="B4055" s="951"/>
    </row>
    <row r="4056" spans="1:2">
      <c r="A4056" s="951"/>
      <c r="B4056" s="951"/>
    </row>
    <row r="4057" spans="1:2">
      <c r="A4057" s="951"/>
      <c r="B4057" s="951"/>
    </row>
    <row r="4058" spans="1:2">
      <c r="A4058" s="951"/>
      <c r="B4058" s="951"/>
    </row>
    <row r="4059" spans="1:2">
      <c r="A4059" s="951"/>
      <c r="B4059" s="951"/>
    </row>
    <row r="4060" spans="1:2">
      <c r="A4060" s="951"/>
      <c r="B4060" s="951"/>
    </row>
    <row r="4061" spans="1:2">
      <c r="A4061" s="951"/>
      <c r="B4061" s="951"/>
    </row>
    <row r="4062" spans="1:2">
      <c r="A4062" s="951"/>
      <c r="B4062" s="951"/>
    </row>
    <row r="4063" spans="1:2">
      <c r="A4063" s="951"/>
      <c r="B4063" s="951"/>
    </row>
    <row r="4064" spans="1:2">
      <c r="A4064" s="951"/>
      <c r="B4064" s="951"/>
    </row>
    <row r="4065" spans="1:2">
      <c r="A4065" s="951"/>
      <c r="B4065" s="951"/>
    </row>
    <row r="4066" spans="1:2">
      <c r="A4066" s="951"/>
      <c r="B4066" s="951"/>
    </row>
    <row r="4067" spans="1:2">
      <c r="A4067" s="951"/>
      <c r="B4067" s="951"/>
    </row>
    <row r="4068" spans="1:2">
      <c r="A4068" s="951"/>
      <c r="B4068" s="951"/>
    </row>
    <row r="4069" spans="1:2">
      <c r="A4069" s="951"/>
      <c r="B4069" s="951"/>
    </row>
    <row r="4070" spans="1:2">
      <c r="A4070" s="951"/>
      <c r="B4070" s="951"/>
    </row>
    <row r="4071" spans="1:2">
      <c r="A4071" s="951"/>
      <c r="B4071" s="951"/>
    </row>
    <row r="4072" spans="1:2">
      <c r="A4072" s="951"/>
      <c r="B4072" s="951"/>
    </row>
    <row r="4073" spans="1:2">
      <c r="A4073" s="951"/>
      <c r="B4073" s="951"/>
    </row>
    <row r="4074" spans="1:2">
      <c r="A4074" s="951"/>
      <c r="B4074" s="951"/>
    </row>
    <row r="4075" spans="1:2">
      <c r="A4075" s="951"/>
      <c r="B4075" s="951"/>
    </row>
    <row r="4076" spans="1:2">
      <c r="A4076" s="951"/>
      <c r="B4076" s="951"/>
    </row>
    <row r="4077" spans="1:2">
      <c r="A4077" s="951"/>
      <c r="B4077" s="951"/>
    </row>
    <row r="4078" spans="1:2">
      <c r="A4078" s="951"/>
      <c r="B4078" s="951"/>
    </row>
    <row r="4079" spans="1:2">
      <c r="A4079" s="951"/>
      <c r="B4079" s="951"/>
    </row>
    <row r="4080" spans="1:2">
      <c r="A4080" s="951"/>
      <c r="B4080" s="951"/>
    </row>
    <row r="4081" spans="1:2">
      <c r="A4081" s="951"/>
      <c r="B4081" s="951"/>
    </row>
    <row r="4082" spans="1:2">
      <c r="A4082" s="951"/>
      <c r="B4082" s="951"/>
    </row>
    <row r="4083" spans="1:2">
      <c r="A4083" s="951"/>
      <c r="B4083" s="951"/>
    </row>
    <row r="4084" spans="1:2">
      <c r="A4084" s="951"/>
      <c r="B4084" s="951"/>
    </row>
    <row r="4085" spans="1:2">
      <c r="A4085" s="951"/>
      <c r="B4085" s="951"/>
    </row>
    <row r="4086" spans="1:2">
      <c r="A4086" s="951"/>
      <c r="B4086" s="951"/>
    </row>
    <row r="4087" spans="1:2">
      <c r="A4087" s="951"/>
      <c r="B4087" s="951"/>
    </row>
    <row r="4088" spans="1:2">
      <c r="A4088" s="951"/>
      <c r="B4088" s="951"/>
    </row>
    <row r="4089" spans="1:2">
      <c r="A4089" s="951"/>
      <c r="B4089" s="951"/>
    </row>
    <row r="4090" spans="1:2">
      <c r="A4090" s="951"/>
      <c r="B4090" s="951"/>
    </row>
    <row r="4091" spans="1:2">
      <c r="A4091" s="951"/>
      <c r="B4091" s="951"/>
    </row>
    <row r="4092" spans="1:2">
      <c r="A4092" s="951"/>
      <c r="B4092" s="951"/>
    </row>
    <row r="4093" spans="1:2">
      <c r="A4093" s="951"/>
      <c r="B4093" s="951"/>
    </row>
    <row r="4094" spans="1:2">
      <c r="A4094" s="951"/>
      <c r="B4094" s="951"/>
    </row>
    <row r="4095" spans="1:2">
      <c r="A4095" s="951"/>
      <c r="B4095" s="951"/>
    </row>
    <row r="4096" spans="1:2">
      <c r="A4096" s="951"/>
      <c r="B4096" s="951"/>
    </row>
    <row r="4097" spans="1:2">
      <c r="A4097" s="951"/>
      <c r="B4097" s="951"/>
    </row>
    <row r="4098" spans="1:2">
      <c r="A4098" s="951"/>
      <c r="B4098" s="951"/>
    </row>
    <row r="4099" spans="1:2">
      <c r="A4099" s="951"/>
      <c r="B4099" s="951"/>
    </row>
    <row r="4100" spans="1:2">
      <c r="A4100" s="951"/>
      <c r="B4100" s="951"/>
    </row>
    <row r="4101" spans="1:2">
      <c r="A4101" s="951"/>
      <c r="B4101" s="951"/>
    </row>
    <row r="4102" spans="1:2">
      <c r="A4102" s="951"/>
      <c r="B4102" s="951"/>
    </row>
    <row r="4103" spans="1:2">
      <c r="A4103" s="951"/>
      <c r="B4103" s="951"/>
    </row>
    <row r="4104" spans="1:2">
      <c r="A4104" s="951"/>
      <c r="B4104" s="951"/>
    </row>
    <row r="4105" spans="1:2">
      <c r="A4105" s="951"/>
      <c r="B4105" s="951"/>
    </row>
    <row r="4106" spans="1:2">
      <c r="A4106" s="951"/>
      <c r="B4106" s="951"/>
    </row>
    <row r="4107" spans="1:2">
      <c r="A4107" s="951"/>
      <c r="B4107" s="951"/>
    </row>
    <row r="4108" spans="1:2">
      <c r="A4108" s="951"/>
      <c r="B4108" s="951"/>
    </row>
    <row r="4109" spans="1:2">
      <c r="A4109" s="951"/>
      <c r="B4109" s="951"/>
    </row>
    <row r="4110" spans="1:2">
      <c r="A4110" s="951"/>
      <c r="B4110" s="951"/>
    </row>
    <row r="4111" spans="1:2">
      <c r="A4111" s="951"/>
      <c r="B4111" s="951"/>
    </row>
    <row r="4112" spans="1:2">
      <c r="A4112" s="951"/>
      <c r="B4112" s="951"/>
    </row>
    <row r="4113" spans="1:2">
      <c r="A4113" s="951"/>
      <c r="B4113" s="951"/>
    </row>
    <row r="4114" spans="1:2">
      <c r="A4114" s="951"/>
      <c r="B4114" s="951"/>
    </row>
    <row r="4115" spans="1:2">
      <c r="A4115" s="951"/>
      <c r="B4115" s="951"/>
    </row>
    <row r="4116" spans="1:2">
      <c r="A4116" s="951"/>
      <c r="B4116" s="951"/>
    </row>
    <row r="4117" spans="1:2">
      <c r="A4117" s="951"/>
      <c r="B4117" s="951"/>
    </row>
    <row r="4118" spans="1:2">
      <c r="A4118" s="951"/>
      <c r="B4118" s="951"/>
    </row>
    <row r="4119" spans="1:2">
      <c r="A4119" s="951"/>
      <c r="B4119" s="951"/>
    </row>
    <row r="4120" spans="1:2">
      <c r="A4120" s="951"/>
      <c r="B4120" s="951"/>
    </row>
    <row r="4121" spans="1:2">
      <c r="A4121" s="951"/>
      <c r="B4121" s="951"/>
    </row>
    <row r="4122" spans="1:2">
      <c r="A4122" s="951"/>
      <c r="B4122" s="951"/>
    </row>
    <row r="4123" spans="1:2">
      <c r="A4123" s="951"/>
      <c r="B4123" s="951"/>
    </row>
    <row r="4124" spans="1:2">
      <c r="A4124" s="951"/>
      <c r="B4124" s="951"/>
    </row>
    <row r="4125" spans="1:2">
      <c r="A4125" s="951"/>
      <c r="B4125" s="951"/>
    </row>
    <row r="4126" spans="1:2">
      <c r="A4126" s="951"/>
      <c r="B4126" s="951"/>
    </row>
    <row r="4127" spans="1:2">
      <c r="A4127" s="951"/>
      <c r="B4127" s="951"/>
    </row>
    <row r="4128" spans="1:2">
      <c r="A4128" s="951"/>
      <c r="B4128" s="951"/>
    </row>
    <row r="4129" spans="1:2">
      <c r="A4129" s="951"/>
      <c r="B4129" s="951"/>
    </row>
    <row r="4130" spans="1:2">
      <c r="A4130" s="951"/>
      <c r="B4130" s="951"/>
    </row>
    <row r="4131" spans="1:2">
      <c r="A4131" s="951"/>
      <c r="B4131" s="951"/>
    </row>
    <row r="4132" spans="1:2">
      <c r="A4132" s="951"/>
      <c r="B4132" s="951"/>
    </row>
    <row r="4133" spans="1:2">
      <c r="A4133" s="951"/>
      <c r="B4133" s="951"/>
    </row>
    <row r="4134" spans="1:2">
      <c r="A4134" s="951"/>
      <c r="B4134" s="951"/>
    </row>
    <row r="4135" spans="1:2">
      <c r="A4135" s="951"/>
      <c r="B4135" s="951"/>
    </row>
    <row r="4136" spans="1:2">
      <c r="A4136" s="951"/>
      <c r="B4136" s="951"/>
    </row>
    <row r="4137" spans="1:2">
      <c r="A4137" s="951"/>
      <c r="B4137" s="951"/>
    </row>
    <row r="4138" spans="1:2">
      <c r="A4138" s="951"/>
      <c r="B4138" s="951"/>
    </row>
    <row r="4139" spans="1:2">
      <c r="A4139" s="951"/>
      <c r="B4139" s="951"/>
    </row>
    <row r="4140" spans="1:2">
      <c r="A4140" s="951"/>
      <c r="B4140" s="951"/>
    </row>
    <row r="4141" spans="1:2">
      <c r="A4141" s="951"/>
      <c r="B4141" s="951"/>
    </row>
    <row r="4142" spans="1:2">
      <c r="A4142" s="951"/>
      <c r="B4142" s="951"/>
    </row>
    <row r="4143" spans="1:2">
      <c r="A4143" s="951"/>
      <c r="B4143" s="951"/>
    </row>
    <row r="4144" spans="1:2">
      <c r="A4144" s="951"/>
      <c r="B4144" s="951"/>
    </row>
    <row r="4145" spans="1:2">
      <c r="A4145" s="951"/>
      <c r="B4145" s="951"/>
    </row>
    <row r="4146" spans="1:2">
      <c r="A4146" s="951"/>
      <c r="B4146" s="951"/>
    </row>
    <row r="4147" spans="1:2">
      <c r="A4147" s="951"/>
      <c r="B4147" s="951"/>
    </row>
    <row r="4148" spans="1:2">
      <c r="A4148" s="951"/>
      <c r="B4148" s="951"/>
    </row>
    <row r="4149" spans="1:2">
      <c r="A4149" s="951"/>
      <c r="B4149" s="951"/>
    </row>
    <row r="4150" spans="1:2">
      <c r="A4150" s="951"/>
      <c r="B4150" s="951"/>
    </row>
    <row r="4151" spans="1:2">
      <c r="A4151" s="951"/>
      <c r="B4151" s="951"/>
    </row>
    <row r="4152" spans="1:2">
      <c r="A4152" s="951"/>
      <c r="B4152" s="951"/>
    </row>
    <row r="4153" spans="1:2">
      <c r="A4153" s="951"/>
      <c r="B4153" s="951"/>
    </row>
    <row r="4154" spans="1:2">
      <c r="A4154" s="951"/>
      <c r="B4154" s="951"/>
    </row>
    <row r="4155" spans="1:2">
      <c r="A4155" s="951"/>
      <c r="B4155" s="951"/>
    </row>
    <row r="4156" spans="1:2">
      <c r="A4156" s="951"/>
      <c r="B4156" s="951"/>
    </row>
    <row r="4157" spans="1:2">
      <c r="A4157" s="951"/>
      <c r="B4157" s="951"/>
    </row>
    <row r="4158" spans="1:2">
      <c r="A4158" s="951"/>
      <c r="B4158" s="951"/>
    </row>
    <row r="4159" spans="1:2">
      <c r="A4159" s="951"/>
      <c r="B4159" s="951"/>
    </row>
    <row r="4160" spans="1:2">
      <c r="A4160" s="951"/>
      <c r="B4160" s="951"/>
    </row>
    <row r="4161" spans="1:2">
      <c r="A4161" s="951"/>
      <c r="B4161" s="951"/>
    </row>
    <row r="4162" spans="1:2">
      <c r="A4162" s="951"/>
      <c r="B4162" s="951"/>
    </row>
    <row r="4163" spans="1:2">
      <c r="A4163" s="951"/>
      <c r="B4163" s="951"/>
    </row>
    <row r="4164" spans="1:2">
      <c r="A4164" s="951"/>
      <c r="B4164" s="951"/>
    </row>
    <row r="4165" spans="1:2">
      <c r="A4165" s="951"/>
      <c r="B4165" s="951"/>
    </row>
    <row r="4166" spans="1:2">
      <c r="A4166" s="951"/>
      <c r="B4166" s="951"/>
    </row>
    <row r="4167" spans="1:2">
      <c r="A4167" s="951"/>
      <c r="B4167" s="951"/>
    </row>
    <row r="4168" spans="1:2">
      <c r="A4168" s="951"/>
      <c r="B4168" s="951"/>
    </row>
    <row r="4169" spans="1:2">
      <c r="A4169" s="951"/>
      <c r="B4169" s="951"/>
    </row>
    <row r="4170" spans="1:2">
      <c r="A4170" s="951"/>
      <c r="B4170" s="951"/>
    </row>
    <row r="4171" spans="1:2">
      <c r="A4171" s="951"/>
      <c r="B4171" s="951"/>
    </row>
    <row r="4172" spans="1:2">
      <c r="A4172" s="951"/>
      <c r="B4172" s="951"/>
    </row>
    <row r="4173" spans="1:2">
      <c r="A4173" s="951"/>
      <c r="B4173" s="951"/>
    </row>
    <row r="4174" spans="1:2">
      <c r="A4174" s="951"/>
      <c r="B4174" s="951"/>
    </row>
    <row r="4175" spans="1:2">
      <c r="A4175" s="951"/>
      <c r="B4175" s="951"/>
    </row>
    <row r="4176" spans="1:2">
      <c r="A4176" s="951"/>
      <c r="B4176" s="951"/>
    </row>
    <row r="4177" spans="1:2">
      <c r="A4177" s="951"/>
      <c r="B4177" s="951"/>
    </row>
    <row r="4178" spans="1:2">
      <c r="A4178" s="951"/>
      <c r="B4178" s="951"/>
    </row>
    <row r="4179" spans="1:2">
      <c r="A4179" s="951"/>
      <c r="B4179" s="951"/>
    </row>
    <row r="4180" spans="1:2">
      <c r="A4180" s="951"/>
      <c r="B4180" s="951"/>
    </row>
    <row r="4181" spans="1:2">
      <c r="A4181" s="951"/>
      <c r="B4181" s="951"/>
    </row>
    <row r="4182" spans="1:2">
      <c r="A4182" s="951"/>
      <c r="B4182" s="951"/>
    </row>
    <row r="4183" spans="1:2">
      <c r="A4183" s="951"/>
      <c r="B4183" s="951"/>
    </row>
    <row r="4184" spans="1:2">
      <c r="A4184" s="951"/>
      <c r="B4184" s="951"/>
    </row>
    <row r="4185" spans="1:2">
      <c r="A4185" s="951"/>
      <c r="B4185" s="951"/>
    </row>
    <row r="4186" spans="1:2">
      <c r="A4186" s="951"/>
      <c r="B4186" s="951"/>
    </row>
    <row r="4187" spans="1:2">
      <c r="A4187" s="951"/>
      <c r="B4187" s="951"/>
    </row>
    <row r="4188" spans="1:2">
      <c r="A4188" s="951"/>
      <c r="B4188" s="951"/>
    </row>
    <row r="4189" spans="1:2">
      <c r="A4189" s="951"/>
      <c r="B4189" s="951"/>
    </row>
    <row r="4190" spans="1:2">
      <c r="A4190" s="951"/>
      <c r="B4190" s="951"/>
    </row>
    <row r="4191" spans="1:2">
      <c r="A4191" s="951"/>
      <c r="B4191" s="951"/>
    </row>
    <row r="4192" spans="1:2">
      <c r="A4192" s="951"/>
      <c r="B4192" s="951"/>
    </row>
    <row r="4193" spans="1:2">
      <c r="A4193" s="951"/>
      <c r="B4193" s="951"/>
    </row>
    <row r="4194" spans="1:2">
      <c r="A4194" s="951"/>
      <c r="B4194" s="951"/>
    </row>
    <row r="4195" spans="1:2">
      <c r="A4195" s="951"/>
      <c r="B4195" s="951"/>
    </row>
    <row r="4196" spans="1:2">
      <c r="A4196" s="951"/>
      <c r="B4196" s="951"/>
    </row>
    <row r="4197" spans="1:2">
      <c r="A4197" s="951"/>
      <c r="B4197" s="951"/>
    </row>
    <row r="4198" spans="1:2">
      <c r="A4198" s="951"/>
      <c r="B4198" s="951"/>
    </row>
    <row r="4199" spans="1:2">
      <c r="A4199" s="951"/>
      <c r="B4199" s="951"/>
    </row>
    <row r="4200" spans="1:2">
      <c r="A4200" s="951"/>
      <c r="B4200" s="951"/>
    </row>
    <row r="4201" spans="1:2">
      <c r="A4201" s="951"/>
      <c r="B4201" s="951"/>
    </row>
    <row r="4202" spans="1:2">
      <c r="A4202" s="951"/>
      <c r="B4202" s="951"/>
    </row>
    <row r="4203" spans="1:2">
      <c r="A4203" s="951"/>
      <c r="B4203" s="951"/>
    </row>
    <row r="4204" spans="1:2">
      <c r="A4204" s="951"/>
      <c r="B4204" s="951"/>
    </row>
    <row r="4205" spans="1:2">
      <c r="A4205" s="951"/>
      <c r="B4205" s="951"/>
    </row>
    <row r="4206" spans="1:2">
      <c r="A4206" s="951"/>
      <c r="B4206" s="951"/>
    </row>
    <row r="4207" spans="1:2">
      <c r="A4207" s="951"/>
      <c r="B4207" s="951"/>
    </row>
    <row r="4208" spans="1:2">
      <c r="A4208" s="951"/>
      <c r="B4208" s="951"/>
    </row>
    <row r="4209" spans="1:2">
      <c r="A4209" s="951"/>
      <c r="B4209" s="951"/>
    </row>
    <row r="4210" spans="1:2">
      <c r="A4210" s="951"/>
      <c r="B4210" s="951"/>
    </row>
    <row r="4211" spans="1:2">
      <c r="A4211" s="951"/>
      <c r="B4211" s="951"/>
    </row>
    <row r="4212" spans="1:2">
      <c r="A4212" s="951"/>
      <c r="B4212" s="951"/>
    </row>
    <row r="4213" spans="1:2">
      <c r="A4213" s="951"/>
      <c r="B4213" s="951"/>
    </row>
    <row r="4214" spans="1:2">
      <c r="A4214" s="951"/>
      <c r="B4214" s="951"/>
    </row>
    <row r="4215" spans="1:2">
      <c r="A4215" s="951"/>
      <c r="B4215" s="951"/>
    </row>
    <row r="4216" spans="1:2">
      <c r="A4216" s="951"/>
      <c r="B4216" s="951"/>
    </row>
    <row r="4217" spans="1:2">
      <c r="A4217" s="951"/>
      <c r="B4217" s="951"/>
    </row>
    <row r="4218" spans="1:2">
      <c r="A4218" s="951"/>
      <c r="B4218" s="951"/>
    </row>
    <row r="4219" spans="1:2">
      <c r="A4219" s="951"/>
      <c r="B4219" s="951"/>
    </row>
    <row r="4220" spans="1:2">
      <c r="A4220" s="951"/>
      <c r="B4220" s="951"/>
    </row>
    <row r="4221" spans="1:2">
      <c r="A4221" s="951"/>
      <c r="B4221" s="951"/>
    </row>
    <row r="4222" spans="1:2">
      <c r="A4222" s="951"/>
      <c r="B4222" s="951"/>
    </row>
    <row r="4223" spans="1:2">
      <c r="A4223" s="951"/>
      <c r="B4223" s="951"/>
    </row>
    <row r="4224" spans="1:2">
      <c r="A4224" s="951"/>
      <c r="B4224" s="951"/>
    </row>
    <row r="4225" spans="1:2">
      <c r="A4225" s="951"/>
      <c r="B4225" s="951"/>
    </row>
    <row r="4226" spans="1:2">
      <c r="A4226" s="951"/>
      <c r="B4226" s="951"/>
    </row>
    <row r="4227" spans="1:2">
      <c r="A4227" s="951"/>
      <c r="B4227" s="951"/>
    </row>
    <row r="4228" spans="1:2">
      <c r="A4228" s="951"/>
      <c r="B4228" s="951"/>
    </row>
    <row r="4229" spans="1:2">
      <c r="A4229" s="951"/>
      <c r="B4229" s="951"/>
    </row>
    <row r="4230" spans="1:2">
      <c r="A4230" s="951"/>
      <c r="B4230" s="951"/>
    </row>
    <row r="4231" spans="1:2">
      <c r="A4231" s="951"/>
      <c r="B4231" s="951"/>
    </row>
    <row r="4232" spans="1:2">
      <c r="A4232" s="951"/>
      <c r="B4232" s="951"/>
    </row>
    <row r="4233" spans="1:2">
      <c r="A4233" s="951"/>
      <c r="B4233" s="951"/>
    </row>
    <row r="4234" spans="1:2">
      <c r="A4234" s="951"/>
      <c r="B4234" s="951"/>
    </row>
    <row r="4235" spans="1:2">
      <c r="A4235" s="951"/>
      <c r="B4235" s="951"/>
    </row>
    <row r="4236" spans="1:2">
      <c r="A4236" s="951"/>
      <c r="B4236" s="951"/>
    </row>
    <row r="4237" spans="1:2">
      <c r="A4237" s="951"/>
      <c r="B4237" s="951"/>
    </row>
    <row r="4238" spans="1:2">
      <c r="A4238" s="951"/>
      <c r="B4238" s="951"/>
    </row>
    <row r="4239" spans="1:2">
      <c r="A4239" s="951"/>
      <c r="B4239" s="951"/>
    </row>
    <row r="4240" spans="1:2">
      <c r="A4240" s="951"/>
      <c r="B4240" s="951"/>
    </row>
    <row r="4241" spans="1:2">
      <c r="A4241" s="951"/>
      <c r="B4241" s="951"/>
    </row>
    <row r="4242" spans="1:2">
      <c r="A4242" s="951"/>
      <c r="B4242" s="951"/>
    </row>
    <row r="4243" spans="1:2">
      <c r="A4243" s="951"/>
      <c r="B4243" s="951"/>
    </row>
    <row r="4244" spans="1:2">
      <c r="A4244" s="951"/>
      <c r="B4244" s="951"/>
    </row>
    <row r="4245" spans="1:2">
      <c r="A4245" s="951"/>
      <c r="B4245" s="951"/>
    </row>
    <row r="4246" spans="1:2">
      <c r="A4246" s="951"/>
      <c r="B4246" s="951"/>
    </row>
    <row r="4247" spans="1:2">
      <c r="A4247" s="951"/>
      <c r="B4247" s="951"/>
    </row>
    <row r="4248" spans="1:2">
      <c r="A4248" s="951"/>
      <c r="B4248" s="951"/>
    </row>
    <row r="4249" spans="1:2">
      <c r="A4249" s="951"/>
      <c r="B4249" s="951"/>
    </row>
    <row r="4250" spans="1:2">
      <c r="A4250" s="951"/>
      <c r="B4250" s="951"/>
    </row>
    <row r="4251" spans="1:2">
      <c r="A4251" s="951"/>
      <c r="B4251" s="951"/>
    </row>
    <row r="4252" spans="1:2">
      <c r="A4252" s="951"/>
      <c r="B4252" s="951"/>
    </row>
    <row r="4253" spans="1:2">
      <c r="A4253" s="951"/>
      <c r="B4253" s="951"/>
    </row>
    <row r="4254" spans="1:2">
      <c r="A4254" s="951"/>
      <c r="B4254" s="951"/>
    </row>
    <row r="4255" spans="1:2">
      <c r="A4255" s="951"/>
      <c r="B4255" s="951"/>
    </row>
    <row r="4256" spans="1:2">
      <c r="A4256" s="951"/>
      <c r="B4256" s="951"/>
    </row>
    <row r="4257" spans="1:2">
      <c r="A4257" s="951"/>
      <c r="B4257" s="951"/>
    </row>
    <row r="4258" spans="1:2">
      <c r="A4258" s="951"/>
      <c r="B4258" s="951"/>
    </row>
    <row r="4259" spans="1:2">
      <c r="A4259" s="951"/>
      <c r="B4259" s="951"/>
    </row>
    <row r="4260" spans="1:2">
      <c r="A4260" s="951"/>
      <c r="B4260" s="951"/>
    </row>
    <row r="4261" spans="1:2">
      <c r="A4261" s="951"/>
      <c r="B4261" s="951"/>
    </row>
    <row r="4262" spans="1:2">
      <c r="A4262" s="951"/>
      <c r="B4262" s="951"/>
    </row>
    <row r="4263" spans="1:2">
      <c r="A4263" s="951"/>
      <c r="B4263" s="951"/>
    </row>
    <row r="4264" spans="1:2">
      <c r="A4264" s="951"/>
      <c r="B4264" s="951"/>
    </row>
    <row r="4265" spans="1:2">
      <c r="A4265" s="951"/>
      <c r="B4265" s="951"/>
    </row>
    <row r="4266" spans="1:2">
      <c r="A4266" s="951"/>
      <c r="B4266" s="951"/>
    </row>
    <row r="4267" spans="1:2">
      <c r="A4267" s="951"/>
      <c r="B4267" s="951"/>
    </row>
    <row r="4268" spans="1:2">
      <c r="A4268" s="951"/>
      <c r="B4268" s="951"/>
    </row>
    <row r="4269" spans="1:2">
      <c r="A4269" s="951"/>
      <c r="B4269" s="951"/>
    </row>
    <row r="4270" spans="1:2">
      <c r="A4270" s="951"/>
      <c r="B4270" s="951"/>
    </row>
    <row r="4271" spans="1:2">
      <c r="A4271" s="951"/>
      <c r="B4271" s="951"/>
    </row>
    <row r="4272" spans="1:2">
      <c r="A4272" s="951"/>
      <c r="B4272" s="951"/>
    </row>
    <row r="4273" spans="1:2">
      <c r="A4273" s="951"/>
      <c r="B4273" s="951"/>
    </row>
    <row r="4274" spans="1:2">
      <c r="A4274" s="951"/>
      <c r="B4274" s="951"/>
    </row>
    <row r="4275" spans="1:2">
      <c r="A4275" s="951"/>
      <c r="B4275" s="951"/>
    </row>
    <row r="4276" spans="1:2">
      <c r="A4276" s="951"/>
      <c r="B4276" s="951"/>
    </row>
    <row r="4277" spans="1:2">
      <c r="A4277" s="951"/>
      <c r="B4277" s="951"/>
    </row>
    <row r="4278" spans="1:2">
      <c r="A4278" s="951"/>
      <c r="B4278" s="951"/>
    </row>
    <row r="4279" spans="1:2">
      <c r="A4279" s="951"/>
      <c r="B4279" s="951"/>
    </row>
    <row r="4280" spans="1:2">
      <c r="A4280" s="951"/>
      <c r="B4280" s="951"/>
    </row>
    <row r="4281" spans="1:2">
      <c r="A4281" s="951"/>
      <c r="B4281" s="951"/>
    </row>
    <row r="4282" spans="1:2">
      <c r="A4282" s="951"/>
      <c r="B4282" s="951"/>
    </row>
    <row r="4283" spans="1:2">
      <c r="A4283" s="951"/>
      <c r="B4283" s="951"/>
    </row>
    <row r="4284" spans="1:2">
      <c r="A4284" s="951"/>
      <c r="B4284" s="951"/>
    </row>
    <row r="4285" spans="1:2">
      <c r="A4285" s="951"/>
      <c r="B4285" s="951"/>
    </row>
    <row r="4286" spans="1:2">
      <c r="A4286" s="951"/>
      <c r="B4286" s="951"/>
    </row>
    <row r="4287" spans="1:2">
      <c r="A4287" s="951"/>
      <c r="B4287" s="951"/>
    </row>
    <row r="4288" spans="1:2">
      <c r="A4288" s="951"/>
      <c r="B4288" s="951"/>
    </row>
    <row r="4289" spans="1:2">
      <c r="A4289" s="951"/>
      <c r="B4289" s="951"/>
    </row>
    <row r="4290" spans="1:2">
      <c r="A4290" s="951"/>
      <c r="B4290" s="951"/>
    </row>
    <row r="4291" spans="1:2">
      <c r="A4291" s="951"/>
      <c r="B4291" s="951"/>
    </row>
    <row r="4292" spans="1:2">
      <c r="A4292" s="951"/>
      <c r="B4292" s="951"/>
    </row>
    <row r="4293" spans="1:2">
      <c r="A4293" s="951"/>
      <c r="B4293" s="951"/>
    </row>
    <row r="4294" spans="1:2">
      <c r="A4294" s="951"/>
      <c r="B4294" s="951"/>
    </row>
    <row r="4295" spans="1:2">
      <c r="A4295" s="951"/>
      <c r="B4295" s="951"/>
    </row>
    <row r="4296" spans="1:2">
      <c r="A4296" s="951"/>
      <c r="B4296" s="951"/>
    </row>
    <row r="4297" spans="1:2">
      <c r="A4297" s="951"/>
      <c r="B4297" s="951"/>
    </row>
    <row r="4298" spans="1:2">
      <c r="A4298" s="951"/>
      <c r="B4298" s="951"/>
    </row>
    <row r="4299" spans="1:2">
      <c r="A4299" s="951"/>
      <c r="B4299" s="951"/>
    </row>
    <row r="4300" spans="1:2">
      <c r="A4300" s="951"/>
      <c r="B4300" s="951"/>
    </row>
    <row r="4301" spans="1:2">
      <c r="A4301" s="951"/>
      <c r="B4301" s="951"/>
    </row>
    <row r="4302" spans="1:2">
      <c r="A4302" s="951"/>
      <c r="B4302" s="951"/>
    </row>
    <row r="4303" spans="1:2">
      <c r="A4303" s="951"/>
      <c r="B4303" s="951"/>
    </row>
    <row r="4304" spans="1:2">
      <c r="A4304" s="951"/>
      <c r="B4304" s="951"/>
    </row>
    <row r="4305" spans="1:2">
      <c r="A4305" s="951"/>
      <c r="B4305" s="951"/>
    </row>
    <row r="4306" spans="1:2">
      <c r="A4306" s="951"/>
      <c r="B4306" s="951"/>
    </row>
    <row r="4307" spans="1:2">
      <c r="A4307" s="951"/>
      <c r="B4307" s="951"/>
    </row>
    <row r="4308" spans="1:2">
      <c r="A4308" s="951"/>
      <c r="B4308" s="951"/>
    </row>
    <row r="4309" spans="1:2">
      <c r="A4309" s="951"/>
      <c r="B4309" s="951"/>
    </row>
    <row r="4310" spans="1:2">
      <c r="A4310" s="951"/>
      <c r="B4310" s="951"/>
    </row>
    <row r="4311" spans="1:2">
      <c r="A4311" s="951"/>
      <c r="B4311" s="951"/>
    </row>
    <row r="4312" spans="1:2">
      <c r="A4312" s="951"/>
      <c r="B4312" s="951"/>
    </row>
    <row r="4313" spans="1:2">
      <c r="A4313" s="951"/>
      <c r="B4313" s="951"/>
    </row>
    <row r="4314" spans="1:2">
      <c r="A4314" s="951"/>
      <c r="B4314" s="951"/>
    </row>
    <row r="4315" spans="1:2">
      <c r="A4315" s="951"/>
      <c r="B4315" s="951"/>
    </row>
    <row r="4316" spans="1:2">
      <c r="A4316" s="951"/>
      <c r="B4316" s="951"/>
    </row>
    <row r="4317" spans="1:2">
      <c r="A4317" s="951"/>
      <c r="B4317" s="951"/>
    </row>
    <row r="4318" spans="1:2">
      <c r="A4318" s="951"/>
      <c r="B4318" s="951"/>
    </row>
    <row r="4319" spans="1:2">
      <c r="A4319" s="951"/>
      <c r="B4319" s="951"/>
    </row>
    <row r="4320" spans="1:2">
      <c r="A4320" s="951"/>
      <c r="B4320" s="951"/>
    </row>
    <row r="4321" spans="1:2">
      <c r="A4321" s="951"/>
      <c r="B4321" s="951"/>
    </row>
    <row r="4322" spans="1:2">
      <c r="A4322" s="951"/>
      <c r="B4322" s="951"/>
    </row>
    <row r="4323" spans="1:2">
      <c r="A4323" s="951"/>
      <c r="B4323" s="951"/>
    </row>
    <row r="4324" spans="1:2">
      <c r="A4324" s="951"/>
      <c r="B4324" s="951"/>
    </row>
    <row r="4325" spans="1:2">
      <c r="A4325" s="951"/>
      <c r="B4325" s="951"/>
    </row>
    <row r="4326" spans="1:2">
      <c r="A4326" s="951"/>
      <c r="B4326" s="951"/>
    </row>
    <row r="4327" spans="1:2">
      <c r="A4327" s="951"/>
      <c r="B4327" s="951"/>
    </row>
    <row r="4328" spans="1:2">
      <c r="A4328" s="951"/>
      <c r="B4328" s="951"/>
    </row>
    <row r="4329" spans="1:2">
      <c r="A4329" s="951"/>
      <c r="B4329" s="951"/>
    </row>
    <row r="4330" spans="1:2">
      <c r="A4330" s="951"/>
      <c r="B4330" s="951"/>
    </row>
    <row r="4331" spans="1:2">
      <c r="A4331" s="951"/>
      <c r="B4331" s="951"/>
    </row>
    <row r="4332" spans="1:2">
      <c r="A4332" s="951"/>
      <c r="B4332" s="951"/>
    </row>
    <row r="4333" spans="1:2">
      <c r="A4333" s="951"/>
      <c r="B4333" s="951"/>
    </row>
    <row r="4334" spans="1:2">
      <c r="A4334" s="951"/>
      <c r="B4334" s="951"/>
    </row>
    <row r="4335" spans="1:2">
      <c r="A4335" s="951"/>
      <c r="B4335" s="951"/>
    </row>
    <row r="4336" spans="1:2">
      <c r="A4336" s="951"/>
      <c r="B4336" s="951"/>
    </row>
    <row r="4337" spans="1:2">
      <c r="A4337" s="951"/>
      <c r="B4337" s="951"/>
    </row>
    <row r="4338" spans="1:2">
      <c r="A4338" s="951"/>
      <c r="B4338" s="951"/>
    </row>
    <row r="4339" spans="1:2">
      <c r="A4339" s="951"/>
      <c r="B4339" s="951"/>
    </row>
    <row r="4340" spans="1:2">
      <c r="A4340" s="951"/>
      <c r="B4340" s="951"/>
    </row>
    <row r="4341" spans="1:2">
      <c r="A4341" s="951"/>
      <c r="B4341" s="951"/>
    </row>
    <row r="4342" spans="1:2">
      <c r="A4342" s="951"/>
      <c r="B4342" s="951"/>
    </row>
    <row r="4343" spans="1:2">
      <c r="A4343" s="951"/>
      <c r="B4343" s="951"/>
    </row>
    <row r="4344" spans="1:2">
      <c r="A4344" s="951"/>
      <c r="B4344" s="951"/>
    </row>
    <row r="4345" spans="1:2">
      <c r="A4345" s="951"/>
      <c r="B4345" s="951"/>
    </row>
    <row r="4346" spans="1:2">
      <c r="A4346" s="951"/>
      <c r="B4346" s="951"/>
    </row>
    <row r="4347" spans="1:2">
      <c r="A4347" s="951"/>
      <c r="B4347" s="951"/>
    </row>
    <row r="4348" spans="1:2">
      <c r="A4348" s="951"/>
      <c r="B4348" s="951"/>
    </row>
    <row r="4349" spans="1:2">
      <c r="A4349" s="951"/>
      <c r="B4349" s="951"/>
    </row>
    <row r="4350" spans="1:2">
      <c r="A4350" s="951"/>
      <c r="B4350" s="951"/>
    </row>
    <row r="4351" spans="1:2">
      <c r="A4351" s="951"/>
      <c r="B4351" s="951"/>
    </row>
    <row r="4352" spans="1:2">
      <c r="A4352" s="951"/>
      <c r="B4352" s="951"/>
    </row>
    <row r="4353" spans="1:2">
      <c r="A4353" s="951"/>
      <c r="B4353" s="951"/>
    </row>
    <row r="4354" spans="1:2">
      <c r="A4354" s="951"/>
      <c r="B4354" s="951"/>
    </row>
    <row r="4355" spans="1:2">
      <c r="A4355" s="951"/>
      <c r="B4355" s="951"/>
    </row>
    <row r="4356" spans="1:2">
      <c r="A4356" s="951"/>
      <c r="B4356" s="951"/>
    </row>
    <row r="4357" spans="1:2">
      <c r="A4357" s="951"/>
      <c r="B4357" s="951"/>
    </row>
    <row r="4358" spans="1:2">
      <c r="A4358" s="951"/>
      <c r="B4358" s="951"/>
    </row>
    <row r="4359" spans="1:2">
      <c r="A4359" s="951"/>
      <c r="B4359" s="951"/>
    </row>
    <row r="4360" spans="1:2">
      <c r="A4360" s="951"/>
      <c r="B4360" s="951"/>
    </row>
    <row r="4361" spans="1:2">
      <c r="A4361" s="951"/>
      <c r="B4361" s="951"/>
    </row>
    <row r="4362" spans="1:2">
      <c r="A4362" s="951"/>
      <c r="B4362" s="951"/>
    </row>
    <row r="4363" spans="1:2">
      <c r="A4363" s="951"/>
      <c r="B4363" s="951"/>
    </row>
    <row r="4364" spans="1:2">
      <c r="A4364" s="951"/>
      <c r="B4364" s="951"/>
    </row>
    <row r="4365" spans="1:2">
      <c r="A4365" s="951"/>
      <c r="B4365" s="951"/>
    </row>
    <row r="4366" spans="1:2">
      <c r="A4366" s="951"/>
      <c r="B4366" s="951"/>
    </row>
    <row r="4367" spans="1:2">
      <c r="A4367" s="951"/>
      <c r="B4367" s="951"/>
    </row>
    <row r="4368" spans="1:2">
      <c r="A4368" s="951"/>
      <c r="B4368" s="951"/>
    </row>
    <row r="4369" spans="1:2">
      <c r="A4369" s="951"/>
      <c r="B4369" s="951"/>
    </row>
    <row r="4370" spans="1:2">
      <c r="A4370" s="951"/>
      <c r="B4370" s="951"/>
    </row>
    <row r="4371" spans="1:2">
      <c r="A4371" s="951"/>
      <c r="B4371" s="951"/>
    </row>
    <row r="4372" spans="1:2">
      <c r="A4372" s="951"/>
      <c r="B4372" s="951"/>
    </row>
    <row r="4373" spans="1:2">
      <c r="A4373" s="951"/>
      <c r="B4373" s="951"/>
    </row>
    <row r="4374" spans="1:2">
      <c r="A4374" s="951"/>
      <c r="B4374" s="951"/>
    </row>
    <row r="4375" spans="1:2">
      <c r="A4375" s="951"/>
      <c r="B4375" s="951"/>
    </row>
    <row r="4376" spans="1:2">
      <c r="A4376" s="951"/>
      <c r="B4376" s="951"/>
    </row>
    <row r="4377" spans="1:2">
      <c r="A4377" s="951"/>
      <c r="B4377" s="951"/>
    </row>
    <row r="4378" spans="1:2">
      <c r="A4378" s="951"/>
      <c r="B4378" s="951"/>
    </row>
    <row r="4379" spans="1:2">
      <c r="A4379" s="951"/>
      <c r="B4379" s="951"/>
    </row>
    <row r="4380" spans="1:2">
      <c r="A4380" s="951"/>
      <c r="B4380" s="951"/>
    </row>
    <row r="4381" spans="1:2">
      <c r="A4381" s="951"/>
      <c r="B4381" s="951"/>
    </row>
    <row r="4382" spans="1:2">
      <c r="A4382" s="951"/>
      <c r="B4382" s="951"/>
    </row>
    <row r="4383" spans="1:2">
      <c r="A4383" s="951"/>
      <c r="B4383" s="951"/>
    </row>
    <row r="4384" spans="1:2">
      <c r="A4384" s="951"/>
      <c r="B4384" s="951"/>
    </row>
    <row r="4385" spans="1:2">
      <c r="A4385" s="951"/>
      <c r="B4385" s="951"/>
    </row>
    <row r="4386" spans="1:2">
      <c r="A4386" s="951"/>
      <c r="B4386" s="951"/>
    </row>
    <row r="4387" spans="1:2">
      <c r="A4387" s="951"/>
      <c r="B4387" s="951"/>
    </row>
    <row r="4388" spans="1:2">
      <c r="A4388" s="951"/>
      <c r="B4388" s="951"/>
    </row>
    <row r="4389" spans="1:2">
      <c r="A4389" s="951"/>
      <c r="B4389" s="951"/>
    </row>
    <row r="4390" spans="1:2">
      <c r="A4390" s="951"/>
      <c r="B4390" s="951"/>
    </row>
    <row r="4391" spans="1:2">
      <c r="A4391" s="951"/>
      <c r="B4391" s="951"/>
    </row>
    <row r="4392" spans="1:2">
      <c r="A4392" s="951"/>
      <c r="B4392" s="951"/>
    </row>
    <row r="4393" spans="1:2">
      <c r="A4393" s="951"/>
      <c r="B4393" s="951"/>
    </row>
    <row r="4394" spans="1:2">
      <c r="A4394" s="951"/>
      <c r="B4394" s="951"/>
    </row>
    <row r="4395" spans="1:2">
      <c r="A4395" s="951"/>
      <c r="B4395" s="951"/>
    </row>
    <row r="4396" spans="1:2">
      <c r="A4396" s="951"/>
      <c r="B4396" s="951"/>
    </row>
    <row r="4397" spans="1:2">
      <c r="A4397" s="951"/>
      <c r="B4397" s="951"/>
    </row>
    <row r="4398" spans="1:2">
      <c r="A4398" s="951"/>
      <c r="B4398" s="951"/>
    </row>
    <row r="4399" spans="1:2">
      <c r="A4399" s="951"/>
      <c r="B4399" s="951"/>
    </row>
    <row r="4400" spans="1:2">
      <c r="A4400" s="951"/>
      <c r="B4400" s="951"/>
    </row>
    <row r="4401" spans="1:2">
      <c r="A4401" s="951"/>
      <c r="B4401" s="951"/>
    </row>
    <row r="4402" spans="1:2">
      <c r="A4402" s="951"/>
      <c r="B4402" s="951"/>
    </row>
    <row r="4403" spans="1:2">
      <c r="A4403" s="951"/>
      <c r="B4403" s="951"/>
    </row>
    <row r="4404" spans="1:2">
      <c r="A4404" s="951"/>
      <c r="B4404" s="951"/>
    </row>
    <row r="4405" spans="1:2">
      <c r="A4405" s="951"/>
      <c r="B4405" s="951"/>
    </row>
    <row r="4406" spans="1:2">
      <c r="A4406" s="951"/>
      <c r="B4406" s="951"/>
    </row>
    <row r="4407" spans="1:2">
      <c r="A4407" s="951"/>
      <c r="B4407" s="951"/>
    </row>
    <row r="4408" spans="1:2">
      <c r="A4408" s="951"/>
      <c r="B4408" s="951"/>
    </row>
    <row r="4409" spans="1:2">
      <c r="A4409" s="951"/>
      <c r="B4409" s="951"/>
    </row>
    <row r="4410" spans="1:2">
      <c r="A4410" s="951"/>
      <c r="B4410" s="951"/>
    </row>
    <row r="4411" spans="1:2">
      <c r="A4411" s="951"/>
      <c r="B4411" s="951"/>
    </row>
    <row r="4412" spans="1:2">
      <c r="A4412" s="951"/>
      <c r="B4412" s="951"/>
    </row>
    <row r="4413" spans="1:2">
      <c r="A4413" s="951"/>
      <c r="B4413" s="951"/>
    </row>
    <row r="4414" spans="1:2">
      <c r="A4414" s="951"/>
      <c r="B4414" s="951"/>
    </row>
    <row r="4415" spans="1:2">
      <c r="A4415" s="951"/>
      <c r="B4415" s="951"/>
    </row>
    <row r="4416" spans="1:2">
      <c r="A4416" s="951"/>
      <c r="B4416" s="951"/>
    </row>
    <row r="4417" spans="1:2">
      <c r="A4417" s="951"/>
      <c r="B4417" s="951"/>
    </row>
    <row r="4418" spans="1:2">
      <c r="A4418" s="951"/>
      <c r="B4418" s="951"/>
    </row>
    <row r="4419" spans="1:2">
      <c r="A4419" s="951"/>
      <c r="B4419" s="951"/>
    </row>
    <row r="4420" spans="1:2">
      <c r="A4420" s="951"/>
      <c r="B4420" s="951"/>
    </row>
    <row r="4421" spans="1:2">
      <c r="A4421" s="951"/>
      <c r="B4421" s="951"/>
    </row>
    <row r="4422" spans="1:2">
      <c r="A4422" s="951"/>
      <c r="B4422" s="951"/>
    </row>
    <row r="4423" spans="1:2">
      <c r="A4423" s="951"/>
      <c r="B4423" s="951"/>
    </row>
    <row r="4424" spans="1:2">
      <c r="A4424" s="951"/>
      <c r="B4424" s="951"/>
    </row>
    <row r="4425" spans="1:2">
      <c r="A4425" s="951"/>
      <c r="B4425" s="951"/>
    </row>
    <row r="4426" spans="1:2">
      <c r="A4426" s="951"/>
      <c r="B4426" s="951"/>
    </row>
    <row r="4427" spans="1:2">
      <c r="A4427" s="951"/>
      <c r="B4427" s="951"/>
    </row>
    <row r="4428" spans="1:2">
      <c r="A4428" s="951"/>
      <c r="B4428" s="951"/>
    </row>
    <row r="4429" spans="1:2">
      <c r="A4429" s="951"/>
      <c r="B4429" s="951"/>
    </row>
    <row r="4430" spans="1:2">
      <c r="A4430" s="951"/>
      <c r="B4430" s="951"/>
    </row>
    <row r="4431" spans="1:2">
      <c r="A4431" s="951"/>
      <c r="B4431" s="951"/>
    </row>
    <row r="4432" spans="1:2">
      <c r="A4432" s="951"/>
      <c r="B4432" s="951"/>
    </row>
    <row r="4433" spans="1:2">
      <c r="A4433" s="951"/>
      <c r="B4433" s="951"/>
    </row>
    <row r="4434" spans="1:2">
      <c r="A4434" s="951"/>
      <c r="B4434" s="951"/>
    </row>
    <row r="4435" spans="1:2">
      <c r="A4435" s="951"/>
      <c r="B4435" s="951"/>
    </row>
    <row r="4436" spans="1:2">
      <c r="A4436" s="951"/>
      <c r="B4436" s="951"/>
    </row>
    <row r="4437" spans="1:2">
      <c r="A4437" s="951"/>
      <c r="B4437" s="951"/>
    </row>
    <row r="4438" spans="1:2">
      <c r="A4438" s="951"/>
      <c r="B4438" s="951"/>
    </row>
    <row r="4439" spans="1:2">
      <c r="A4439" s="951"/>
      <c r="B4439" s="951"/>
    </row>
    <row r="4440" spans="1:2">
      <c r="A4440" s="951"/>
      <c r="B4440" s="951"/>
    </row>
    <row r="4441" spans="1:2">
      <c r="A4441" s="951"/>
      <c r="B4441" s="951"/>
    </row>
    <row r="4442" spans="1:2">
      <c r="A4442" s="951"/>
      <c r="B4442" s="951"/>
    </row>
    <row r="4443" spans="1:2">
      <c r="A4443" s="951"/>
      <c r="B4443" s="951"/>
    </row>
    <row r="4444" spans="1:2">
      <c r="A4444" s="951"/>
      <c r="B4444" s="951"/>
    </row>
    <row r="4445" spans="1:2">
      <c r="A4445" s="951"/>
      <c r="B4445" s="951"/>
    </row>
    <row r="4446" spans="1:2">
      <c r="A4446" s="951"/>
      <c r="B4446" s="951"/>
    </row>
    <row r="4447" spans="1:2">
      <c r="A4447" s="951"/>
      <c r="B4447" s="951"/>
    </row>
    <row r="4448" spans="1:2">
      <c r="A4448" s="951"/>
      <c r="B4448" s="951"/>
    </row>
    <row r="4449" spans="1:2">
      <c r="A4449" s="951"/>
      <c r="B4449" s="951"/>
    </row>
    <row r="4450" spans="1:2">
      <c r="A4450" s="951"/>
      <c r="B4450" s="951"/>
    </row>
    <row r="4451" spans="1:2">
      <c r="A4451" s="951"/>
      <c r="B4451" s="951"/>
    </row>
    <row r="4452" spans="1:2">
      <c r="A4452" s="951"/>
      <c r="B4452" s="951"/>
    </row>
    <row r="4453" spans="1:2">
      <c r="A4453" s="951"/>
      <c r="B4453" s="951"/>
    </row>
    <row r="4454" spans="1:2">
      <c r="A4454" s="951"/>
      <c r="B4454" s="951"/>
    </row>
    <row r="4455" spans="1:2">
      <c r="A4455" s="951"/>
      <c r="B4455" s="951"/>
    </row>
    <row r="4456" spans="1:2">
      <c r="A4456" s="951"/>
      <c r="B4456" s="951"/>
    </row>
    <row r="4457" spans="1:2">
      <c r="A4457" s="951"/>
      <c r="B4457" s="951"/>
    </row>
    <row r="4458" spans="1:2">
      <c r="A4458" s="951"/>
      <c r="B4458" s="951"/>
    </row>
    <row r="4459" spans="1:2">
      <c r="A4459" s="951"/>
      <c r="B4459" s="951"/>
    </row>
    <row r="4460" spans="1:2">
      <c r="A4460" s="951"/>
      <c r="B4460" s="951"/>
    </row>
    <row r="4461" spans="1:2">
      <c r="A4461" s="951"/>
      <c r="B4461" s="951"/>
    </row>
    <row r="4462" spans="1:2">
      <c r="A4462" s="951"/>
      <c r="B4462" s="951"/>
    </row>
    <row r="4463" spans="1:2">
      <c r="A4463" s="951"/>
      <c r="B4463" s="951"/>
    </row>
    <row r="4464" spans="1:2">
      <c r="A4464" s="951"/>
      <c r="B4464" s="951"/>
    </row>
    <row r="4465" spans="1:2">
      <c r="A4465" s="951"/>
      <c r="B4465" s="951"/>
    </row>
    <row r="4466" spans="1:2">
      <c r="A4466" s="951"/>
      <c r="B4466" s="951"/>
    </row>
    <row r="4467" spans="1:2">
      <c r="A4467" s="951"/>
      <c r="B4467" s="951"/>
    </row>
    <row r="4468" spans="1:2">
      <c r="A4468" s="951"/>
      <c r="B4468" s="951"/>
    </row>
    <row r="4469" spans="1:2">
      <c r="A4469" s="951"/>
      <c r="B4469" s="951"/>
    </row>
    <row r="4470" spans="1:2">
      <c r="A4470" s="951"/>
      <c r="B4470" s="951"/>
    </row>
    <row r="4471" spans="1:2">
      <c r="A4471" s="951"/>
      <c r="B4471" s="951"/>
    </row>
    <row r="4472" spans="1:2">
      <c r="A4472" s="951"/>
      <c r="B4472" s="951"/>
    </row>
    <row r="4473" spans="1:2">
      <c r="A4473" s="951"/>
      <c r="B4473" s="951"/>
    </row>
    <row r="4474" spans="1:2">
      <c r="A4474" s="951"/>
      <c r="B4474" s="951"/>
    </row>
    <row r="4475" spans="1:2">
      <c r="A4475" s="951"/>
      <c r="B4475" s="951"/>
    </row>
    <row r="4476" spans="1:2">
      <c r="A4476" s="951"/>
      <c r="B4476" s="951"/>
    </row>
    <row r="4477" spans="1:2">
      <c r="A4477" s="951"/>
      <c r="B4477" s="951"/>
    </row>
    <row r="4478" spans="1:2">
      <c r="A4478" s="951"/>
      <c r="B4478" s="951"/>
    </row>
    <row r="4479" spans="1:2">
      <c r="A4479" s="951"/>
      <c r="B4479" s="951"/>
    </row>
    <row r="4480" spans="1:2">
      <c r="A4480" s="951"/>
      <c r="B4480" s="951"/>
    </row>
    <row r="4481" spans="1:2">
      <c r="A4481" s="951"/>
      <c r="B4481" s="951"/>
    </row>
    <row r="4482" spans="1:2">
      <c r="A4482" s="951"/>
      <c r="B4482" s="951"/>
    </row>
    <row r="4483" spans="1:2">
      <c r="A4483" s="951"/>
      <c r="B4483" s="951"/>
    </row>
    <row r="4484" spans="1:2">
      <c r="A4484" s="951"/>
      <c r="B4484" s="951"/>
    </row>
    <row r="4485" spans="1:2">
      <c r="A4485" s="951"/>
      <c r="B4485" s="951"/>
    </row>
    <row r="4486" spans="1:2">
      <c r="A4486" s="951"/>
      <c r="B4486" s="951"/>
    </row>
    <row r="4487" spans="1:2">
      <c r="A4487" s="951"/>
      <c r="B4487" s="951"/>
    </row>
    <row r="4488" spans="1:2">
      <c r="A4488" s="951"/>
      <c r="B4488" s="951"/>
    </row>
    <row r="4489" spans="1:2">
      <c r="A4489" s="951"/>
      <c r="B4489" s="951"/>
    </row>
    <row r="4490" spans="1:2">
      <c r="A4490" s="951"/>
      <c r="B4490" s="951"/>
    </row>
    <row r="4491" spans="1:2">
      <c r="A4491" s="951"/>
      <c r="B4491" s="951"/>
    </row>
    <row r="4492" spans="1:2">
      <c r="A4492" s="951"/>
      <c r="B4492" s="951"/>
    </row>
    <row r="4493" spans="1:2">
      <c r="A4493" s="951"/>
      <c r="B4493" s="951"/>
    </row>
    <row r="4494" spans="1:2">
      <c r="A4494" s="951"/>
      <c r="B4494" s="951"/>
    </row>
    <row r="4495" spans="1:2">
      <c r="A4495" s="951"/>
      <c r="B4495" s="951"/>
    </row>
    <row r="4496" spans="1:2">
      <c r="A4496" s="951"/>
      <c r="B4496" s="951"/>
    </row>
    <row r="4497" spans="1:2">
      <c r="A4497" s="951"/>
      <c r="B4497" s="951"/>
    </row>
    <row r="4498" spans="1:2">
      <c r="A4498" s="951"/>
      <c r="B4498" s="951"/>
    </row>
    <row r="4499" spans="1:2">
      <c r="A4499" s="951"/>
      <c r="B4499" s="951"/>
    </row>
    <row r="4500" spans="1:2">
      <c r="A4500" s="951"/>
      <c r="B4500" s="951"/>
    </row>
    <row r="4501" spans="1:2">
      <c r="A4501" s="951"/>
      <c r="B4501" s="951"/>
    </row>
    <row r="4502" spans="1:2">
      <c r="A4502" s="951"/>
      <c r="B4502" s="951"/>
    </row>
    <row r="4503" spans="1:2">
      <c r="A4503" s="951"/>
      <c r="B4503" s="951"/>
    </row>
    <row r="4504" spans="1:2">
      <c r="A4504" s="951"/>
      <c r="B4504" s="951"/>
    </row>
    <row r="4505" spans="1:2">
      <c r="A4505" s="951"/>
      <c r="B4505" s="951"/>
    </row>
    <row r="4506" spans="1:2">
      <c r="A4506" s="951"/>
      <c r="B4506" s="951"/>
    </row>
    <row r="4507" spans="1:2">
      <c r="A4507" s="951"/>
      <c r="B4507" s="951"/>
    </row>
    <row r="4508" spans="1:2">
      <c r="A4508" s="951"/>
      <c r="B4508" s="951"/>
    </row>
    <row r="4509" spans="1:2">
      <c r="A4509" s="951"/>
      <c r="B4509" s="951"/>
    </row>
    <row r="4510" spans="1:2">
      <c r="A4510" s="951"/>
      <c r="B4510" s="951"/>
    </row>
    <row r="4511" spans="1:2">
      <c r="A4511" s="951"/>
      <c r="B4511" s="951"/>
    </row>
    <row r="4512" spans="1:2">
      <c r="A4512" s="951"/>
      <c r="B4512" s="951"/>
    </row>
    <row r="4513" spans="1:2">
      <c r="A4513" s="951"/>
      <c r="B4513" s="951"/>
    </row>
    <row r="4514" spans="1:2">
      <c r="A4514" s="951"/>
      <c r="B4514" s="951"/>
    </row>
    <row r="4515" spans="1:2">
      <c r="A4515" s="951"/>
      <c r="B4515" s="951"/>
    </row>
    <row r="4516" spans="1:2">
      <c r="A4516" s="951"/>
      <c r="B4516" s="951"/>
    </row>
    <row r="4517" spans="1:2">
      <c r="A4517" s="951"/>
      <c r="B4517" s="951"/>
    </row>
    <row r="4518" spans="1:2">
      <c r="A4518" s="951"/>
      <c r="B4518" s="951"/>
    </row>
    <row r="4519" spans="1:2">
      <c r="A4519" s="951"/>
      <c r="B4519" s="951"/>
    </row>
    <row r="4520" spans="1:2">
      <c r="A4520" s="951"/>
      <c r="B4520" s="951"/>
    </row>
    <row r="4521" spans="1:2">
      <c r="A4521" s="951"/>
      <c r="B4521" s="951"/>
    </row>
    <row r="4522" spans="1:2">
      <c r="A4522" s="951"/>
      <c r="B4522" s="951"/>
    </row>
    <row r="4523" spans="1:2">
      <c r="A4523" s="951"/>
      <c r="B4523" s="951"/>
    </row>
    <row r="4524" spans="1:2">
      <c r="A4524" s="951"/>
      <c r="B4524" s="951"/>
    </row>
    <row r="4525" spans="1:2">
      <c r="A4525" s="951"/>
      <c r="B4525" s="951"/>
    </row>
    <row r="4526" spans="1:2">
      <c r="A4526" s="951"/>
      <c r="B4526" s="951"/>
    </row>
    <row r="4527" spans="1:2">
      <c r="A4527" s="951"/>
      <c r="B4527" s="951"/>
    </row>
    <row r="4528" spans="1:2">
      <c r="A4528" s="951"/>
      <c r="B4528" s="951"/>
    </row>
    <row r="4529" spans="1:2">
      <c r="A4529" s="951"/>
      <c r="B4529" s="951"/>
    </row>
    <row r="4530" spans="1:2">
      <c r="A4530" s="951"/>
      <c r="B4530" s="951"/>
    </row>
    <row r="4531" spans="1:2">
      <c r="A4531" s="951"/>
      <c r="B4531" s="951"/>
    </row>
    <row r="4532" spans="1:2">
      <c r="A4532" s="951"/>
      <c r="B4532" s="951"/>
    </row>
    <row r="4533" spans="1:2">
      <c r="A4533" s="951"/>
      <c r="B4533" s="951"/>
    </row>
    <row r="4534" spans="1:2">
      <c r="A4534" s="951"/>
      <c r="B4534" s="951"/>
    </row>
    <row r="4535" spans="1:2">
      <c r="A4535" s="951"/>
      <c r="B4535" s="951"/>
    </row>
    <row r="4536" spans="1:2">
      <c r="A4536" s="951"/>
      <c r="B4536" s="951"/>
    </row>
    <row r="4537" spans="1:2">
      <c r="A4537" s="951"/>
      <c r="B4537" s="951"/>
    </row>
    <row r="4538" spans="1:2">
      <c r="A4538" s="951"/>
      <c r="B4538" s="951"/>
    </row>
    <row r="4539" spans="1:2">
      <c r="A4539" s="951"/>
      <c r="B4539" s="951"/>
    </row>
    <row r="4540" spans="1:2">
      <c r="A4540" s="951"/>
      <c r="B4540" s="951"/>
    </row>
    <row r="4541" spans="1:2">
      <c r="A4541" s="951"/>
      <c r="B4541" s="951"/>
    </row>
    <row r="4542" spans="1:2">
      <c r="A4542" s="951"/>
      <c r="B4542" s="951"/>
    </row>
    <row r="4543" spans="1:2">
      <c r="A4543" s="951"/>
      <c r="B4543" s="951"/>
    </row>
    <row r="4544" spans="1:2">
      <c r="A4544" s="951"/>
      <c r="B4544" s="951"/>
    </row>
    <row r="4545" spans="1:2">
      <c r="A4545" s="951"/>
      <c r="B4545" s="951"/>
    </row>
    <row r="4546" spans="1:2">
      <c r="A4546" s="951"/>
      <c r="B4546" s="951"/>
    </row>
    <row r="4547" spans="1:2">
      <c r="A4547" s="951"/>
      <c r="B4547" s="951"/>
    </row>
    <row r="4548" spans="1:2">
      <c r="A4548" s="951"/>
      <c r="B4548" s="951"/>
    </row>
    <row r="4549" spans="1:2">
      <c r="A4549" s="951"/>
      <c r="B4549" s="951"/>
    </row>
    <row r="4550" spans="1:2">
      <c r="A4550" s="951"/>
      <c r="B4550" s="951"/>
    </row>
    <row r="4551" spans="1:2">
      <c r="A4551" s="951"/>
      <c r="B4551" s="951"/>
    </row>
    <row r="4552" spans="1:2">
      <c r="A4552" s="951"/>
      <c r="B4552" s="951"/>
    </row>
    <row r="4553" spans="1:2">
      <c r="A4553" s="951"/>
      <c r="B4553" s="951"/>
    </row>
    <row r="4554" spans="1:2">
      <c r="A4554" s="951"/>
      <c r="B4554" s="951"/>
    </row>
    <row r="4555" spans="1:2">
      <c r="A4555" s="951"/>
      <c r="B4555" s="951"/>
    </row>
    <row r="4556" spans="1:2">
      <c r="A4556" s="951"/>
      <c r="B4556" s="951"/>
    </row>
    <row r="4557" spans="1:2">
      <c r="A4557" s="951"/>
      <c r="B4557" s="951"/>
    </row>
    <row r="4558" spans="1:2">
      <c r="A4558" s="951"/>
      <c r="B4558" s="951"/>
    </row>
    <row r="4559" spans="1:2">
      <c r="A4559" s="951"/>
      <c r="B4559" s="951"/>
    </row>
    <row r="4560" spans="1:2">
      <c r="A4560" s="951"/>
      <c r="B4560" s="951"/>
    </row>
    <row r="4561" spans="1:2">
      <c r="A4561" s="951"/>
      <c r="B4561" s="951"/>
    </row>
    <row r="4562" spans="1:2">
      <c r="A4562" s="951"/>
      <c r="B4562" s="951"/>
    </row>
    <row r="4563" spans="1:2">
      <c r="A4563" s="951"/>
      <c r="B4563" s="951"/>
    </row>
    <row r="4564" spans="1:2">
      <c r="A4564" s="951"/>
      <c r="B4564" s="951"/>
    </row>
    <row r="4565" spans="1:2">
      <c r="A4565" s="951"/>
      <c r="B4565" s="951"/>
    </row>
    <row r="4566" spans="1:2">
      <c r="A4566" s="951"/>
      <c r="B4566" s="951"/>
    </row>
    <row r="4567" spans="1:2">
      <c r="A4567" s="951"/>
      <c r="B4567" s="951"/>
    </row>
    <row r="4568" spans="1:2">
      <c r="A4568" s="951"/>
      <c r="B4568" s="951"/>
    </row>
    <row r="4569" spans="1:2">
      <c r="A4569" s="951"/>
      <c r="B4569" s="951"/>
    </row>
    <row r="4570" spans="1:2">
      <c r="A4570" s="951"/>
      <c r="B4570" s="951"/>
    </row>
    <row r="4571" spans="1:2">
      <c r="A4571" s="951"/>
      <c r="B4571" s="951"/>
    </row>
    <row r="4572" spans="1:2">
      <c r="A4572" s="951"/>
      <c r="B4572" s="951"/>
    </row>
    <row r="4573" spans="1:2">
      <c r="A4573" s="951"/>
      <c r="B4573" s="951"/>
    </row>
    <row r="4574" spans="1:2">
      <c r="A4574" s="951"/>
      <c r="B4574" s="951"/>
    </row>
    <row r="4575" spans="1:2">
      <c r="A4575" s="951"/>
      <c r="B4575" s="951"/>
    </row>
    <row r="4576" spans="1:2">
      <c r="A4576" s="951"/>
      <c r="B4576" s="951"/>
    </row>
    <row r="4577" spans="1:2">
      <c r="A4577" s="951"/>
      <c r="B4577" s="951"/>
    </row>
    <row r="4578" spans="1:2">
      <c r="A4578" s="951"/>
      <c r="B4578" s="951"/>
    </row>
    <row r="4579" spans="1:2">
      <c r="A4579" s="951"/>
      <c r="B4579" s="951"/>
    </row>
    <row r="4580" spans="1:2">
      <c r="A4580" s="951"/>
      <c r="B4580" s="951"/>
    </row>
    <row r="4581" spans="1:2">
      <c r="A4581" s="951"/>
      <c r="B4581" s="951"/>
    </row>
    <row r="4582" spans="1:2">
      <c r="A4582" s="951"/>
      <c r="B4582" s="951"/>
    </row>
    <row r="4583" spans="1:2">
      <c r="A4583" s="951"/>
      <c r="B4583" s="951"/>
    </row>
    <row r="4584" spans="1:2">
      <c r="A4584" s="951"/>
      <c r="B4584" s="951"/>
    </row>
    <row r="4585" spans="1:2">
      <c r="A4585" s="951"/>
      <c r="B4585" s="951"/>
    </row>
    <row r="4586" spans="1:2">
      <c r="A4586" s="951"/>
      <c r="B4586" s="951"/>
    </row>
    <row r="4587" spans="1:2">
      <c r="A4587" s="951"/>
      <c r="B4587" s="951"/>
    </row>
    <row r="4588" spans="1:2">
      <c r="A4588" s="951"/>
      <c r="B4588" s="951"/>
    </row>
    <row r="4589" spans="1:2">
      <c r="A4589" s="951"/>
      <c r="B4589" s="951"/>
    </row>
    <row r="4590" spans="1:2">
      <c r="A4590" s="951"/>
      <c r="B4590" s="951"/>
    </row>
    <row r="4591" spans="1:2">
      <c r="A4591" s="951"/>
      <c r="B4591" s="951"/>
    </row>
    <row r="4592" spans="1:2">
      <c r="A4592" s="951"/>
      <c r="B4592" s="951"/>
    </row>
    <row r="4593" spans="1:2">
      <c r="A4593" s="951"/>
      <c r="B4593" s="951"/>
    </row>
    <row r="4594" spans="1:2">
      <c r="A4594" s="951"/>
      <c r="B4594" s="951"/>
    </row>
    <row r="4595" spans="1:2">
      <c r="A4595" s="951"/>
      <c r="B4595" s="951"/>
    </row>
    <row r="4596" spans="1:2">
      <c r="A4596" s="951"/>
      <c r="B4596" s="951"/>
    </row>
    <row r="4597" spans="1:2">
      <c r="A4597" s="951"/>
      <c r="B4597" s="951"/>
    </row>
    <row r="4598" spans="1:2">
      <c r="A4598" s="951"/>
      <c r="B4598" s="951"/>
    </row>
    <row r="4599" spans="1:2">
      <c r="A4599" s="951"/>
      <c r="B4599" s="951"/>
    </row>
    <row r="4600" spans="1:2">
      <c r="A4600" s="951"/>
      <c r="B4600" s="951"/>
    </row>
    <row r="4601" spans="1:2">
      <c r="A4601" s="951"/>
      <c r="B4601" s="951"/>
    </row>
    <row r="4602" spans="1:2">
      <c r="A4602" s="951"/>
      <c r="B4602" s="951"/>
    </row>
    <row r="4603" spans="1:2">
      <c r="A4603" s="951"/>
      <c r="B4603" s="951"/>
    </row>
    <row r="4604" spans="1:2">
      <c r="A4604" s="951"/>
      <c r="B4604" s="951"/>
    </row>
    <row r="4605" spans="1:2">
      <c r="A4605" s="951"/>
      <c r="B4605" s="951"/>
    </row>
    <row r="4606" spans="1:2">
      <c r="A4606" s="951"/>
      <c r="B4606" s="951"/>
    </row>
    <row r="4607" spans="1:2">
      <c r="A4607" s="951"/>
      <c r="B4607" s="951"/>
    </row>
    <row r="4608" spans="1:2">
      <c r="A4608" s="951"/>
      <c r="B4608" s="951"/>
    </row>
    <row r="4609" spans="1:2">
      <c r="A4609" s="951"/>
      <c r="B4609" s="951"/>
    </row>
    <row r="4610" spans="1:2">
      <c r="A4610" s="951"/>
      <c r="B4610" s="951"/>
    </row>
    <row r="4611" spans="1:2">
      <c r="A4611" s="951"/>
      <c r="B4611" s="951"/>
    </row>
    <row r="4612" spans="1:2">
      <c r="A4612" s="951"/>
      <c r="B4612" s="951"/>
    </row>
    <row r="4613" spans="1:2">
      <c r="A4613" s="951"/>
      <c r="B4613" s="951"/>
    </row>
    <row r="4614" spans="1:2">
      <c r="A4614" s="951"/>
      <c r="B4614" s="951"/>
    </row>
    <row r="4615" spans="1:2">
      <c r="A4615" s="951"/>
      <c r="B4615" s="951"/>
    </row>
    <row r="4616" spans="1:2">
      <c r="A4616" s="951"/>
      <c r="B4616" s="951"/>
    </row>
    <row r="4617" spans="1:2">
      <c r="A4617" s="951"/>
      <c r="B4617" s="951"/>
    </row>
    <row r="4618" spans="1:2">
      <c r="A4618" s="951"/>
      <c r="B4618" s="951"/>
    </row>
    <row r="4619" spans="1:2">
      <c r="A4619" s="951"/>
      <c r="B4619" s="951"/>
    </row>
    <row r="4620" spans="1:2">
      <c r="A4620" s="951"/>
      <c r="B4620" s="951"/>
    </row>
    <row r="4621" spans="1:2">
      <c r="A4621" s="951"/>
      <c r="B4621" s="951"/>
    </row>
    <row r="4622" spans="1:2">
      <c r="A4622" s="951"/>
      <c r="B4622" s="951"/>
    </row>
    <row r="4623" spans="1:2">
      <c r="A4623" s="951"/>
      <c r="B4623" s="951"/>
    </row>
    <row r="4624" spans="1:2">
      <c r="A4624" s="951"/>
      <c r="B4624" s="951"/>
    </row>
    <row r="4625" spans="1:2">
      <c r="A4625" s="951"/>
      <c r="B4625" s="951"/>
    </row>
    <row r="4626" spans="1:2">
      <c r="A4626" s="951"/>
      <c r="B4626" s="951"/>
    </row>
    <row r="4627" spans="1:2">
      <c r="A4627" s="951"/>
      <c r="B4627" s="951"/>
    </row>
    <row r="4628" spans="1:2">
      <c r="A4628" s="951"/>
      <c r="B4628" s="951"/>
    </row>
    <row r="4629" spans="1:2">
      <c r="A4629" s="951"/>
      <c r="B4629" s="951"/>
    </row>
    <row r="4630" spans="1:2">
      <c r="A4630" s="951"/>
      <c r="B4630" s="951"/>
    </row>
    <row r="4631" spans="1:2">
      <c r="A4631" s="951"/>
      <c r="B4631" s="951"/>
    </row>
    <row r="4632" spans="1:2">
      <c r="A4632" s="951"/>
      <c r="B4632" s="951"/>
    </row>
    <row r="4633" spans="1:2">
      <c r="A4633" s="951"/>
      <c r="B4633" s="951"/>
    </row>
    <row r="4634" spans="1:2">
      <c r="A4634" s="951"/>
      <c r="B4634" s="951"/>
    </row>
    <row r="4635" spans="1:2">
      <c r="A4635" s="951"/>
      <c r="B4635" s="951"/>
    </row>
    <row r="4636" spans="1:2">
      <c r="A4636" s="951"/>
      <c r="B4636" s="951"/>
    </row>
    <row r="4637" spans="1:2">
      <c r="A4637" s="951"/>
      <c r="B4637" s="951"/>
    </row>
    <row r="4638" spans="1:2">
      <c r="A4638" s="951"/>
      <c r="B4638" s="951"/>
    </row>
    <row r="4639" spans="1:2">
      <c r="A4639" s="951"/>
      <c r="B4639" s="951"/>
    </row>
    <row r="4640" spans="1:2">
      <c r="A4640" s="951"/>
      <c r="B4640" s="951"/>
    </row>
    <row r="4641" spans="1:2">
      <c r="A4641" s="951"/>
      <c r="B4641" s="951"/>
    </row>
    <row r="4642" spans="1:2">
      <c r="A4642" s="951"/>
      <c r="B4642" s="951"/>
    </row>
    <row r="4643" spans="1:2">
      <c r="A4643" s="951"/>
      <c r="B4643" s="951"/>
    </row>
    <row r="4644" spans="1:2">
      <c r="A4644" s="951"/>
      <c r="B4644" s="951"/>
    </row>
    <row r="4645" spans="1:2">
      <c r="A4645" s="951"/>
      <c r="B4645" s="951"/>
    </row>
    <row r="4646" spans="1:2">
      <c r="A4646" s="951"/>
      <c r="B4646" s="951"/>
    </row>
    <row r="4647" spans="1:2">
      <c r="A4647" s="951"/>
      <c r="B4647" s="951"/>
    </row>
    <row r="4648" spans="1:2">
      <c r="A4648" s="951"/>
      <c r="B4648" s="951"/>
    </row>
    <row r="4649" spans="1:2">
      <c r="A4649" s="951"/>
      <c r="B4649" s="951"/>
    </row>
    <row r="4650" spans="1:2">
      <c r="A4650" s="951"/>
      <c r="B4650" s="951"/>
    </row>
    <row r="4651" spans="1:2">
      <c r="A4651" s="951"/>
      <c r="B4651" s="951"/>
    </row>
    <row r="4652" spans="1:2">
      <c r="A4652" s="951"/>
      <c r="B4652" s="951"/>
    </row>
    <row r="4653" spans="1:2">
      <c r="A4653" s="951"/>
      <c r="B4653" s="951"/>
    </row>
    <row r="4654" spans="1:2">
      <c r="A4654" s="951"/>
      <c r="B4654" s="951"/>
    </row>
    <row r="4655" spans="1:2">
      <c r="A4655" s="951"/>
      <c r="B4655" s="951"/>
    </row>
    <row r="4656" spans="1:2">
      <c r="A4656" s="951"/>
      <c r="B4656" s="951"/>
    </row>
    <row r="4657" spans="1:2">
      <c r="A4657" s="951"/>
      <c r="B4657" s="951"/>
    </row>
    <row r="4658" spans="1:2">
      <c r="A4658" s="951"/>
      <c r="B4658" s="951"/>
    </row>
    <row r="4659" spans="1:2">
      <c r="A4659" s="951"/>
      <c r="B4659" s="951"/>
    </row>
    <row r="4660" spans="1:2">
      <c r="A4660" s="951"/>
      <c r="B4660" s="951"/>
    </row>
    <row r="4661" spans="1:2">
      <c r="A4661" s="951"/>
      <c r="B4661" s="951"/>
    </row>
    <row r="4662" spans="1:2">
      <c r="A4662" s="951"/>
      <c r="B4662" s="951"/>
    </row>
    <row r="4663" spans="1:2">
      <c r="A4663" s="951"/>
      <c r="B4663" s="951"/>
    </row>
    <row r="4664" spans="1:2">
      <c r="A4664" s="951"/>
      <c r="B4664" s="951"/>
    </row>
    <row r="4665" spans="1:2">
      <c r="A4665" s="951"/>
      <c r="B4665" s="951"/>
    </row>
    <row r="4666" spans="1:2">
      <c r="A4666" s="951"/>
      <c r="B4666" s="951"/>
    </row>
    <row r="4667" spans="1:2">
      <c r="A4667" s="951"/>
      <c r="B4667" s="951"/>
    </row>
    <row r="4668" spans="1:2">
      <c r="A4668" s="951"/>
      <c r="B4668" s="951"/>
    </row>
    <row r="4669" spans="1:2">
      <c r="A4669" s="951"/>
      <c r="B4669" s="951"/>
    </row>
    <row r="4670" spans="1:2">
      <c r="A4670" s="951"/>
      <c r="B4670" s="951"/>
    </row>
    <row r="4671" spans="1:2">
      <c r="A4671" s="951"/>
      <c r="B4671" s="951"/>
    </row>
    <row r="4672" spans="1:2">
      <c r="A4672" s="951"/>
      <c r="B4672" s="951"/>
    </row>
    <row r="4673" spans="1:2">
      <c r="A4673" s="951"/>
      <c r="B4673" s="951"/>
    </row>
    <row r="4674" spans="1:2">
      <c r="A4674" s="951"/>
      <c r="B4674" s="951"/>
    </row>
    <row r="4675" spans="1:2">
      <c r="A4675" s="951"/>
      <c r="B4675" s="951"/>
    </row>
    <row r="4676" spans="1:2">
      <c r="A4676" s="951"/>
      <c r="B4676" s="951"/>
    </row>
    <row r="4677" spans="1:2">
      <c r="A4677" s="951"/>
      <c r="B4677" s="951"/>
    </row>
    <row r="4678" spans="1:2">
      <c r="A4678" s="951"/>
      <c r="B4678" s="951"/>
    </row>
    <row r="4679" spans="1:2">
      <c r="A4679" s="951"/>
      <c r="B4679" s="951"/>
    </row>
    <row r="4680" spans="1:2">
      <c r="A4680" s="951"/>
      <c r="B4680" s="951"/>
    </row>
    <row r="4681" spans="1:2">
      <c r="A4681" s="951"/>
      <c r="B4681" s="951"/>
    </row>
    <row r="4682" spans="1:2">
      <c r="A4682" s="951"/>
      <c r="B4682" s="951"/>
    </row>
    <row r="4683" spans="1:2">
      <c r="A4683" s="951"/>
      <c r="B4683" s="951"/>
    </row>
    <row r="4684" spans="1:2">
      <c r="A4684" s="951"/>
      <c r="B4684" s="951"/>
    </row>
    <row r="4685" spans="1:2">
      <c r="A4685" s="951"/>
      <c r="B4685" s="951"/>
    </row>
    <row r="4686" spans="1:2">
      <c r="A4686" s="951"/>
      <c r="B4686" s="951"/>
    </row>
    <row r="4687" spans="1:2">
      <c r="A4687" s="951"/>
      <c r="B4687" s="951"/>
    </row>
    <row r="4688" spans="1:2">
      <c r="A4688" s="951"/>
      <c r="B4688" s="951"/>
    </row>
    <row r="4689" spans="1:2">
      <c r="A4689" s="951"/>
      <c r="B4689" s="951"/>
    </row>
    <row r="4690" spans="1:2">
      <c r="A4690" s="951"/>
      <c r="B4690" s="951"/>
    </row>
    <row r="4691" spans="1:2">
      <c r="A4691" s="951"/>
      <c r="B4691" s="951"/>
    </row>
    <row r="4692" spans="1:2">
      <c r="A4692" s="951"/>
      <c r="B4692" s="951"/>
    </row>
    <row r="4693" spans="1:2">
      <c r="A4693" s="951"/>
      <c r="B4693" s="951"/>
    </row>
    <row r="4694" spans="1:2">
      <c r="A4694" s="951"/>
      <c r="B4694" s="951"/>
    </row>
    <row r="4695" spans="1:2">
      <c r="A4695" s="951"/>
      <c r="B4695" s="951"/>
    </row>
    <row r="4696" spans="1:2">
      <c r="A4696" s="951"/>
      <c r="B4696" s="951"/>
    </row>
    <row r="4697" spans="1:2">
      <c r="A4697" s="951"/>
      <c r="B4697" s="951"/>
    </row>
    <row r="4698" spans="1:2">
      <c r="A4698" s="951"/>
      <c r="B4698" s="951"/>
    </row>
    <row r="4699" spans="1:2">
      <c r="A4699" s="951"/>
      <c r="B4699" s="951"/>
    </row>
    <row r="4700" spans="1:2">
      <c r="A4700" s="951"/>
      <c r="B4700" s="951"/>
    </row>
    <row r="4701" spans="1:2">
      <c r="A4701" s="951"/>
      <c r="B4701" s="951"/>
    </row>
    <row r="4702" spans="1:2">
      <c r="A4702" s="951"/>
      <c r="B4702" s="951"/>
    </row>
    <row r="4703" spans="1:2">
      <c r="A4703" s="951"/>
      <c r="B4703" s="951"/>
    </row>
    <row r="4704" spans="1:2">
      <c r="A4704" s="951"/>
      <c r="B4704" s="951"/>
    </row>
    <row r="4705" spans="1:2">
      <c r="A4705" s="951"/>
      <c r="B4705" s="951"/>
    </row>
    <row r="4706" spans="1:2">
      <c r="A4706" s="951"/>
      <c r="B4706" s="951"/>
    </row>
    <row r="4707" spans="1:2">
      <c r="A4707" s="951"/>
      <c r="B4707" s="951"/>
    </row>
    <row r="4708" spans="1:2">
      <c r="A4708" s="951"/>
      <c r="B4708" s="951"/>
    </row>
    <row r="4709" spans="1:2">
      <c r="A4709" s="951"/>
      <c r="B4709" s="951"/>
    </row>
    <row r="4710" spans="1:2">
      <c r="A4710" s="951"/>
      <c r="B4710" s="951"/>
    </row>
    <row r="4711" spans="1:2">
      <c r="A4711" s="951"/>
      <c r="B4711" s="951"/>
    </row>
    <row r="4712" spans="1:2">
      <c r="A4712" s="951"/>
      <c r="B4712" s="951"/>
    </row>
    <row r="4713" spans="1:2">
      <c r="A4713" s="951"/>
      <c r="B4713" s="951"/>
    </row>
    <row r="4714" spans="1:2">
      <c r="A4714" s="951"/>
      <c r="B4714" s="951"/>
    </row>
    <row r="4715" spans="1:2">
      <c r="A4715" s="951"/>
      <c r="B4715" s="951"/>
    </row>
    <row r="4716" spans="1:2">
      <c r="A4716" s="951"/>
      <c r="B4716" s="951"/>
    </row>
    <row r="4717" spans="1:2">
      <c r="A4717" s="951"/>
      <c r="B4717" s="951"/>
    </row>
    <row r="4718" spans="1:2">
      <c r="A4718" s="951"/>
      <c r="B4718" s="951"/>
    </row>
    <row r="4719" spans="1:2">
      <c r="A4719" s="951"/>
      <c r="B4719" s="951"/>
    </row>
    <row r="4720" spans="1:2">
      <c r="A4720" s="951"/>
      <c r="B4720" s="951"/>
    </row>
    <row r="4721" spans="1:2">
      <c r="A4721" s="951"/>
      <c r="B4721" s="951"/>
    </row>
    <row r="4722" spans="1:2">
      <c r="A4722" s="951"/>
      <c r="B4722" s="951"/>
    </row>
    <row r="4723" spans="1:2">
      <c r="A4723" s="951"/>
      <c r="B4723" s="951"/>
    </row>
    <row r="4724" spans="1:2">
      <c r="A4724" s="951"/>
      <c r="B4724" s="951"/>
    </row>
    <row r="4725" spans="1:2">
      <c r="A4725" s="951"/>
      <c r="B4725" s="951"/>
    </row>
    <row r="4726" spans="1:2">
      <c r="A4726" s="951"/>
      <c r="B4726" s="951"/>
    </row>
    <row r="4727" spans="1:2">
      <c r="A4727" s="951"/>
      <c r="B4727" s="951"/>
    </row>
    <row r="4728" spans="1:2">
      <c r="A4728" s="951"/>
      <c r="B4728" s="951"/>
    </row>
    <row r="4729" spans="1:2">
      <c r="A4729" s="951"/>
      <c r="B4729" s="951"/>
    </row>
    <row r="4730" spans="1:2">
      <c r="A4730" s="951"/>
      <c r="B4730" s="951"/>
    </row>
    <row r="4731" spans="1:2">
      <c r="A4731" s="951"/>
      <c r="B4731" s="951"/>
    </row>
    <row r="4732" spans="1:2">
      <c r="A4732" s="951"/>
      <c r="B4732" s="951"/>
    </row>
    <row r="4733" spans="1:2">
      <c r="A4733" s="951"/>
      <c r="B4733" s="951"/>
    </row>
    <row r="4734" spans="1:2">
      <c r="A4734" s="951"/>
      <c r="B4734" s="951"/>
    </row>
    <row r="4735" spans="1:2">
      <c r="A4735" s="951"/>
      <c r="B4735" s="951"/>
    </row>
    <row r="4736" spans="1:2">
      <c r="A4736" s="951"/>
      <c r="B4736" s="951"/>
    </row>
    <row r="4737" spans="1:2">
      <c r="A4737" s="951"/>
      <c r="B4737" s="951"/>
    </row>
    <row r="4738" spans="1:2">
      <c r="A4738" s="951"/>
      <c r="B4738" s="951"/>
    </row>
    <row r="4739" spans="1:2">
      <c r="A4739" s="951"/>
      <c r="B4739" s="951"/>
    </row>
    <row r="4740" spans="1:2">
      <c r="A4740" s="951"/>
      <c r="B4740" s="951"/>
    </row>
    <row r="4741" spans="1:2">
      <c r="A4741" s="951"/>
      <c r="B4741" s="951"/>
    </row>
    <row r="4742" spans="1:2">
      <c r="A4742" s="951"/>
      <c r="B4742" s="951"/>
    </row>
    <row r="4743" spans="1:2">
      <c r="A4743" s="951"/>
      <c r="B4743" s="951"/>
    </row>
    <row r="4744" spans="1:2">
      <c r="A4744" s="951"/>
      <c r="B4744" s="951"/>
    </row>
    <row r="4745" spans="1:2">
      <c r="A4745" s="951"/>
      <c r="B4745" s="951"/>
    </row>
    <row r="4746" spans="1:2">
      <c r="A4746" s="951"/>
      <c r="B4746" s="951"/>
    </row>
    <row r="4747" spans="1:2">
      <c r="A4747" s="951"/>
      <c r="B4747" s="951"/>
    </row>
    <row r="4748" spans="1:2">
      <c r="A4748" s="951"/>
      <c r="B4748" s="951"/>
    </row>
    <row r="4749" spans="1:2">
      <c r="A4749" s="951"/>
      <c r="B4749" s="951"/>
    </row>
    <row r="4750" spans="1:2">
      <c r="A4750" s="951"/>
      <c r="B4750" s="951"/>
    </row>
    <row r="4751" spans="1:2">
      <c r="A4751" s="951"/>
      <c r="B4751" s="951"/>
    </row>
    <row r="4752" spans="1:2">
      <c r="A4752" s="951"/>
      <c r="B4752" s="951"/>
    </row>
    <row r="4753" spans="1:2">
      <c r="A4753" s="951"/>
      <c r="B4753" s="951"/>
    </row>
    <row r="4754" spans="1:2">
      <c r="A4754" s="951"/>
      <c r="B4754" s="951"/>
    </row>
    <row r="4755" spans="1:2">
      <c r="A4755" s="951"/>
      <c r="B4755" s="951"/>
    </row>
    <row r="4756" spans="1:2">
      <c r="A4756" s="951"/>
      <c r="B4756" s="951"/>
    </row>
    <row r="4757" spans="1:2">
      <c r="A4757" s="951"/>
      <c r="B4757" s="951"/>
    </row>
    <row r="4758" spans="1:2">
      <c r="A4758" s="951"/>
      <c r="B4758" s="951"/>
    </row>
    <row r="4759" spans="1:2">
      <c r="A4759" s="951"/>
      <c r="B4759" s="951"/>
    </row>
    <row r="4760" spans="1:2">
      <c r="A4760" s="951"/>
      <c r="B4760" s="951"/>
    </row>
    <row r="4761" spans="1:2">
      <c r="A4761" s="951"/>
      <c r="B4761" s="951"/>
    </row>
    <row r="4762" spans="1:2">
      <c r="A4762" s="951"/>
      <c r="B4762" s="951"/>
    </row>
    <row r="4763" spans="1:2">
      <c r="A4763" s="951"/>
      <c r="B4763" s="951"/>
    </row>
    <row r="4764" spans="1:2">
      <c r="A4764" s="951"/>
      <c r="B4764" s="951"/>
    </row>
    <row r="4765" spans="1:2">
      <c r="A4765" s="951"/>
      <c r="B4765" s="951"/>
    </row>
    <row r="4766" spans="1:2">
      <c r="A4766" s="951"/>
      <c r="B4766" s="951"/>
    </row>
    <row r="4767" spans="1:2">
      <c r="A4767" s="951"/>
      <c r="B4767" s="951"/>
    </row>
    <row r="4768" spans="1:2">
      <c r="A4768" s="951"/>
      <c r="B4768" s="951"/>
    </row>
    <row r="4769" spans="1:2">
      <c r="A4769" s="951"/>
      <c r="B4769" s="951"/>
    </row>
    <row r="4770" spans="1:2">
      <c r="A4770" s="951"/>
      <c r="B4770" s="951"/>
    </row>
    <row r="4771" spans="1:2">
      <c r="A4771" s="951"/>
      <c r="B4771" s="951"/>
    </row>
    <row r="4772" spans="1:2">
      <c r="A4772" s="951"/>
      <c r="B4772" s="951"/>
    </row>
    <row r="4773" spans="1:2">
      <c r="A4773" s="951"/>
      <c r="B4773" s="951"/>
    </row>
    <row r="4774" spans="1:2">
      <c r="A4774" s="951"/>
      <c r="B4774" s="951"/>
    </row>
    <row r="4775" spans="1:2">
      <c r="A4775" s="951"/>
      <c r="B4775" s="951"/>
    </row>
    <row r="4776" spans="1:2">
      <c r="A4776" s="951"/>
      <c r="B4776" s="951"/>
    </row>
    <row r="4777" spans="1:2">
      <c r="A4777" s="951"/>
      <c r="B4777" s="951"/>
    </row>
    <row r="4778" spans="1:2">
      <c r="A4778" s="951"/>
      <c r="B4778" s="951"/>
    </row>
    <row r="4779" spans="1:2">
      <c r="A4779" s="951"/>
      <c r="B4779" s="951"/>
    </row>
    <row r="4780" spans="1:2">
      <c r="A4780" s="951"/>
      <c r="B4780" s="951"/>
    </row>
    <row r="4781" spans="1:2">
      <c r="A4781" s="951"/>
      <c r="B4781" s="951"/>
    </row>
    <row r="4782" spans="1:2">
      <c r="A4782" s="951"/>
      <c r="B4782" s="951"/>
    </row>
    <row r="4783" spans="1:2">
      <c r="A4783" s="951"/>
      <c r="B4783" s="951"/>
    </row>
    <row r="4784" spans="1:2">
      <c r="A4784" s="951"/>
      <c r="B4784" s="951"/>
    </row>
    <row r="4785" spans="1:2">
      <c r="A4785" s="951"/>
      <c r="B4785" s="951"/>
    </row>
    <row r="4786" spans="1:2">
      <c r="A4786" s="951"/>
      <c r="B4786" s="951"/>
    </row>
    <row r="4787" spans="1:2">
      <c r="A4787" s="951"/>
      <c r="B4787" s="951"/>
    </row>
    <row r="4788" spans="1:2">
      <c r="A4788" s="951"/>
      <c r="B4788" s="951"/>
    </row>
    <row r="4789" spans="1:2">
      <c r="A4789" s="951"/>
      <c r="B4789" s="951"/>
    </row>
    <row r="4790" spans="1:2">
      <c r="A4790" s="951"/>
      <c r="B4790" s="951"/>
    </row>
    <row r="4791" spans="1:2">
      <c r="A4791" s="951"/>
      <c r="B4791" s="951"/>
    </row>
    <row r="4792" spans="1:2">
      <c r="A4792" s="951"/>
      <c r="B4792" s="951"/>
    </row>
    <row r="4793" spans="1:2">
      <c r="A4793" s="951"/>
      <c r="B4793" s="951"/>
    </row>
    <row r="4794" spans="1:2">
      <c r="A4794" s="951"/>
      <c r="B4794" s="951"/>
    </row>
    <row r="4795" spans="1:2">
      <c r="A4795" s="951"/>
      <c r="B4795" s="951"/>
    </row>
    <row r="4796" spans="1:2">
      <c r="A4796" s="951"/>
      <c r="B4796" s="951"/>
    </row>
    <row r="4797" spans="1:2">
      <c r="A4797" s="951"/>
      <c r="B4797" s="951"/>
    </row>
    <row r="4798" spans="1:2">
      <c r="A4798" s="951"/>
      <c r="B4798" s="951"/>
    </row>
    <row r="4799" spans="1:2">
      <c r="A4799" s="951"/>
      <c r="B4799" s="951"/>
    </row>
    <row r="4800" spans="1:2">
      <c r="A4800" s="951"/>
      <c r="B4800" s="951"/>
    </row>
    <row r="4801" spans="1:2">
      <c r="A4801" s="951"/>
      <c r="B4801" s="951"/>
    </row>
    <row r="4802" spans="1:2">
      <c r="A4802" s="951"/>
      <c r="B4802" s="951"/>
    </row>
    <row r="4803" spans="1:2">
      <c r="A4803" s="951"/>
      <c r="B4803" s="951"/>
    </row>
    <row r="4804" spans="1:2">
      <c r="A4804" s="951"/>
      <c r="B4804" s="951"/>
    </row>
    <row r="4805" spans="1:2">
      <c r="A4805" s="951"/>
      <c r="B4805" s="951"/>
    </row>
    <row r="4806" spans="1:2">
      <c r="A4806" s="951"/>
      <c r="B4806" s="951"/>
    </row>
    <row r="4807" spans="1:2">
      <c r="A4807" s="951"/>
      <c r="B4807" s="951"/>
    </row>
    <row r="4808" spans="1:2">
      <c r="A4808" s="951"/>
      <c r="B4808" s="951"/>
    </row>
    <row r="4809" spans="1:2">
      <c r="A4809" s="951"/>
      <c r="B4809" s="951"/>
    </row>
    <row r="4810" spans="1:2">
      <c r="A4810" s="951"/>
      <c r="B4810" s="951"/>
    </row>
    <row r="4811" spans="1:2">
      <c r="A4811" s="951"/>
      <c r="B4811" s="951"/>
    </row>
    <row r="4812" spans="1:2">
      <c r="A4812" s="951"/>
      <c r="B4812" s="951"/>
    </row>
    <row r="4813" spans="1:2">
      <c r="A4813" s="951"/>
      <c r="B4813" s="951"/>
    </row>
    <row r="4814" spans="1:2">
      <c r="A4814" s="951"/>
      <c r="B4814" s="951"/>
    </row>
    <row r="4815" spans="1:2">
      <c r="A4815" s="951"/>
      <c r="B4815" s="951"/>
    </row>
    <row r="4816" spans="1:2">
      <c r="A4816" s="951"/>
      <c r="B4816" s="951"/>
    </row>
    <row r="4817" spans="1:2">
      <c r="A4817" s="951"/>
      <c r="B4817" s="951"/>
    </row>
    <row r="4818" spans="1:2">
      <c r="A4818" s="951"/>
      <c r="B4818" s="951"/>
    </row>
    <row r="4819" spans="1:2">
      <c r="A4819" s="951"/>
      <c r="B4819" s="951"/>
    </row>
    <row r="4820" spans="1:2">
      <c r="A4820" s="951"/>
      <c r="B4820" s="951"/>
    </row>
    <row r="4821" spans="1:2">
      <c r="A4821" s="951"/>
      <c r="B4821" s="951"/>
    </row>
    <row r="4822" spans="1:2">
      <c r="A4822" s="951"/>
      <c r="B4822" s="951"/>
    </row>
    <row r="4823" spans="1:2">
      <c r="A4823" s="951"/>
      <c r="B4823" s="951"/>
    </row>
    <row r="4824" spans="1:2">
      <c r="A4824" s="951"/>
      <c r="B4824" s="951"/>
    </row>
    <row r="4825" spans="1:2">
      <c r="A4825" s="951"/>
      <c r="B4825" s="951"/>
    </row>
    <row r="4826" spans="1:2">
      <c r="A4826" s="951"/>
      <c r="B4826" s="951"/>
    </row>
    <row r="4827" spans="1:2">
      <c r="A4827" s="951"/>
      <c r="B4827" s="951"/>
    </row>
    <row r="4828" spans="1:2">
      <c r="A4828" s="951"/>
      <c r="B4828" s="951"/>
    </row>
    <row r="4829" spans="1:2">
      <c r="A4829" s="951"/>
      <c r="B4829" s="951"/>
    </row>
    <row r="4830" spans="1:2">
      <c r="A4830" s="951"/>
      <c r="B4830" s="951"/>
    </row>
    <row r="4831" spans="1:2">
      <c r="A4831" s="951"/>
      <c r="B4831" s="951"/>
    </row>
    <row r="4832" spans="1:2">
      <c r="A4832" s="951"/>
      <c r="B4832" s="951"/>
    </row>
    <row r="4833" spans="1:2">
      <c r="A4833" s="951"/>
      <c r="B4833" s="951"/>
    </row>
    <row r="4834" spans="1:2">
      <c r="A4834" s="951"/>
      <c r="B4834" s="951"/>
    </row>
    <row r="4835" spans="1:2">
      <c r="A4835" s="951"/>
      <c r="B4835" s="951"/>
    </row>
    <row r="4836" spans="1:2">
      <c r="A4836" s="951"/>
      <c r="B4836" s="951"/>
    </row>
    <row r="4837" spans="1:2">
      <c r="A4837" s="951"/>
      <c r="B4837" s="951"/>
    </row>
    <row r="4838" spans="1:2">
      <c r="A4838" s="951"/>
      <c r="B4838" s="951"/>
    </row>
    <row r="4839" spans="1:2">
      <c r="A4839" s="951"/>
      <c r="B4839" s="951"/>
    </row>
    <row r="4840" spans="1:2">
      <c r="A4840" s="951"/>
      <c r="B4840" s="951"/>
    </row>
    <row r="4841" spans="1:2">
      <c r="A4841" s="951"/>
      <c r="B4841" s="951"/>
    </row>
    <row r="4842" spans="1:2">
      <c r="A4842" s="951"/>
      <c r="B4842" s="951"/>
    </row>
    <row r="4843" spans="1:2">
      <c r="A4843" s="951"/>
      <c r="B4843" s="951"/>
    </row>
    <row r="4844" spans="1:2">
      <c r="A4844" s="951"/>
      <c r="B4844" s="951"/>
    </row>
    <row r="4845" spans="1:2">
      <c r="A4845" s="951"/>
      <c r="B4845" s="951"/>
    </row>
    <row r="4846" spans="1:2">
      <c r="A4846" s="951"/>
      <c r="B4846" s="951"/>
    </row>
    <row r="4847" spans="1:2">
      <c r="A4847" s="951"/>
      <c r="B4847" s="951"/>
    </row>
    <row r="4848" spans="1:2">
      <c r="A4848" s="951"/>
      <c r="B4848" s="951"/>
    </row>
    <row r="4849" spans="1:2">
      <c r="A4849" s="951"/>
      <c r="B4849" s="951"/>
    </row>
    <row r="4850" spans="1:2">
      <c r="A4850" s="951"/>
      <c r="B4850" s="951"/>
    </row>
    <row r="4851" spans="1:2">
      <c r="A4851" s="951"/>
      <c r="B4851" s="951"/>
    </row>
    <row r="4852" spans="1:2">
      <c r="A4852" s="951"/>
      <c r="B4852" s="951"/>
    </row>
    <row r="4853" spans="1:2">
      <c r="A4853" s="951"/>
      <c r="B4853" s="951"/>
    </row>
    <row r="4854" spans="1:2">
      <c r="A4854" s="951"/>
      <c r="B4854" s="951"/>
    </row>
    <row r="4855" spans="1:2">
      <c r="A4855" s="951"/>
      <c r="B4855" s="951"/>
    </row>
    <row r="4856" spans="1:2">
      <c r="A4856" s="951"/>
      <c r="B4856" s="951"/>
    </row>
    <row r="4857" spans="1:2">
      <c r="A4857" s="951"/>
      <c r="B4857" s="951"/>
    </row>
    <row r="4858" spans="1:2">
      <c r="A4858" s="951"/>
      <c r="B4858" s="951"/>
    </row>
    <row r="4859" spans="1:2">
      <c r="A4859" s="951"/>
      <c r="B4859" s="951"/>
    </row>
    <row r="4860" spans="1:2">
      <c r="A4860" s="951"/>
      <c r="B4860" s="951"/>
    </row>
    <row r="4861" spans="1:2">
      <c r="A4861" s="951"/>
      <c r="B4861" s="951"/>
    </row>
    <row r="4862" spans="1:2">
      <c r="A4862" s="951"/>
      <c r="B4862" s="951"/>
    </row>
    <row r="4863" spans="1:2">
      <c r="A4863" s="951"/>
      <c r="B4863" s="951"/>
    </row>
    <row r="4864" spans="1:2">
      <c r="A4864" s="951"/>
      <c r="B4864" s="951"/>
    </row>
    <row r="4865" spans="1:2">
      <c r="A4865" s="951"/>
      <c r="B4865" s="951"/>
    </row>
    <row r="4866" spans="1:2">
      <c r="A4866" s="951"/>
      <c r="B4866" s="951"/>
    </row>
    <row r="4867" spans="1:2">
      <c r="A4867" s="951"/>
      <c r="B4867" s="951"/>
    </row>
    <row r="4868" spans="1:2">
      <c r="A4868" s="951"/>
      <c r="B4868" s="951"/>
    </row>
    <row r="4869" spans="1:2">
      <c r="A4869" s="951"/>
      <c r="B4869" s="951"/>
    </row>
    <row r="4870" spans="1:2">
      <c r="A4870" s="951"/>
      <c r="B4870" s="951"/>
    </row>
    <row r="4871" spans="1:2">
      <c r="A4871" s="951"/>
      <c r="B4871" s="951"/>
    </row>
    <row r="4872" spans="1:2">
      <c r="A4872" s="951"/>
      <c r="B4872" s="951"/>
    </row>
    <row r="4873" spans="1:2">
      <c r="A4873" s="951"/>
      <c r="B4873" s="951"/>
    </row>
    <row r="4874" spans="1:2">
      <c r="A4874" s="951"/>
      <c r="B4874" s="951"/>
    </row>
    <row r="4875" spans="1:2">
      <c r="A4875" s="951"/>
      <c r="B4875" s="951"/>
    </row>
    <row r="4876" spans="1:2">
      <c r="A4876" s="951"/>
      <c r="B4876" s="951"/>
    </row>
    <row r="4877" spans="1:2">
      <c r="A4877" s="951"/>
      <c r="B4877" s="951"/>
    </row>
    <row r="4878" spans="1:2">
      <c r="A4878" s="951"/>
      <c r="B4878" s="951"/>
    </row>
    <row r="4879" spans="1:2">
      <c r="A4879" s="951"/>
      <c r="B4879" s="951"/>
    </row>
    <row r="4880" spans="1:2">
      <c r="A4880" s="951"/>
      <c r="B4880" s="951"/>
    </row>
    <row r="4881" spans="1:2">
      <c r="A4881" s="951"/>
      <c r="B4881" s="951"/>
    </row>
    <row r="4882" spans="1:2">
      <c r="A4882" s="951"/>
      <c r="B4882" s="951"/>
    </row>
    <row r="4883" spans="1:2">
      <c r="A4883" s="951"/>
      <c r="B4883" s="951"/>
    </row>
    <row r="4884" spans="1:2">
      <c r="A4884" s="951"/>
      <c r="B4884" s="951"/>
    </row>
    <row r="4885" spans="1:2">
      <c r="A4885" s="951"/>
      <c r="B4885" s="951"/>
    </row>
    <row r="4886" spans="1:2">
      <c r="A4886" s="951"/>
      <c r="B4886" s="951"/>
    </row>
    <row r="4887" spans="1:2">
      <c r="A4887" s="951"/>
      <c r="B4887" s="951"/>
    </row>
    <row r="4888" spans="1:2">
      <c r="A4888" s="951"/>
      <c r="B4888" s="951"/>
    </row>
    <row r="4889" spans="1:2">
      <c r="A4889" s="951"/>
      <c r="B4889" s="951"/>
    </row>
    <row r="4890" spans="1:2">
      <c r="A4890" s="951"/>
      <c r="B4890" s="951"/>
    </row>
    <row r="4891" spans="1:2">
      <c r="A4891" s="951"/>
      <c r="B4891" s="951"/>
    </row>
    <row r="4892" spans="1:2">
      <c r="A4892" s="951"/>
      <c r="B4892" s="951"/>
    </row>
    <row r="4893" spans="1:2">
      <c r="A4893" s="951"/>
      <c r="B4893" s="951"/>
    </row>
    <row r="4894" spans="1:2">
      <c r="A4894" s="951"/>
      <c r="B4894" s="951"/>
    </row>
    <row r="4895" spans="1:2">
      <c r="A4895" s="951"/>
      <c r="B4895" s="951"/>
    </row>
    <row r="4896" spans="1:2">
      <c r="A4896" s="951"/>
      <c r="B4896" s="951"/>
    </row>
    <row r="4897" spans="1:2">
      <c r="A4897" s="951"/>
      <c r="B4897" s="951"/>
    </row>
    <row r="4898" spans="1:2">
      <c r="A4898" s="951"/>
      <c r="B4898" s="951"/>
    </row>
    <row r="4899" spans="1:2">
      <c r="A4899" s="951"/>
      <c r="B4899" s="951"/>
    </row>
    <row r="4900" spans="1:2">
      <c r="A4900" s="951"/>
      <c r="B4900" s="951"/>
    </row>
    <row r="4901" spans="1:2">
      <c r="A4901" s="951"/>
      <c r="B4901" s="951"/>
    </row>
    <row r="4902" spans="1:2">
      <c r="A4902" s="951"/>
      <c r="B4902" s="951"/>
    </row>
    <row r="4903" spans="1:2">
      <c r="A4903" s="951"/>
      <c r="B4903" s="951"/>
    </row>
    <row r="4904" spans="1:2">
      <c r="A4904" s="951"/>
      <c r="B4904" s="951"/>
    </row>
    <row r="4905" spans="1:2">
      <c r="A4905" s="951"/>
      <c r="B4905" s="951"/>
    </row>
    <row r="4906" spans="1:2">
      <c r="A4906" s="951"/>
      <c r="B4906" s="951"/>
    </row>
    <row r="4907" spans="1:2">
      <c r="A4907" s="951"/>
      <c r="B4907" s="951"/>
    </row>
    <row r="4908" spans="1:2">
      <c r="A4908" s="951"/>
      <c r="B4908" s="951"/>
    </row>
    <row r="4909" spans="1:2">
      <c r="A4909" s="951"/>
      <c r="B4909" s="951"/>
    </row>
    <row r="4910" spans="1:2">
      <c r="A4910" s="951"/>
      <c r="B4910" s="951"/>
    </row>
    <row r="4911" spans="1:2">
      <c r="A4911" s="951"/>
      <c r="B4911" s="951"/>
    </row>
    <row r="4912" spans="1:2">
      <c r="A4912" s="951"/>
      <c r="B4912" s="951"/>
    </row>
    <row r="4913" spans="1:2">
      <c r="A4913" s="951"/>
      <c r="B4913" s="951"/>
    </row>
    <row r="4914" spans="1:2">
      <c r="A4914" s="951"/>
      <c r="B4914" s="951"/>
    </row>
    <row r="4915" spans="1:2">
      <c r="A4915" s="951"/>
      <c r="B4915" s="951"/>
    </row>
    <row r="4916" spans="1:2">
      <c r="A4916" s="951"/>
      <c r="B4916" s="951"/>
    </row>
    <row r="4917" spans="1:2">
      <c r="A4917" s="951"/>
      <c r="B4917" s="951"/>
    </row>
    <row r="4918" spans="1:2">
      <c r="A4918" s="951"/>
      <c r="B4918" s="951"/>
    </row>
    <row r="4919" spans="1:2">
      <c r="A4919" s="951"/>
      <c r="B4919" s="951"/>
    </row>
    <row r="4920" spans="1:2">
      <c r="A4920" s="951"/>
      <c r="B4920" s="951"/>
    </row>
    <row r="4921" spans="1:2">
      <c r="A4921" s="951"/>
      <c r="B4921" s="951"/>
    </row>
    <row r="4922" spans="1:2">
      <c r="A4922" s="951"/>
      <c r="B4922" s="951"/>
    </row>
    <row r="4923" spans="1:2">
      <c r="A4923" s="951"/>
      <c r="B4923" s="951"/>
    </row>
    <row r="4924" spans="1:2">
      <c r="A4924" s="951"/>
      <c r="B4924" s="951"/>
    </row>
    <row r="4925" spans="1:2">
      <c r="A4925" s="951"/>
      <c r="B4925" s="951"/>
    </row>
    <row r="4926" spans="1:2">
      <c r="A4926" s="951"/>
      <c r="B4926" s="951"/>
    </row>
    <row r="4927" spans="1:2">
      <c r="A4927" s="951"/>
      <c r="B4927" s="951"/>
    </row>
    <row r="4928" spans="1:2">
      <c r="A4928" s="951"/>
      <c r="B4928" s="951"/>
    </row>
    <row r="4929" spans="1:2">
      <c r="A4929" s="951"/>
      <c r="B4929" s="951"/>
    </row>
    <row r="4930" spans="1:2">
      <c r="A4930" s="951"/>
      <c r="B4930" s="951"/>
    </row>
    <row r="4931" spans="1:2">
      <c r="A4931" s="951"/>
      <c r="B4931" s="951"/>
    </row>
    <row r="4932" spans="1:2">
      <c r="A4932" s="951"/>
      <c r="B4932" s="951"/>
    </row>
    <row r="4933" spans="1:2">
      <c r="A4933" s="951"/>
      <c r="B4933" s="951"/>
    </row>
    <row r="4934" spans="1:2">
      <c r="A4934" s="951"/>
      <c r="B4934" s="951"/>
    </row>
    <row r="4935" spans="1:2">
      <c r="A4935" s="951"/>
      <c r="B4935" s="951"/>
    </row>
    <row r="4936" spans="1:2">
      <c r="A4936" s="951"/>
      <c r="B4936" s="951"/>
    </row>
    <row r="4937" spans="1:2">
      <c r="A4937" s="951"/>
      <c r="B4937" s="951"/>
    </row>
    <row r="4938" spans="1:2">
      <c r="A4938" s="951"/>
      <c r="B4938" s="951"/>
    </row>
    <row r="4939" spans="1:2">
      <c r="A4939" s="951"/>
      <c r="B4939" s="951"/>
    </row>
    <row r="4940" spans="1:2">
      <c r="A4940" s="951"/>
      <c r="B4940" s="951"/>
    </row>
    <row r="4941" spans="1:2">
      <c r="A4941" s="951"/>
      <c r="B4941" s="951"/>
    </row>
    <row r="4942" spans="1:2">
      <c r="A4942" s="951"/>
      <c r="B4942" s="951"/>
    </row>
    <row r="4943" spans="1:2">
      <c r="A4943" s="951"/>
      <c r="B4943" s="951"/>
    </row>
    <row r="4944" spans="1:2">
      <c r="A4944" s="951"/>
      <c r="B4944" s="951"/>
    </row>
    <row r="4945" spans="1:2">
      <c r="A4945" s="951"/>
      <c r="B4945" s="951"/>
    </row>
    <row r="4946" spans="1:2">
      <c r="A4946" s="951"/>
      <c r="B4946" s="951"/>
    </row>
    <row r="4947" spans="1:2">
      <c r="A4947" s="951"/>
      <c r="B4947" s="951"/>
    </row>
    <row r="4948" spans="1:2">
      <c r="A4948" s="951"/>
      <c r="B4948" s="951"/>
    </row>
    <row r="4949" spans="1:2">
      <c r="A4949" s="951"/>
      <c r="B4949" s="951"/>
    </row>
    <row r="4950" spans="1:2">
      <c r="A4950" s="951"/>
      <c r="B4950" s="951"/>
    </row>
    <row r="4951" spans="1:2">
      <c r="A4951" s="951"/>
      <c r="B4951" s="951"/>
    </row>
    <row r="4952" spans="1:2">
      <c r="A4952" s="951"/>
      <c r="B4952" s="951"/>
    </row>
    <row r="4953" spans="1:2">
      <c r="A4953" s="951"/>
      <c r="B4953" s="951"/>
    </row>
    <row r="4954" spans="1:2">
      <c r="A4954" s="951"/>
      <c r="B4954" s="951"/>
    </row>
    <row r="4955" spans="1:2">
      <c r="A4955" s="951"/>
      <c r="B4955" s="951"/>
    </row>
    <row r="4956" spans="1:2">
      <c r="A4956" s="951"/>
      <c r="B4956" s="951"/>
    </row>
    <row r="4957" spans="1:2">
      <c r="A4957" s="951"/>
      <c r="B4957" s="951"/>
    </row>
    <row r="4958" spans="1:2">
      <c r="A4958" s="951"/>
      <c r="B4958" s="951"/>
    </row>
    <row r="4959" spans="1:2">
      <c r="A4959" s="951"/>
      <c r="B4959" s="951"/>
    </row>
    <row r="4960" spans="1:2">
      <c r="A4960" s="951"/>
      <c r="B4960" s="951"/>
    </row>
    <row r="4961" spans="1:2">
      <c r="A4961" s="951"/>
      <c r="B4961" s="951"/>
    </row>
    <row r="4962" spans="1:2">
      <c r="A4962" s="951"/>
      <c r="B4962" s="951"/>
    </row>
    <row r="4963" spans="1:2">
      <c r="A4963" s="951"/>
      <c r="B4963" s="951"/>
    </row>
    <row r="4964" spans="1:2">
      <c r="A4964" s="951"/>
      <c r="B4964" s="951"/>
    </row>
    <row r="4965" spans="1:2">
      <c r="A4965" s="951"/>
      <c r="B4965" s="951"/>
    </row>
    <row r="4966" spans="1:2">
      <c r="A4966" s="951"/>
      <c r="B4966" s="951"/>
    </row>
    <row r="4967" spans="1:2">
      <c r="A4967" s="951"/>
      <c r="B4967" s="951"/>
    </row>
    <row r="4968" spans="1:2">
      <c r="A4968" s="951"/>
      <c r="B4968" s="951"/>
    </row>
    <row r="4969" spans="1:2">
      <c r="A4969" s="951"/>
      <c r="B4969" s="951"/>
    </row>
    <row r="4970" spans="1:2">
      <c r="A4970" s="951"/>
      <c r="B4970" s="951"/>
    </row>
    <row r="4971" spans="1:2">
      <c r="A4971" s="951"/>
      <c r="B4971" s="951"/>
    </row>
    <row r="4972" spans="1:2">
      <c r="A4972" s="951"/>
      <c r="B4972" s="951"/>
    </row>
    <row r="4973" spans="1:2">
      <c r="A4973" s="951"/>
      <c r="B4973" s="951"/>
    </row>
    <row r="4974" spans="1:2">
      <c r="A4974" s="951"/>
      <c r="B4974" s="951"/>
    </row>
    <row r="4975" spans="1:2">
      <c r="A4975" s="951"/>
      <c r="B4975" s="951"/>
    </row>
    <row r="4976" spans="1:2">
      <c r="A4976" s="951"/>
      <c r="B4976" s="951"/>
    </row>
    <row r="4977" spans="1:2">
      <c r="A4977" s="951"/>
      <c r="B4977" s="951"/>
    </row>
    <row r="4978" spans="1:2">
      <c r="A4978" s="951"/>
      <c r="B4978" s="951"/>
    </row>
    <row r="4979" spans="1:2">
      <c r="A4979" s="951"/>
      <c r="B4979" s="951"/>
    </row>
    <row r="4980" spans="1:2">
      <c r="A4980" s="951"/>
      <c r="B4980" s="951"/>
    </row>
    <row r="4981" spans="1:2">
      <c r="A4981" s="951"/>
      <c r="B4981" s="951"/>
    </row>
    <row r="4982" spans="1:2">
      <c r="A4982" s="951"/>
      <c r="B4982" s="951"/>
    </row>
    <row r="4983" spans="1:2">
      <c r="A4983" s="951"/>
      <c r="B4983" s="951"/>
    </row>
    <row r="4984" spans="1:2">
      <c r="A4984" s="951"/>
      <c r="B4984" s="951"/>
    </row>
    <row r="4985" spans="1:2">
      <c r="A4985" s="951"/>
      <c r="B4985" s="951"/>
    </row>
    <row r="4986" spans="1:2">
      <c r="A4986" s="951"/>
      <c r="B4986" s="951"/>
    </row>
    <row r="4987" spans="1:2">
      <c r="A4987" s="951"/>
      <c r="B4987" s="951"/>
    </row>
    <row r="4988" spans="1:2">
      <c r="A4988" s="951"/>
      <c r="B4988" s="951"/>
    </row>
    <row r="4989" spans="1:2">
      <c r="A4989" s="951"/>
      <c r="B4989" s="951"/>
    </row>
    <row r="4990" spans="1:2">
      <c r="A4990" s="951"/>
      <c r="B4990" s="951"/>
    </row>
    <row r="4991" spans="1:2">
      <c r="A4991" s="951"/>
      <c r="B4991" s="951"/>
    </row>
    <row r="4992" spans="1:2">
      <c r="A4992" s="951"/>
      <c r="B4992" s="951"/>
    </row>
    <row r="4993" spans="1:2">
      <c r="A4993" s="951"/>
      <c r="B4993" s="951"/>
    </row>
    <row r="4994" spans="1:2">
      <c r="A4994" s="951"/>
      <c r="B4994" s="951"/>
    </row>
    <row r="4995" spans="1:2">
      <c r="A4995" s="951"/>
      <c r="B4995" s="951"/>
    </row>
    <row r="4996" spans="1:2">
      <c r="A4996" s="951"/>
      <c r="B4996" s="951"/>
    </row>
    <row r="4997" spans="1:2">
      <c r="A4997" s="951"/>
      <c r="B4997" s="951"/>
    </row>
    <row r="4998" spans="1:2">
      <c r="A4998" s="951"/>
      <c r="B4998" s="951"/>
    </row>
    <row r="4999" spans="1:2">
      <c r="A4999" s="951"/>
      <c r="B4999" s="951"/>
    </row>
    <row r="5000" spans="1:2">
      <c r="A5000" s="951"/>
      <c r="B5000" s="951"/>
    </row>
    <row r="5001" spans="1:2">
      <c r="A5001" s="951"/>
      <c r="B5001" s="951"/>
    </row>
    <row r="5002" spans="1:2">
      <c r="A5002" s="951"/>
      <c r="B5002" s="951"/>
    </row>
    <row r="5003" spans="1:2">
      <c r="A5003" s="951"/>
      <c r="B5003" s="951"/>
    </row>
    <row r="5004" spans="1:2">
      <c r="A5004" s="951"/>
      <c r="B5004" s="951"/>
    </row>
    <row r="5005" spans="1:2">
      <c r="A5005" s="951"/>
      <c r="B5005" s="951"/>
    </row>
    <row r="5006" spans="1:2">
      <c r="A5006" s="951"/>
      <c r="B5006" s="951"/>
    </row>
    <row r="5007" spans="1:2">
      <c r="A5007" s="951"/>
      <c r="B5007" s="951"/>
    </row>
    <row r="5008" spans="1:2">
      <c r="A5008" s="951"/>
      <c r="B5008" s="951"/>
    </row>
    <row r="5009" spans="1:2">
      <c r="A5009" s="951"/>
      <c r="B5009" s="951"/>
    </row>
    <row r="5010" spans="1:2">
      <c r="A5010" s="951"/>
      <c r="B5010" s="951"/>
    </row>
    <row r="5011" spans="1:2">
      <c r="A5011" s="951"/>
      <c r="B5011" s="951"/>
    </row>
    <row r="5012" spans="1:2">
      <c r="A5012" s="951"/>
      <c r="B5012" s="951"/>
    </row>
    <row r="5013" spans="1:2">
      <c r="A5013" s="951"/>
      <c r="B5013" s="951"/>
    </row>
    <row r="5014" spans="1:2">
      <c r="A5014" s="951"/>
      <c r="B5014" s="951"/>
    </row>
    <row r="5015" spans="1:2">
      <c r="A5015" s="951"/>
      <c r="B5015" s="951"/>
    </row>
    <row r="5016" spans="1:2">
      <c r="A5016" s="951"/>
      <c r="B5016" s="951"/>
    </row>
    <row r="5017" spans="1:2">
      <c r="A5017" s="951"/>
      <c r="B5017" s="951"/>
    </row>
    <row r="5018" spans="1:2">
      <c r="A5018" s="951"/>
      <c r="B5018" s="951"/>
    </row>
    <row r="5019" spans="1:2">
      <c r="A5019" s="951"/>
      <c r="B5019" s="951"/>
    </row>
    <row r="5020" spans="1:2">
      <c r="A5020" s="951"/>
      <c r="B5020" s="951"/>
    </row>
    <row r="5021" spans="1:2">
      <c r="A5021" s="951"/>
      <c r="B5021" s="951"/>
    </row>
    <row r="5022" spans="1:2">
      <c r="A5022" s="951"/>
      <c r="B5022" s="951"/>
    </row>
    <row r="5023" spans="1:2">
      <c r="A5023" s="951"/>
      <c r="B5023" s="951"/>
    </row>
    <row r="5024" spans="1:2">
      <c r="A5024" s="951"/>
      <c r="B5024" s="951"/>
    </row>
    <row r="5025" spans="1:2">
      <c r="A5025" s="951"/>
      <c r="B5025" s="951"/>
    </row>
    <row r="5026" spans="1:2">
      <c r="A5026" s="951"/>
      <c r="B5026" s="951"/>
    </row>
    <row r="5027" spans="1:2">
      <c r="A5027" s="951"/>
      <c r="B5027" s="951"/>
    </row>
    <row r="5028" spans="1:2">
      <c r="A5028" s="951"/>
      <c r="B5028" s="951"/>
    </row>
    <row r="5029" spans="1:2">
      <c r="A5029" s="951"/>
      <c r="B5029" s="951"/>
    </row>
    <row r="5030" spans="1:2">
      <c r="A5030" s="951"/>
      <c r="B5030" s="951"/>
    </row>
    <row r="5031" spans="1:2">
      <c r="A5031" s="951"/>
      <c r="B5031" s="951"/>
    </row>
    <row r="5032" spans="1:2">
      <c r="A5032" s="951"/>
      <c r="B5032" s="951"/>
    </row>
    <row r="5033" spans="1:2">
      <c r="A5033" s="951"/>
      <c r="B5033" s="951"/>
    </row>
    <row r="5034" spans="1:2">
      <c r="A5034" s="951"/>
      <c r="B5034" s="951"/>
    </row>
    <row r="5035" spans="1:2">
      <c r="A5035" s="951"/>
      <c r="B5035" s="951"/>
    </row>
    <row r="5036" spans="1:2">
      <c r="A5036" s="951"/>
      <c r="B5036" s="951"/>
    </row>
    <row r="5037" spans="1:2">
      <c r="A5037" s="951"/>
      <c r="B5037" s="951"/>
    </row>
    <row r="5038" spans="1:2">
      <c r="A5038" s="951"/>
      <c r="B5038" s="951"/>
    </row>
    <row r="5039" spans="1:2">
      <c r="A5039" s="951"/>
      <c r="B5039" s="951"/>
    </row>
    <row r="5040" spans="1:2">
      <c r="A5040" s="951"/>
      <c r="B5040" s="951"/>
    </row>
    <row r="5041" spans="1:2">
      <c r="A5041" s="951"/>
      <c r="B5041" s="951"/>
    </row>
    <row r="5042" spans="1:2">
      <c r="A5042" s="951"/>
      <c r="B5042" s="951"/>
    </row>
    <row r="5043" spans="1:2">
      <c r="A5043" s="951"/>
      <c r="B5043" s="951"/>
    </row>
    <row r="5044" spans="1:2">
      <c r="A5044" s="951"/>
      <c r="B5044" s="951"/>
    </row>
    <row r="5045" spans="1:2">
      <c r="A5045" s="951"/>
      <c r="B5045" s="951"/>
    </row>
    <row r="5046" spans="1:2">
      <c r="A5046" s="951"/>
      <c r="B5046" s="951"/>
    </row>
    <row r="5047" spans="1:2">
      <c r="A5047" s="951"/>
      <c r="B5047" s="951"/>
    </row>
    <row r="5048" spans="1:2">
      <c r="A5048" s="951"/>
      <c r="B5048" s="951"/>
    </row>
    <row r="5049" spans="1:2">
      <c r="A5049" s="951"/>
      <c r="B5049" s="951"/>
    </row>
    <row r="5050" spans="1:2">
      <c r="A5050" s="951"/>
      <c r="B5050" s="951"/>
    </row>
    <row r="5051" spans="1:2">
      <c r="A5051" s="951"/>
      <c r="B5051" s="951"/>
    </row>
    <row r="5052" spans="1:2">
      <c r="A5052" s="951"/>
      <c r="B5052" s="951"/>
    </row>
    <row r="5053" spans="1:2">
      <c r="A5053" s="951"/>
      <c r="B5053" s="951"/>
    </row>
    <row r="5054" spans="1:2">
      <c r="A5054" s="951"/>
      <c r="B5054" s="951"/>
    </row>
    <row r="5055" spans="1:2">
      <c r="A5055" s="951"/>
      <c r="B5055" s="951"/>
    </row>
    <row r="5056" spans="1:2">
      <c r="A5056" s="951"/>
      <c r="B5056" s="951"/>
    </row>
    <row r="5057" spans="1:2">
      <c r="A5057" s="951"/>
      <c r="B5057" s="951"/>
    </row>
    <row r="5058" spans="1:2">
      <c r="A5058" s="951"/>
      <c r="B5058" s="951"/>
    </row>
    <row r="5059" spans="1:2">
      <c r="A5059" s="951"/>
      <c r="B5059" s="951"/>
    </row>
    <row r="5060" spans="1:2">
      <c r="A5060" s="951"/>
      <c r="B5060" s="951"/>
    </row>
    <row r="5061" spans="1:2">
      <c r="A5061" s="951"/>
      <c r="B5061" s="951"/>
    </row>
    <row r="5062" spans="1:2">
      <c r="A5062" s="951"/>
      <c r="B5062" s="951"/>
    </row>
    <row r="5063" spans="1:2">
      <c r="A5063" s="951"/>
      <c r="B5063" s="951"/>
    </row>
    <row r="5064" spans="1:2">
      <c r="A5064" s="951"/>
      <c r="B5064" s="951"/>
    </row>
    <row r="5065" spans="1:2">
      <c r="A5065" s="951"/>
      <c r="B5065" s="951"/>
    </row>
    <row r="5066" spans="1:2">
      <c r="A5066" s="951"/>
      <c r="B5066" s="951"/>
    </row>
    <row r="5067" spans="1:2">
      <c r="A5067" s="951"/>
      <c r="B5067" s="951"/>
    </row>
    <row r="5068" spans="1:2">
      <c r="A5068" s="951"/>
      <c r="B5068" s="951"/>
    </row>
    <row r="5069" spans="1:2">
      <c r="A5069" s="951"/>
      <c r="B5069" s="951"/>
    </row>
    <row r="5070" spans="1:2">
      <c r="A5070" s="951"/>
      <c r="B5070" s="951"/>
    </row>
    <row r="5071" spans="1:2">
      <c r="A5071" s="951"/>
      <c r="B5071" s="951"/>
    </row>
    <row r="5072" spans="1:2">
      <c r="A5072" s="951"/>
      <c r="B5072" s="951"/>
    </row>
    <row r="5073" spans="1:2">
      <c r="A5073" s="951"/>
      <c r="B5073" s="951"/>
    </row>
    <row r="5074" spans="1:2">
      <c r="A5074" s="951"/>
      <c r="B5074" s="951"/>
    </row>
    <row r="5075" spans="1:2">
      <c r="A5075" s="951"/>
      <c r="B5075" s="951"/>
    </row>
    <row r="5076" spans="1:2">
      <c r="A5076" s="951"/>
      <c r="B5076" s="951"/>
    </row>
    <row r="5077" spans="1:2">
      <c r="A5077" s="951"/>
      <c r="B5077" s="951"/>
    </row>
    <row r="5078" spans="1:2">
      <c r="A5078" s="951"/>
      <c r="B5078" s="951"/>
    </row>
    <row r="5079" spans="1:2">
      <c r="A5079" s="951"/>
      <c r="B5079" s="951"/>
    </row>
    <row r="5080" spans="1:2">
      <c r="A5080" s="951"/>
      <c r="B5080" s="951"/>
    </row>
    <row r="5081" spans="1:2">
      <c r="A5081" s="951"/>
      <c r="B5081" s="951"/>
    </row>
    <row r="5082" spans="1:2">
      <c r="A5082" s="951"/>
      <c r="B5082" s="951"/>
    </row>
    <row r="5083" spans="1:2">
      <c r="A5083" s="951"/>
      <c r="B5083" s="951"/>
    </row>
    <row r="5084" spans="1:2">
      <c r="A5084" s="951"/>
      <c r="B5084" s="951"/>
    </row>
    <row r="5085" spans="1:2">
      <c r="A5085" s="951"/>
      <c r="B5085" s="951"/>
    </row>
    <row r="5086" spans="1:2">
      <c r="A5086" s="951"/>
      <c r="B5086" s="951"/>
    </row>
    <row r="5087" spans="1:2">
      <c r="A5087" s="951"/>
      <c r="B5087" s="951"/>
    </row>
    <row r="5088" spans="1:2">
      <c r="A5088" s="951"/>
      <c r="B5088" s="951"/>
    </row>
    <row r="5089" spans="1:2">
      <c r="A5089" s="951"/>
      <c r="B5089" s="951"/>
    </row>
    <row r="5090" spans="1:2">
      <c r="A5090" s="951"/>
      <c r="B5090" s="951"/>
    </row>
    <row r="5091" spans="1:2">
      <c r="A5091" s="951"/>
      <c r="B5091" s="951"/>
    </row>
    <row r="5092" spans="1:2">
      <c r="A5092" s="951"/>
      <c r="B5092" s="951"/>
    </row>
    <row r="5093" spans="1:2">
      <c r="A5093" s="951"/>
      <c r="B5093" s="951"/>
    </row>
    <row r="5094" spans="1:2">
      <c r="A5094" s="951"/>
      <c r="B5094" s="951"/>
    </row>
    <row r="5095" spans="1:2">
      <c r="A5095" s="951"/>
      <c r="B5095" s="951"/>
    </row>
    <row r="5096" spans="1:2">
      <c r="A5096" s="951"/>
      <c r="B5096" s="951"/>
    </row>
    <row r="5097" spans="1:2">
      <c r="A5097" s="951"/>
      <c r="B5097" s="951"/>
    </row>
    <row r="5098" spans="1:2">
      <c r="A5098" s="951"/>
      <c r="B5098" s="951"/>
    </row>
    <row r="5099" spans="1:2">
      <c r="A5099" s="951"/>
      <c r="B5099" s="951"/>
    </row>
    <row r="5100" spans="1:2">
      <c r="A5100" s="951"/>
      <c r="B5100" s="951"/>
    </row>
    <row r="5101" spans="1:2">
      <c r="A5101" s="951"/>
      <c r="B5101" s="951"/>
    </row>
    <row r="5102" spans="1:2">
      <c r="A5102" s="951"/>
      <c r="B5102" s="951"/>
    </row>
    <row r="5103" spans="1:2">
      <c r="A5103" s="951"/>
      <c r="B5103" s="951"/>
    </row>
    <row r="5104" spans="1:2">
      <c r="A5104" s="951"/>
      <c r="B5104" s="951"/>
    </row>
    <row r="5105" spans="1:2">
      <c r="A5105" s="951"/>
      <c r="B5105" s="951"/>
    </row>
    <row r="5106" spans="1:2">
      <c r="A5106" s="951"/>
      <c r="B5106" s="951"/>
    </row>
    <row r="5107" spans="1:2">
      <c r="A5107" s="951"/>
      <c r="B5107" s="951"/>
    </row>
    <row r="5108" spans="1:2">
      <c r="A5108" s="951"/>
      <c r="B5108" s="951"/>
    </row>
    <row r="5109" spans="1:2">
      <c r="A5109" s="951"/>
      <c r="B5109" s="951"/>
    </row>
    <row r="5110" spans="1:2">
      <c r="A5110" s="951"/>
      <c r="B5110" s="951"/>
    </row>
    <row r="5111" spans="1:2">
      <c r="A5111" s="951"/>
      <c r="B5111" s="951"/>
    </row>
    <row r="5112" spans="1:2">
      <c r="A5112" s="951"/>
      <c r="B5112" s="951"/>
    </row>
    <row r="5113" spans="1:2">
      <c r="A5113" s="951"/>
      <c r="B5113" s="951"/>
    </row>
    <row r="5114" spans="1:2">
      <c r="A5114" s="951"/>
      <c r="B5114" s="951"/>
    </row>
    <row r="5115" spans="1:2">
      <c r="A5115" s="951"/>
      <c r="B5115" s="951"/>
    </row>
    <row r="5116" spans="1:2">
      <c r="A5116" s="951"/>
      <c r="B5116" s="951"/>
    </row>
    <row r="5117" spans="1:2">
      <c r="A5117" s="951"/>
      <c r="B5117" s="951"/>
    </row>
    <row r="5118" spans="1:2">
      <c r="A5118" s="951"/>
      <c r="B5118" s="951"/>
    </row>
    <row r="5119" spans="1:2">
      <c r="A5119" s="951"/>
      <c r="B5119" s="951"/>
    </row>
    <row r="5120" spans="1:2">
      <c r="A5120" s="951"/>
      <c r="B5120" s="951"/>
    </row>
    <row r="5121" spans="1:2">
      <c r="A5121" s="951"/>
      <c r="B5121" s="951"/>
    </row>
    <row r="5122" spans="1:2">
      <c r="A5122" s="951"/>
      <c r="B5122" s="951"/>
    </row>
    <row r="5123" spans="1:2">
      <c r="A5123" s="951"/>
      <c r="B5123" s="951"/>
    </row>
    <row r="5124" spans="1:2">
      <c r="A5124" s="951"/>
      <c r="B5124" s="951"/>
    </row>
    <row r="5125" spans="1:2">
      <c r="A5125" s="951"/>
      <c r="B5125" s="951"/>
    </row>
    <row r="5126" spans="1:2">
      <c r="A5126" s="951"/>
      <c r="B5126" s="951"/>
    </row>
    <row r="5127" spans="1:2">
      <c r="A5127" s="951"/>
      <c r="B5127" s="951"/>
    </row>
    <row r="5128" spans="1:2">
      <c r="A5128" s="951"/>
      <c r="B5128" s="951"/>
    </row>
    <row r="5129" spans="1:2">
      <c r="A5129" s="951"/>
      <c r="B5129" s="951"/>
    </row>
    <row r="5130" spans="1:2">
      <c r="A5130" s="951"/>
      <c r="B5130" s="951"/>
    </row>
    <row r="5131" spans="1:2">
      <c r="A5131" s="951"/>
      <c r="B5131" s="951"/>
    </row>
    <row r="5132" spans="1:2">
      <c r="A5132" s="951"/>
      <c r="B5132" s="951"/>
    </row>
    <row r="5133" spans="1:2">
      <c r="A5133" s="951"/>
      <c r="B5133" s="951"/>
    </row>
    <row r="5134" spans="1:2">
      <c r="A5134" s="951"/>
      <c r="B5134" s="951"/>
    </row>
    <row r="5135" spans="1:2">
      <c r="A5135" s="951"/>
      <c r="B5135" s="951"/>
    </row>
    <row r="5136" spans="1:2">
      <c r="A5136" s="951"/>
      <c r="B5136" s="951"/>
    </row>
    <row r="5137" spans="1:2">
      <c r="A5137" s="951"/>
      <c r="B5137" s="951"/>
    </row>
    <row r="5138" spans="1:2">
      <c r="A5138" s="951"/>
      <c r="B5138" s="951"/>
    </row>
    <row r="5139" spans="1:2">
      <c r="A5139" s="951"/>
      <c r="B5139" s="951"/>
    </row>
    <row r="5140" spans="1:2">
      <c r="A5140" s="951"/>
      <c r="B5140" s="951"/>
    </row>
    <row r="5141" spans="1:2">
      <c r="A5141" s="951"/>
      <c r="B5141" s="951"/>
    </row>
    <row r="5142" spans="1:2">
      <c r="A5142" s="951"/>
      <c r="B5142" s="951"/>
    </row>
    <row r="5143" spans="1:2">
      <c r="A5143" s="951"/>
      <c r="B5143" s="951"/>
    </row>
    <row r="5144" spans="1:2">
      <c r="A5144" s="951"/>
      <c r="B5144" s="951"/>
    </row>
    <row r="5145" spans="1:2">
      <c r="A5145" s="951"/>
      <c r="B5145" s="951"/>
    </row>
    <row r="5146" spans="1:2">
      <c r="A5146" s="951"/>
      <c r="B5146" s="951"/>
    </row>
    <row r="5147" spans="1:2">
      <c r="A5147" s="951"/>
      <c r="B5147" s="951"/>
    </row>
    <row r="5148" spans="1:2">
      <c r="A5148" s="951"/>
      <c r="B5148" s="951"/>
    </row>
    <row r="5149" spans="1:2">
      <c r="A5149" s="951"/>
      <c r="B5149" s="951"/>
    </row>
    <row r="5150" spans="1:2">
      <c r="A5150" s="951"/>
      <c r="B5150" s="951"/>
    </row>
    <row r="5151" spans="1:2">
      <c r="A5151" s="951"/>
      <c r="B5151" s="951"/>
    </row>
    <row r="5152" spans="1:2">
      <c r="A5152" s="951"/>
      <c r="B5152" s="951"/>
    </row>
    <row r="5153" spans="1:2">
      <c r="A5153" s="951"/>
      <c r="B5153" s="951"/>
    </row>
    <row r="5154" spans="1:2">
      <c r="A5154" s="951"/>
      <c r="B5154" s="951"/>
    </row>
    <row r="5155" spans="1:2">
      <c r="A5155" s="951"/>
      <c r="B5155" s="951"/>
    </row>
    <row r="5156" spans="1:2">
      <c r="A5156" s="951"/>
      <c r="B5156" s="951"/>
    </row>
    <row r="5157" spans="1:2">
      <c r="A5157" s="951"/>
      <c r="B5157" s="951"/>
    </row>
    <row r="5158" spans="1:2">
      <c r="A5158" s="951"/>
      <c r="B5158" s="951"/>
    </row>
    <row r="5159" spans="1:2">
      <c r="A5159" s="951"/>
      <c r="B5159" s="951"/>
    </row>
    <row r="5160" spans="1:2">
      <c r="A5160" s="951"/>
      <c r="B5160" s="951"/>
    </row>
    <row r="5161" spans="1:2">
      <c r="A5161" s="951"/>
      <c r="B5161" s="951"/>
    </row>
    <row r="5162" spans="1:2">
      <c r="A5162" s="951"/>
      <c r="B5162" s="951"/>
    </row>
    <row r="5163" spans="1:2">
      <c r="A5163" s="951"/>
      <c r="B5163" s="951"/>
    </row>
    <row r="5164" spans="1:2">
      <c r="A5164" s="951"/>
      <c r="B5164" s="951"/>
    </row>
    <row r="5165" spans="1:2">
      <c r="A5165" s="951"/>
      <c r="B5165" s="951"/>
    </row>
    <row r="5166" spans="1:2">
      <c r="A5166" s="951"/>
      <c r="B5166" s="951"/>
    </row>
    <row r="5167" spans="1:2">
      <c r="A5167" s="951"/>
      <c r="B5167" s="951"/>
    </row>
    <row r="5168" spans="1:2">
      <c r="A5168" s="951"/>
      <c r="B5168" s="951"/>
    </row>
    <row r="5169" spans="1:2">
      <c r="A5169" s="951"/>
      <c r="B5169" s="951"/>
    </row>
    <row r="5170" spans="1:2">
      <c r="A5170" s="951"/>
      <c r="B5170" s="951"/>
    </row>
    <row r="5171" spans="1:2">
      <c r="A5171" s="951"/>
      <c r="B5171" s="951"/>
    </row>
    <row r="5172" spans="1:2">
      <c r="A5172" s="951"/>
      <c r="B5172" s="951"/>
    </row>
    <row r="5173" spans="1:2">
      <c r="A5173" s="951"/>
      <c r="B5173" s="951"/>
    </row>
    <row r="5174" spans="1:2">
      <c r="A5174" s="951"/>
      <c r="B5174" s="951"/>
    </row>
    <row r="5175" spans="1:2">
      <c r="A5175" s="951"/>
      <c r="B5175" s="951"/>
    </row>
    <row r="5176" spans="1:2">
      <c r="A5176" s="951"/>
      <c r="B5176" s="951"/>
    </row>
    <row r="5177" spans="1:2">
      <c r="A5177" s="951"/>
      <c r="B5177" s="951"/>
    </row>
    <row r="5178" spans="1:2">
      <c r="A5178" s="951"/>
      <c r="B5178" s="951"/>
    </row>
    <row r="5179" spans="1:2">
      <c r="A5179" s="951"/>
      <c r="B5179" s="951"/>
    </row>
    <row r="5180" spans="1:2">
      <c r="A5180" s="951"/>
      <c r="B5180" s="951"/>
    </row>
    <row r="5181" spans="1:2">
      <c r="A5181" s="951"/>
      <c r="B5181" s="951"/>
    </row>
    <row r="5182" spans="1:2">
      <c r="A5182" s="951"/>
      <c r="B5182" s="951"/>
    </row>
    <row r="5183" spans="1:2">
      <c r="A5183" s="951"/>
      <c r="B5183" s="951"/>
    </row>
    <row r="5184" spans="1:2">
      <c r="A5184" s="951"/>
      <c r="B5184" s="951"/>
    </row>
    <row r="5185" spans="1:2">
      <c r="A5185" s="951"/>
      <c r="B5185" s="951"/>
    </row>
    <row r="5186" spans="1:2">
      <c r="A5186" s="951"/>
      <c r="B5186" s="951"/>
    </row>
    <row r="5187" spans="1:2">
      <c r="A5187" s="951"/>
      <c r="B5187" s="951"/>
    </row>
    <row r="5188" spans="1:2">
      <c r="A5188" s="951"/>
      <c r="B5188" s="951"/>
    </row>
    <row r="5189" spans="1:2">
      <c r="A5189" s="951"/>
      <c r="B5189" s="951"/>
    </row>
    <row r="5190" spans="1:2">
      <c r="A5190" s="951"/>
      <c r="B5190" s="951"/>
    </row>
    <row r="5191" spans="1:2">
      <c r="A5191" s="951"/>
      <c r="B5191" s="951"/>
    </row>
    <row r="5192" spans="1:2">
      <c r="A5192" s="951"/>
      <c r="B5192" s="951"/>
    </row>
    <row r="5193" spans="1:2">
      <c r="A5193" s="951"/>
      <c r="B5193" s="951"/>
    </row>
    <row r="5194" spans="1:2">
      <c r="A5194" s="951"/>
      <c r="B5194" s="951"/>
    </row>
    <row r="5195" spans="1:2">
      <c r="A5195" s="951"/>
      <c r="B5195" s="951"/>
    </row>
    <row r="5196" spans="1:2">
      <c r="A5196" s="951"/>
      <c r="B5196" s="951"/>
    </row>
    <row r="5197" spans="1:2">
      <c r="A5197" s="951"/>
      <c r="B5197" s="951"/>
    </row>
    <row r="5198" spans="1:2">
      <c r="A5198" s="951"/>
      <c r="B5198" s="951"/>
    </row>
    <row r="5199" spans="1:2">
      <c r="A5199" s="951"/>
      <c r="B5199" s="951"/>
    </row>
    <row r="5200" spans="1:2">
      <c r="A5200" s="951"/>
      <c r="B5200" s="951"/>
    </row>
    <row r="5201" spans="1:2">
      <c r="A5201" s="951"/>
      <c r="B5201" s="951"/>
    </row>
    <row r="5202" spans="1:2">
      <c r="A5202" s="951"/>
      <c r="B5202" s="951"/>
    </row>
    <row r="5203" spans="1:2">
      <c r="A5203" s="951"/>
      <c r="B5203" s="951"/>
    </row>
    <row r="5204" spans="1:2">
      <c r="A5204" s="951"/>
      <c r="B5204" s="951"/>
    </row>
    <row r="5205" spans="1:2">
      <c r="A5205" s="951"/>
      <c r="B5205" s="951"/>
    </row>
    <row r="5206" spans="1:2">
      <c r="A5206" s="951"/>
      <c r="B5206" s="951"/>
    </row>
    <row r="5207" spans="1:2">
      <c r="A5207" s="951"/>
      <c r="B5207" s="951"/>
    </row>
    <row r="5208" spans="1:2">
      <c r="A5208" s="951"/>
      <c r="B5208" s="951"/>
    </row>
    <row r="5209" spans="1:2">
      <c r="A5209" s="951"/>
      <c r="B5209" s="951"/>
    </row>
    <row r="5210" spans="1:2">
      <c r="A5210" s="951"/>
      <c r="B5210" s="951"/>
    </row>
    <row r="5211" spans="1:2">
      <c r="A5211" s="951"/>
      <c r="B5211" s="951"/>
    </row>
    <row r="5212" spans="1:2">
      <c r="A5212" s="951"/>
      <c r="B5212" s="951"/>
    </row>
    <row r="5213" spans="1:2">
      <c r="A5213" s="951"/>
      <c r="B5213" s="951"/>
    </row>
    <row r="5214" spans="1:2">
      <c r="A5214" s="951"/>
      <c r="B5214" s="951"/>
    </row>
    <row r="5215" spans="1:2">
      <c r="A5215" s="951"/>
      <c r="B5215" s="951"/>
    </row>
    <row r="5216" spans="1:2">
      <c r="A5216" s="951"/>
      <c r="B5216" s="951"/>
    </row>
    <row r="5217" spans="1:2">
      <c r="A5217" s="951"/>
      <c r="B5217" s="951"/>
    </row>
    <row r="5218" spans="1:2">
      <c r="A5218" s="951"/>
      <c r="B5218" s="951"/>
    </row>
    <row r="5219" spans="1:2">
      <c r="A5219" s="951"/>
      <c r="B5219" s="951"/>
    </row>
    <row r="5220" spans="1:2">
      <c r="A5220" s="951"/>
      <c r="B5220" s="951"/>
    </row>
    <row r="5221" spans="1:2">
      <c r="A5221" s="951"/>
      <c r="B5221" s="951"/>
    </row>
    <row r="5222" spans="1:2">
      <c r="A5222" s="951"/>
      <c r="B5222" s="951"/>
    </row>
    <row r="5223" spans="1:2">
      <c r="A5223" s="951"/>
      <c r="B5223" s="951"/>
    </row>
    <row r="5224" spans="1:2">
      <c r="A5224" s="951"/>
      <c r="B5224" s="951"/>
    </row>
    <row r="5225" spans="1:2">
      <c r="A5225" s="951"/>
      <c r="B5225" s="951"/>
    </row>
    <row r="5226" spans="1:2">
      <c r="A5226" s="951"/>
      <c r="B5226" s="951"/>
    </row>
    <row r="5227" spans="1:2">
      <c r="A5227" s="951"/>
      <c r="B5227" s="951"/>
    </row>
    <row r="5228" spans="1:2">
      <c r="A5228" s="951"/>
      <c r="B5228" s="951"/>
    </row>
    <row r="5229" spans="1:2">
      <c r="A5229" s="951"/>
      <c r="B5229" s="951"/>
    </row>
    <row r="5230" spans="1:2">
      <c r="A5230" s="951"/>
      <c r="B5230" s="951"/>
    </row>
    <row r="5231" spans="1:2">
      <c r="A5231" s="951"/>
      <c r="B5231" s="951"/>
    </row>
    <row r="5232" spans="1:2">
      <c r="A5232" s="951"/>
      <c r="B5232" s="951"/>
    </row>
    <row r="5233" spans="1:2">
      <c r="A5233" s="951"/>
      <c r="B5233" s="951"/>
    </row>
    <row r="5234" spans="1:2">
      <c r="A5234" s="951"/>
      <c r="B5234" s="951"/>
    </row>
    <row r="5235" spans="1:2">
      <c r="A5235" s="951"/>
      <c r="B5235" s="951"/>
    </row>
    <row r="5236" spans="1:2">
      <c r="A5236" s="951"/>
      <c r="B5236" s="951"/>
    </row>
    <row r="5237" spans="1:2">
      <c r="A5237" s="951"/>
      <c r="B5237" s="951"/>
    </row>
    <row r="5238" spans="1:2">
      <c r="A5238" s="951"/>
      <c r="B5238" s="951"/>
    </row>
    <row r="5239" spans="1:2">
      <c r="A5239" s="951"/>
      <c r="B5239" s="951"/>
    </row>
    <row r="5240" spans="1:2">
      <c r="A5240" s="951"/>
      <c r="B5240" s="951"/>
    </row>
    <row r="5241" spans="1:2">
      <c r="A5241" s="951"/>
      <c r="B5241" s="951"/>
    </row>
    <row r="5242" spans="1:2">
      <c r="A5242" s="951"/>
      <c r="B5242" s="951"/>
    </row>
    <row r="5243" spans="1:2">
      <c r="A5243" s="951"/>
      <c r="B5243" s="951"/>
    </row>
    <row r="5244" spans="1:2">
      <c r="A5244" s="951"/>
      <c r="B5244" s="951"/>
    </row>
    <row r="5245" spans="1:2">
      <c r="A5245" s="951"/>
      <c r="B5245" s="951"/>
    </row>
    <row r="5246" spans="1:2">
      <c r="A5246" s="951"/>
      <c r="B5246" s="951"/>
    </row>
    <row r="5247" spans="1:2">
      <c r="A5247" s="951"/>
      <c r="B5247" s="951"/>
    </row>
    <row r="5248" spans="1:2">
      <c r="A5248" s="951"/>
      <c r="B5248" s="951"/>
    </row>
    <row r="5249" spans="1:2">
      <c r="A5249" s="951"/>
      <c r="B5249" s="951"/>
    </row>
    <row r="5250" spans="1:2">
      <c r="A5250" s="951"/>
      <c r="B5250" s="951"/>
    </row>
    <row r="5251" spans="1:2">
      <c r="A5251" s="951"/>
      <c r="B5251" s="951"/>
    </row>
    <row r="5252" spans="1:2">
      <c r="A5252" s="951"/>
      <c r="B5252" s="951"/>
    </row>
    <row r="5253" spans="1:2">
      <c r="A5253" s="951"/>
      <c r="B5253" s="951"/>
    </row>
    <row r="5254" spans="1:2">
      <c r="A5254" s="951"/>
      <c r="B5254" s="951"/>
    </row>
    <row r="5255" spans="1:2">
      <c r="A5255" s="951"/>
      <c r="B5255" s="951"/>
    </row>
    <row r="5256" spans="1:2">
      <c r="A5256" s="951"/>
      <c r="B5256" s="951"/>
    </row>
    <row r="5257" spans="1:2">
      <c r="A5257" s="951"/>
      <c r="B5257" s="951"/>
    </row>
    <row r="5258" spans="1:2">
      <c r="A5258" s="951"/>
      <c r="B5258" s="951"/>
    </row>
    <row r="5259" spans="1:2">
      <c r="A5259" s="951"/>
      <c r="B5259" s="951"/>
    </row>
    <row r="5260" spans="1:2">
      <c r="A5260" s="951"/>
      <c r="B5260" s="951"/>
    </row>
    <row r="5261" spans="1:2">
      <c r="A5261" s="951"/>
      <c r="B5261" s="951"/>
    </row>
    <row r="5262" spans="1:2">
      <c r="A5262" s="951"/>
      <c r="B5262" s="951"/>
    </row>
    <row r="5263" spans="1:2">
      <c r="A5263" s="951"/>
      <c r="B5263" s="951"/>
    </row>
    <row r="5264" spans="1:2">
      <c r="A5264" s="951"/>
      <c r="B5264" s="951"/>
    </row>
    <row r="5265" spans="1:2">
      <c r="A5265" s="951"/>
      <c r="B5265" s="951"/>
    </row>
    <row r="5266" spans="1:2">
      <c r="A5266" s="951"/>
      <c r="B5266" s="951"/>
    </row>
    <row r="5267" spans="1:2">
      <c r="A5267" s="951"/>
      <c r="B5267" s="951"/>
    </row>
    <row r="5268" spans="1:2">
      <c r="A5268" s="951"/>
      <c r="B5268" s="951"/>
    </row>
    <row r="5269" spans="1:2">
      <c r="A5269" s="951"/>
      <c r="B5269" s="951"/>
    </row>
    <row r="5270" spans="1:2">
      <c r="A5270" s="951"/>
      <c r="B5270" s="951"/>
    </row>
    <row r="5271" spans="1:2">
      <c r="A5271" s="951"/>
      <c r="B5271" s="951"/>
    </row>
    <row r="5272" spans="1:2">
      <c r="A5272" s="951"/>
      <c r="B5272" s="951"/>
    </row>
    <row r="5273" spans="1:2">
      <c r="A5273" s="951"/>
      <c r="B5273" s="951"/>
    </row>
    <row r="5274" spans="1:2">
      <c r="A5274" s="951"/>
      <c r="B5274" s="951"/>
    </row>
    <row r="5275" spans="1:2">
      <c r="A5275" s="951"/>
      <c r="B5275" s="951"/>
    </row>
    <row r="5276" spans="1:2">
      <c r="A5276" s="951"/>
      <c r="B5276" s="951"/>
    </row>
    <row r="5277" spans="1:2">
      <c r="A5277" s="951"/>
      <c r="B5277" s="951"/>
    </row>
    <row r="5278" spans="1:2">
      <c r="A5278" s="951"/>
      <c r="B5278" s="951"/>
    </row>
    <row r="5279" spans="1:2">
      <c r="A5279" s="951"/>
      <c r="B5279" s="951"/>
    </row>
    <row r="5280" spans="1:2">
      <c r="A5280" s="951"/>
      <c r="B5280" s="951"/>
    </row>
    <row r="5281" spans="1:2">
      <c r="A5281" s="951"/>
      <c r="B5281" s="951"/>
    </row>
    <row r="5282" spans="1:2">
      <c r="A5282" s="951"/>
      <c r="B5282" s="951"/>
    </row>
    <row r="5283" spans="1:2">
      <c r="A5283" s="951"/>
      <c r="B5283" s="951"/>
    </row>
    <row r="5284" spans="1:2">
      <c r="A5284" s="951"/>
      <c r="B5284" s="951"/>
    </row>
    <row r="5285" spans="1:2">
      <c r="A5285" s="951"/>
      <c r="B5285" s="951"/>
    </row>
    <row r="5286" spans="1:2">
      <c r="A5286" s="951"/>
      <c r="B5286" s="951"/>
    </row>
    <row r="5287" spans="1:2">
      <c r="A5287" s="951"/>
      <c r="B5287" s="951"/>
    </row>
    <row r="5288" spans="1:2">
      <c r="A5288" s="951"/>
      <c r="B5288" s="951"/>
    </row>
    <row r="5289" spans="1:2">
      <c r="A5289" s="951"/>
      <c r="B5289" s="951"/>
    </row>
    <row r="5290" spans="1:2">
      <c r="A5290" s="951"/>
      <c r="B5290" s="951"/>
    </row>
    <row r="5291" spans="1:2">
      <c r="A5291" s="951"/>
      <c r="B5291" s="951"/>
    </row>
    <row r="5292" spans="1:2">
      <c r="A5292" s="951"/>
      <c r="B5292" s="951"/>
    </row>
    <row r="5293" spans="1:2">
      <c r="A5293" s="951"/>
      <c r="B5293" s="951"/>
    </row>
    <row r="5294" spans="1:2">
      <c r="A5294" s="951"/>
      <c r="B5294" s="951"/>
    </row>
    <row r="5295" spans="1:2">
      <c r="A5295" s="951"/>
      <c r="B5295" s="951"/>
    </row>
    <row r="5296" spans="1:2">
      <c r="A5296" s="951"/>
      <c r="B5296" s="951"/>
    </row>
    <row r="5297" spans="1:2">
      <c r="A5297" s="951"/>
      <c r="B5297" s="951"/>
    </row>
    <row r="5298" spans="1:2">
      <c r="A5298" s="951"/>
      <c r="B5298" s="951"/>
    </row>
    <row r="5299" spans="1:2">
      <c r="A5299" s="951"/>
      <c r="B5299" s="951"/>
    </row>
    <row r="5300" spans="1:2">
      <c r="A5300" s="951"/>
      <c r="B5300" s="951"/>
    </row>
    <row r="5301" spans="1:2">
      <c r="A5301" s="951"/>
      <c r="B5301" s="951"/>
    </row>
    <row r="5302" spans="1:2">
      <c r="A5302" s="951"/>
      <c r="B5302" s="951"/>
    </row>
    <row r="5303" spans="1:2">
      <c r="A5303" s="951"/>
      <c r="B5303" s="951"/>
    </row>
    <row r="5304" spans="1:2">
      <c r="A5304" s="951"/>
      <c r="B5304" s="951"/>
    </row>
    <row r="5305" spans="1:2">
      <c r="A5305" s="951"/>
      <c r="B5305" s="951"/>
    </row>
    <row r="5306" spans="1:2">
      <c r="A5306" s="951"/>
      <c r="B5306" s="951"/>
    </row>
    <row r="5307" spans="1:2">
      <c r="A5307" s="951"/>
      <c r="B5307" s="951"/>
    </row>
    <row r="5308" spans="1:2">
      <c r="A5308" s="951"/>
      <c r="B5308" s="951"/>
    </row>
    <row r="5309" spans="1:2">
      <c r="A5309" s="951"/>
      <c r="B5309" s="951"/>
    </row>
    <row r="5310" spans="1:2">
      <c r="A5310" s="951"/>
      <c r="B5310" s="951"/>
    </row>
    <row r="5311" spans="1:2">
      <c r="A5311" s="951"/>
      <c r="B5311" s="951"/>
    </row>
    <row r="5312" spans="1:2">
      <c r="A5312" s="951"/>
      <c r="B5312" s="951"/>
    </row>
    <row r="5313" spans="1:2">
      <c r="A5313" s="951"/>
      <c r="B5313" s="951"/>
    </row>
    <row r="5314" spans="1:2">
      <c r="A5314" s="951"/>
      <c r="B5314" s="951"/>
    </row>
    <row r="5315" spans="1:2">
      <c r="A5315" s="951"/>
      <c r="B5315" s="951"/>
    </row>
    <row r="5316" spans="1:2">
      <c r="A5316" s="951"/>
      <c r="B5316" s="951"/>
    </row>
    <row r="5317" spans="1:2">
      <c r="A5317" s="951"/>
      <c r="B5317" s="951"/>
    </row>
    <row r="5318" spans="1:2">
      <c r="A5318" s="951"/>
      <c r="B5318" s="951"/>
    </row>
    <row r="5319" spans="1:2">
      <c r="A5319" s="951"/>
      <c r="B5319" s="951"/>
    </row>
    <row r="5320" spans="1:2">
      <c r="A5320" s="951"/>
      <c r="B5320" s="951"/>
    </row>
    <row r="5321" spans="1:2">
      <c r="A5321" s="951"/>
      <c r="B5321" s="951"/>
    </row>
    <row r="5322" spans="1:2">
      <c r="A5322" s="951"/>
      <c r="B5322" s="951"/>
    </row>
    <row r="5323" spans="1:2">
      <c r="A5323" s="951"/>
      <c r="B5323" s="951"/>
    </row>
    <row r="5324" spans="1:2">
      <c r="A5324" s="951"/>
      <c r="B5324" s="951"/>
    </row>
    <row r="5325" spans="1:2">
      <c r="A5325" s="951"/>
      <c r="B5325" s="951"/>
    </row>
    <row r="5326" spans="1:2">
      <c r="A5326" s="951"/>
      <c r="B5326" s="951"/>
    </row>
    <row r="5327" spans="1:2">
      <c r="A5327" s="951"/>
      <c r="B5327" s="951"/>
    </row>
    <row r="5328" spans="1:2">
      <c r="A5328" s="951"/>
      <c r="B5328" s="951"/>
    </row>
    <row r="5329" spans="1:2">
      <c r="A5329" s="951"/>
      <c r="B5329" s="951"/>
    </row>
    <row r="5330" spans="1:2">
      <c r="A5330" s="951"/>
      <c r="B5330" s="951"/>
    </row>
    <row r="5331" spans="1:2">
      <c r="A5331" s="951"/>
      <c r="B5331" s="951"/>
    </row>
    <row r="5332" spans="1:2">
      <c r="A5332" s="951"/>
      <c r="B5332" s="951"/>
    </row>
    <row r="5333" spans="1:2">
      <c r="A5333" s="951"/>
      <c r="B5333" s="951"/>
    </row>
    <row r="5334" spans="1:2">
      <c r="A5334" s="951"/>
      <c r="B5334" s="951"/>
    </row>
    <row r="5335" spans="1:2">
      <c r="A5335" s="951"/>
      <c r="B5335" s="951"/>
    </row>
    <row r="5336" spans="1:2">
      <c r="A5336" s="951"/>
      <c r="B5336" s="951"/>
    </row>
    <row r="5337" spans="1:2">
      <c r="A5337" s="951"/>
      <c r="B5337" s="951"/>
    </row>
    <row r="5338" spans="1:2">
      <c r="A5338" s="951"/>
      <c r="B5338" s="951"/>
    </row>
    <row r="5339" spans="1:2">
      <c r="A5339" s="951"/>
      <c r="B5339" s="951"/>
    </row>
    <row r="5340" spans="1:2">
      <c r="A5340" s="951"/>
      <c r="B5340" s="951"/>
    </row>
    <row r="5341" spans="1:2">
      <c r="A5341" s="951"/>
      <c r="B5341" s="951"/>
    </row>
    <row r="5342" spans="1:2">
      <c r="A5342" s="951"/>
      <c r="B5342" s="951"/>
    </row>
    <row r="5343" spans="1:2">
      <c r="A5343" s="951"/>
      <c r="B5343" s="951"/>
    </row>
    <row r="5344" spans="1:2">
      <c r="A5344" s="951"/>
      <c r="B5344" s="951"/>
    </row>
    <row r="5345" spans="1:2">
      <c r="A5345" s="951"/>
      <c r="B5345" s="951"/>
    </row>
    <row r="5346" spans="1:2">
      <c r="A5346" s="951"/>
      <c r="B5346" s="951"/>
    </row>
    <row r="5347" spans="1:2">
      <c r="A5347" s="951"/>
      <c r="B5347" s="951"/>
    </row>
    <row r="5348" spans="1:2">
      <c r="A5348" s="951"/>
      <c r="B5348" s="951"/>
    </row>
    <row r="5349" spans="1:2">
      <c r="A5349" s="951"/>
      <c r="B5349" s="951"/>
    </row>
    <row r="5350" spans="1:2">
      <c r="A5350" s="951"/>
      <c r="B5350" s="951"/>
    </row>
    <row r="5351" spans="1:2">
      <c r="A5351" s="951"/>
      <c r="B5351" s="951"/>
    </row>
    <row r="5352" spans="1:2">
      <c r="A5352" s="951"/>
      <c r="B5352" s="951"/>
    </row>
    <row r="5353" spans="1:2">
      <c r="A5353" s="951"/>
      <c r="B5353" s="951"/>
    </row>
    <row r="5354" spans="1:2">
      <c r="A5354" s="951"/>
      <c r="B5354" s="951"/>
    </row>
    <row r="5355" spans="1:2">
      <c r="A5355" s="951"/>
      <c r="B5355" s="951"/>
    </row>
    <row r="5356" spans="1:2">
      <c r="A5356" s="951"/>
      <c r="B5356" s="951"/>
    </row>
    <row r="5357" spans="1:2">
      <c r="A5357" s="951"/>
      <c r="B5357" s="951"/>
    </row>
    <row r="5358" spans="1:2">
      <c r="A5358" s="951"/>
      <c r="B5358" s="951"/>
    </row>
    <row r="5359" spans="1:2">
      <c r="A5359" s="951"/>
      <c r="B5359" s="951"/>
    </row>
    <row r="5360" spans="1:2">
      <c r="A5360" s="951"/>
      <c r="B5360" s="951"/>
    </row>
    <row r="5361" spans="1:2">
      <c r="A5361" s="951"/>
      <c r="B5361" s="951"/>
    </row>
    <row r="5362" spans="1:2">
      <c r="A5362" s="951"/>
      <c r="B5362" s="951"/>
    </row>
    <row r="5363" spans="1:2">
      <c r="A5363" s="951"/>
      <c r="B5363" s="951"/>
    </row>
    <row r="5364" spans="1:2">
      <c r="A5364" s="951"/>
      <c r="B5364" s="951"/>
    </row>
    <row r="5365" spans="1:2">
      <c r="A5365" s="951"/>
      <c r="B5365" s="951"/>
    </row>
    <row r="5366" spans="1:2">
      <c r="A5366" s="951"/>
      <c r="B5366" s="951"/>
    </row>
    <row r="5367" spans="1:2">
      <c r="A5367" s="951"/>
      <c r="B5367" s="951"/>
    </row>
    <row r="5368" spans="1:2">
      <c r="A5368" s="951"/>
      <c r="B5368" s="951"/>
    </row>
    <row r="5369" spans="1:2">
      <c r="A5369" s="951"/>
      <c r="B5369" s="951"/>
    </row>
    <row r="5370" spans="1:2">
      <c r="A5370" s="951"/>
      <c r="B5370" s="951"/>
    </row>
    <row r="5371" spans="1:2">
      <c r="A5371" s="951"/>
      <c r="B5371" s="951"/>
    </row>
    <row r="5372" spans="1:2">
      <c r="A5372" s="951"/>
      <c r="B5372" s="951"/>
    </row>
    <row r="5373" spans="1:2">
      <c r="A5373" s="951"/>
      <c r="B5373" s="951"/>
    </row>
    <row r="5374" spans="1:2">
      <c r="A5374" s="951"/>
      <c r="B5374" s="951"/>
    </row>
    <row r="5375" spans="1:2">
      <c r="A5375" s="951"/>
      <c r="B5375" s="951"/>
    </row>
    <row r="5376" spans="1:2">
      <c r="A5376" s="951"/>
      <c r="B5376" s="951"/>
    </row>
    <row r="5377" spans="1:2">
      <c r="A5377" s="951"/>
      <c r="B5377" s="951"/>
    </row>
    <row r="5378" spans="1:2">
      <c r="A5378" s="951"/>
      <c r="B5378" s="951"/>
    </row>
    <row r="5379" spans="1:2">
      <c r="A5379" s="951"/>
      <c r="B5379" s="951"/>
    </row>
    <row r="5380" spans="1:2">
      <c r="A5380" s="951"/>
      <c r="B5380" s="951"/>
    </row>
    <row r="5381" spans="1:2">
      <c r="A5381" s="951"/>
      <c r="B5381" s="951"/>
    </row>
    <row r="5382" spans="1:2">
      <c r="A5382" s="951"/>
      <c r="B5382" s="951"/>
    </row>
    <row r="5383" spans="1:2">
      <c r="A5383" s="951"/>
      <c r="B5383" s="951"/>
    </row>
    <row r="5384" spans="1:2">
      <c r="A5384" s="951"/>
      <c r="B5384" s="951"/>
    </row>
    <row r="5385" spans="1:2">
      <c r="A5385" s="951"/>
      <c r="B5385" s="951"/>
    </row>
    <row r="5386" spans="1:2">
      <c r="A5386" s="951"/>
      <c r="B5386" s="951"/>
    </row>
    <row r="5387" spans="1:2">
      <c r="A5387" s="951"/>
      <c r="B5387" s="951"/>
    </row>
    <row r="5388" spans="1:2">
      <c r="A5388" s="951"/>
      <c r="B5388" s="951"/>
    </row>
    <row r="5389" spans="1:2">
      <c r="A5389" s="951"/>
      <c r="B5389" s="951"/>
    </row>
    <row r="5390" spans="1:2">
      <c r="A5390" s="951"/>
      <c r="B5390" s="951"/>
    </row>
    <row r="5391" spans="1:2">
      <c r="A5391" s="951"/>
      <c r="B5391" s="951"/>
    </row>
    <row r="5392" spans="1:2">
      <c r="A5392" s="951"/>
      <c r="B5392" s="951"/>
    </row>
    <row r="5393" spans="1:2">
      <c r="A5393" s="951"/>
      <c r="B5393" s="951"/>
    </row>
    <row r="5394" spans="1:2">
      <c r="A5394" s="951"/>
      <c r="B5394" s="951"/>
    </row>
    <row r="5395" spans="1:2">
      <c r="A5395" s="951"/>
      <c r="B5395" s="951"/>
    </row>
    <row r="5396" spans="1:2">
      <c r="A5396" s="951"/>
      <c r="B5396" s="951"/>
    </row>
    <row r="5397" spans="1:2">
      <c r="A5397" s="951"/>
      <c r="B5397" s="951"/>
    </row>
    <row r="5398" spans="1:2">
      <c r="A5398" s="951"/>
      <c r="B5398" s="951"/>
    </row>
    <row r="5399" spans="1:2">
      <c r="A5399" s="951"/>
      <c r="B5399" s="951"/>
    </row>
    <row r="5400" spans="1:2">
      <c r="A5400" s="951"/>
      <c r="B5400" s="951"/>
    </row>
    <row r="5401" spans="1:2">
      <c r="A5401" s="951"/>
      <c r="B5401" s="951"/>
    </row>
    <row r="5402" spans="1:2">
      <c r="A5402" s="951"/>
      <c r="B5402" s="951"/>
    </row>
    <row r="5403" spans="1:2">
      <c r="A5403" s="951"/>
      <c r="B5403" s="951"/>
    </row>
    <row r="5404" spans="1:2">
      <c r="A5404" s="951"/>
      <c r="B5404" s="951"/>
    </row>
    <row r="5405" spans="1:2">
      <c r="A5405" s="951"/>
      <c r="B5405" s="951"/>
    </row>
    <row r="5406" spans="1:2">
      <c r="A5406" s="951"/>
      <c r="B5406" s="951"/>
    </row>
    <row r="5407" spans="1:2">
      <c r="A5407" s="951"/>
      <c r="B5407" s="951"/>
    </row>
    <row r="5408" spans="1:2">
      <c r="A5408" s="951"/>
      <c r="B5408" s="951"/>
    </row>
    <row r="5409" spans="1:2">
      <c r="A5409" s="951"/>
      <c r="B5409" s="951"/>
    </row>
    <row r="5410" spans="1:2">
      <c r="A5410" s="951"/>
      <c r="B5410" s="951"/>
    </row>
    <row r="5411" spans="1:2">
      <c r="A5411" s="951"/>
      <c r="B5411" s="951"/>
    </row>
    <row r="5412" spans="1:2">
      <c r="A5412" s="951"/>
      <c r="B5412" s="951"/>
    </row>
    <row r="5413" spans="1:2">
      <c r="A5413" s="951"/>
      <c r="B5413" s="951"/>
    </row>
    <row r="5414" spans="1:2">
      <c r="A5414" s="951"/>
      <c r="B5414" s="951"/>
    </row>
    <row r="5415" spans="1:2">
      <c r="A5415" s="951"/>
      <c r="B5415" s="951"/>
    </row>
    <row r="5416" spans="1:2">
      <c r="A5416" s="951"/>
      <c r="B5416" s="951"/>
    </row>
    <row r="5417" spans="1:2">
      <c r="A5417" s="951"/>
      <c r="B5417" s="951"/>
    </row>
    <row r="5418" spans="1:2">
      <c r="A5418" s="951"/>
      <c r="B5418" s="951"/>
    </row>
    <row r="5419" spans="1:2">
      <c r="A5419" s="951"/>
      <c r="B5419" s="951"/>
    </row>
    <row r="5420" spans="1:2">
      <c r="A5420" s="951"/>
      <c r="B5420" s="951"/>
    </row>
    <row r="5421" spans="1:2">
      <c r="A5421" s="951"/>
      <c r="B5421" s="951"/>
    </row>
    <row r="5422" spans="1:2">
      <c r="A5422" s="951"/>
      <c r="B5422" s="951"/>
    </row>
    <row r="5423" spans="1:2">
      <c r="A5423" s="951"/>
      <c r="B5423" s="951"/>
    </row>
    <row r="5424" spans="1:2">
      <c r="A5424" s="951"/>
      <c r="B5424" s="951"/>
    </row>
    <row r="5425" spans="1:2">
      <c r="A5425" s="951"/>
      <c r="B5425" s="951"/>
    </row>
    <row r="5426" spans="1:2">
      <c r="A5426" s="951"/>
      <c r="B5426" s="951"/>
    </row>
    <row r="5427" spans="1:2">
      <c r="A5427" s="951"/>
      <c r="B5427" s="951"/>
    </row>
    <row r="5428" spans="1:2">
      <c r="A5428" s="951"/>
      <c r="B5428" s="951"/>
    </row>
    <row r="5429" spans="1:2">
      <c r="A5429" s="951"/>
      <c r="B5429" s="951"/>
    </row>
    <row r="5430" spans="1:2">
      <c r="A5430" s="951"/>
      <c r="B5430" s="951"/>
    </row>
    <row r="5431" spans="1:2">
      <c r="A5431" s="951"/>
      <c r="B5431" s="951"/>
    </row>
    <row r="5432" spans="1:2">
      <c r="A5432" s="951"/>
      <c r="B5432" s="951"/>
    </row>
    <row r="5433" spans="1:2">
      <c r="A5433" s="951"/>
      <c r="B5433" s="951"/>
    </row>
    <row r="5434" spans="1:2">
      <c r="A5434" s="951"/>
      <c r="B5434" s="951"/>
    </row>
    <row r="5435" spans="1:2">
      <c r="A5435" s="951"/>
      <c r="B5435" s="951"/>
    </row>
    <row r="5436" spans="1:2">
      <c r="A5436" s="951"/>
      <c r="B5436" s="951"/>
    </row>
    <row r="5437" spans="1:2">
      <c r="A5437" s="951"/>
      <c r="B5437" s="951"/>
    </row>
    <row r="5438" spans="1:2">
      <c r="A5438" s="951"/>
      <c r="B5438" s="951"/>
    </row>
    <row r="5439" spans="1:2">
      <c r="A5439" s="951"/>
      <c r="B5439" s="951"/>
    </row>
    <row r="5440" spans="1:2">
      <c r="A5440" s="951"/>
      <c r="B5440" s="951"/>
    </row>
    <row r="5441" spans="1:2">
      <c r="A5441" s="951"/>
      <c r="B5441" s="951"/>
    </row>
    <row r="5442" spans="1:2">
      <c r="A5442" s="951"/>
      <c r="B5442" s="951"/>
    </row>
    <row r="5443" spans="1:2">
      <c r="A5443" s="951"/>
      <c r="B5443" s="951"/>
    </row>
    <row r="5444" spans="1:2">
      <c r="A5444" s="951"/>
      <c r="B5444" s="951"/>
    </row>
    <row r="5445" spans="1:2">
      <c r="A5445" s="951"/>
      <c r="B5445" s="951"/>
    </row>
    <row r="5446" spans="1:2">
      <c r="A5446" s="951"/>
      <c r="B5446" s="951"/>
    </row>
    <row r="5447" spans="1:2">
      <c r="A5447" s="951"/>
      <c r="B5447" s="951"/>
    </row>
    <row r="5448" spans="1:2">
      <c r="A5448" s="951"/>
      <c r="B5448" s="951"/>
    </row>
    <row r="5449" spans="1:2">
      <c r="A5449" s="951"/>
      <c r="B5449" s="951"/>
    </row>
    <row r="5450" spans="1:2">
      <c r="A5450" s="951"/>
      <c r="B5450" s="951"/>
    </row>
    <row r="5451" spans="1:2">
      <c r="A5451" s="951"/>
      <c r="B5451" s="951"/>
    </row>
    <row r="5452" spans="1:2">
      <c r="A5452" s="951"/>
      <c r="B5452" s="951"/>
    </row>
    <row r="5453" spans="1:2">
      <c r="A5453" s="951"/>
      <c r="B5453" s="951"/>
    </row>
    <row r="5454" spans="1:2">
      <c r="A5454" s="951"/>
      <c r="B5454" s="951"/>
    </row>
    <row r="5455" spans="1:2">
      <c r="A5455" s="951"/>
      <c r="B5455" s="951"/>
    </row>
    <row r="5456" spans="1:2">
      <c r="A5456" s="951"/>
      <c r="B5456" s="951"/>
    </row>
    <row r="5457" spans="1:2">
      <c r="A5457" s="951"/>
      <c r="B5457" s="951"/>
    </row>
    <row r="5458" spans="1:2">
      <c r="A5458" s="951"/>
      <c r="B5458" s="951"/>
    </row>
    <row r="5459" spans="1:2">
      <c r="A5459" s="951"/>
      <c r="B5459" s="951"/>
    </row>
    <row r="5460" spans="1:2">
      <c r="A5460" s="951"/>
      <c r="B5460" s="951"/>
    </row>
    <row r="5461" spans="1:2">
      <c r="A5461" s="951"/>
      <c r="B5461" s="951"/>
    </row>
    <row r="5462" spans="1:2">
      <c r="A5462" s="951"/>
      <c r="B5462" s="951"/>
    </row>
    <row r="5463" spans="1:2">
      <c r="A5463" s="951"/>
      <c r="B5463" s="951"/>
    </row>
    <row r="5464" spans="1:2">
      <c r="A5464" s="951"/>
      <c r="B5464" s="951"/>
    </row>
    <row r="5465" spans="1:2">
      <c r="A5465" s="951"/>
      <c r="B5465" s="951"/>
    </row>
    <row r="5466" spans="1:2">
      <c r="A5466" s="951"/>
      <c r="B5466" s="951"/>
    </row>
    <row r="5467" spans="1:2">
      <c r="A5467" s="951"/>
      <c r="B5467" s="951"/>
    </row>
    <row r="5468" spans="1:2">
      <c r="A5468" s="951"/>
      <c r="B5468" s="951"/>
    </row>
    <row r="5469" spans="1:2">
      <c r="A5469" s="951"/>
      <c r="B5469" s="951"/>
    </row>
    <row r="5470" spans="1:2">
      <c r="A5470" s="951"/>
      <c r="B5470" s="951"/>
    </row>
    <row r="5471" spans="1:2">
      <c r="A5471" s="951"/>
      <c r="B5471" s="951"/>
    </row>
    <row r="5472" spans="1:2">
      <c r="A5472" s="951"/>
      <c r="B5472" s="951"/>
    </row>
    <row r="5473" spans="1:2">
      <c r="A5473" s="951"/>
      <c r="B5473" s="951"/>
    </row>
    <row r="5474" spans="1:2">
      <c r="A5474" s="951"/>
      <c r="B5474" s="951"/>
    </row>
    <row r="5475" spans="1:2">
      <c r="A5475" s="951"/>
      <c r="B5475" s="951"/>
    </row>
    <row r="5476" spans="1:2">
      <c r="A5476" s="951"/>
      <c r="B5476" s="951"/>
    </row>
    <row r="5477" spans="1:2">
      <c r="A5477" s="951"/>
      <c r="B5477" s="951"/>
    </row>
    <row r="5478" spans="1:2">
      <c r="A5478" s="951"/>
      <c r="B5478" s="951"/>
    </row>
    <row r="5479" spans="1:2">
      <c r="A5479" s="951"/>
      <c r="B5479" s="951"/>
    </row>
    <row r="5480" spans="1:2">
      <c r="A5480" s="951"/>
      <c r="B5480" s="951"/>
    </row>
    <row r="5481" spans="1:2">
      <c r="A5481" s="951"/>
      <c r="B5481" s="951"/>
    </row>
    <row r="5482" spans="1:2">
      <c r="A5482" s="951"/>
      <c r="B5482" s="951"/>
    </row>
    <row r="5483" spans="1:2">
      <c r="A5483" s="951"/>
      <c r="B5483" s="951"/>
    </row>
    <row r="5484" spans="1:2">
      <c r="A5484" s="951"/>
      <c r="B5484" s="951"/>
    </row>
    <row r="5485" spans="1:2">
      <c r="A5485" s="951"/>
      <c r="B5485" s="951"/>
    </row>
    <row r="5486" spans="1:2">
      <c r="A5486" s="951"/>
      <c r="B5486" s="951"/>
    </row>
    <row r="5487" spans="1:2">
      <c r="A5487" s="951"/>
      <c r="B5487" s="951"/>
    </row>
    <row r="5488" spans="1:2">
      <c r="A5488" s="951"/>
      <c r="B5488" s="951"/>
    </row>
    <row r="5489" spans="1:2">
      <c r="A5489" s="951"/>
      <c r="B5489" s="951"/>
    </row>
    <row r="5490" spans="1:2">
      <c r="A5490" s="951"/>
      <c r="B5490" s="951"/>
    </row>
    <row r="5491" spans="1:2">
      <c r="A5491" s="951"/>
      <c r="B5491" s="951"/>
    </row>
    <row r="5492" spans="1:2">
      <c r="A5492" s="951"/>
      <c r="B5492" s="951"/>
    </row>
    <row r="5493" spans="1:2">
      <c r="A5493" s="951"/>
      <c r="B5493" s="951"/>
    </row>
    <row r="5494" spans="1:2">
      <c r="A5494" s="951"/>
      <c r="B5494" s="951"/>
    </row>
    <row r="5495" spans="1:2">
      <c r="A5495" s="951"/>
      <c r="B5495" s="951"/>
    </row>
    <row r="5496" spans="1:2">
      <c r="A5496" s="951"/>
      <c r="B5496" s="951"/>
    </row>
    <row r="5497" spans="1:2">
      <c r="A5497" s="951"/>
      <c r="B5497" s="951"/>
    </row>
    <row r="5498" spans="1:2">
      <c r="A5498" s="951"/>
      <c r="B5498" s="951"/>
    </row>
    <row r="5499" spans="1:2">
      <c r="A5499" s="951"/>
      <c r="B5499" s="951"/>
    </row>
    <row r="5500" spans="1:2">
      <c r="A5500" s="951"/>
      <c r="B5500" s="951"/>
    </row>
    <row r="5501" spans="1:2">
      <c r="A5501" s="951"/>
      <c r="B5501" s="951"/>
    </row>
    <row r="5502" spans="1:2">
      <c r="A5502" s="951"/>
      <c r="B5502" s="951"/>
    </row>
    <row r="5503" spans="1:2">
      <c r="A5503" s="951"/>
      <c r="B5503" s="951"/>
    </row>
    <row r="5504" spans="1:2">
      <c r="A5504" s="951"/>
      <c r="B5504" s="951"/>
    </row>
    <row r="5505" spans="1:2">
      <c r="A5505" s="951"/>
      <c r="B5505" s="951"/>
    </row>
    <row r="5506" spans="1:2">
      <c r="A5506" s="951"/>
      <c r="B5506" s="951"/>
    </row>
    <row r="5507" spans="1:2">
      <c r="A5507" s="951"/>
      <c r="B5507" s="951"/>
    </row>
    <row r="5508" spans="1:2">
      <c r="A5508" s="951"/>
      <c r="B5508" s="951"/>
    </row>
    <row r="5509" spans="1:2">
      <c r="A5509" s="951"/>
      <c r="B5509" s="951"/>
    </row>
    <row r="5510" spans="1:2">
      <c r="A5510" s="951"/>
      <c r="B5510" s="951"/>
    </row>
    <row r="5511" spans="1:2">
      <c r="A5511" s="951"/>
      <c r="B5511" s="951"/>
    </row>
    <row r="5512" spans="1:2">
      <c r="A5512" s="951"/>
      <c r="B5512" s="951"/>
    </row>
    <row r="5513" spans="1:2">
      <c r="A5513" s="951"/>
      <c r="B5513" s="951"/>
    </row>
    <row r="5514" spans="1:2">
      <c r="A5514" s="951"/>
      <c r="B5514" s="951"/>
    </row>
    <row r="5515" spans="1:2">
      <c r="A5515" s="951"/>
      <c r="B5515" s="951"/>
    </row>
    <row r="5516" spans="1:2">
      <c r="A5516" s="951"/>
      <c r="B5516" s="951"/>
    </row>
    <row r="5517" spans="1:2">
      <c r="A5517" s="951"/>
      <c r="B5517" s="951"/>
    </row>
    <row r="5518" spans="1:2">
      <c r="A5518" s="951"/>
      <c r="B5518" s="951"/>
    </row>
    <row r="5519" spans="1:2">
      <c r="A5519" s="951"/>
      <c r="B5519" s="951"/>
    </row>
    <row r="5520" spans="1:2">
      <c r="A5520" s="951"/>
      <c r="B5520" s="951"/>
    </row>
    <row r="5521" spans="1:2">
      <c r="A5521" s="951"/>
      <c r="B5521" s="951"/>
    </row>
    <row r="5522" spans="1:2">
      <c r="A5522" s="951"/>
      <c r="B5522" s="951"/>
    </row>
    <row r="5523" spans="1:2">
      <c r="A5523" s="951"/>
      <c r="B5523" s="951"/>
    </row>
    <row r="5524" spans="1:2">
      <c r="A5524" s="951"/>
      <c r="B5524" s="951"/>
    </row>
    <row r="5525" spans="1:2">
      <c r="A5525" s="951"/>
      <c r="B5525" s="951"/>
    </row>
    <row r="5526" spans="1:2">
      <c r="A5526" s="951"/>
      <c r="B5526" s="951"/>
    </row>
    <row r="5527" spans="1:2">
      <c r="A5527" s="951"/>
      <c r="B5527" s="951"/>
    </row>
    <row r="5528" spans="1:2">
      <c r="A5528" s="951"/>
      <c r="B5528" s="951"/>
    </row>
    <row r="5529" spans="1:2">
      <c r="A5529" s="951"/>
      <c r="B5529" s="951"/>
    </row>
    <row r="5530" spans="1:2">
      <c r="A5530" s="951"/>
      <c r="B5530" s="951"/>
    </row>
    <row r="5531" spans="1:2">
      <c r="A5531" s="951"/>
      <c r="B5531" s="951"/>
    </row>
    <row r="5532" spans="1:2">
      <c r="A5532" s="951"/>
      <c r="B5532" s="951"/>
    </row>
    <row r="5533" spans="1:2">
      <c r="A5533" s="951"/>
      <c r="B5533" s="951"/>
    </row>
    <row r="5534" spans="1:2">
      <c r="A5534" s="951"/>
      <c r="B5534" s="951"/>
    </row>
    <row r="5535" spans="1:2">
      <c r="A5535" s="951"/>
      <c r="B5535" s="951"/>
    </row>
    <row r="5536" spans="1:2">
      <c r="A5536" s="951"/>
      <c r="B5536" s="951"/>
    </row>
    <row r="5537" spans="1:2">
      <c r="A5537" s="951"/>
      <c r="B5537" s="951"/>
    </row>
    <row r="5538" spans="1:2">
      <c r="A5538" s="951"/>
      <c r="B5538" s="951"/>
    </row>
    <row r="5539" spans="1:2">
      <c r="A5539" s="951"/>
      <c r="B5539" s="951"/>
    </row>
    <row r="5540" spans="1:2">
      <c r="A5540" s="951"/>
      <c r="B5540" s="951"/>
    </row>
    <row r="5541" spans="1:2">
      <c r="A5541" s="951"/>
      <c r="B5541" s="951"/>
    </row>
    <row r="5542" spans="1:2">
      <c r="A5542" s="951"/>
      <c r="B5542" s="951"/>
    </row>
    <row r="5543" spans="1:2">
      <c r="A5543" s="951"/>
      <c r="B5543" s="951"/>
    </row>
    <row r="5544" spans="1:2">
      <c r="A5544" s="951"/>
      <c r="B5544" s="951"/>
    </row>
    <row r="5545" spans="1:2">
      <c r="A5545" s="951"/>
      <c r="B5545" s="951"/>
    </row>
    <row r="5546" spans="1:2">
      <c r="A5546" s="951"/>
      <c r="B5546" s="951"/>
    </row>
    <row r="5547" spans="1:2">
      <c r="A5547" s="951"/>
      <c r="B5547" s="951"/>
    </row>
    <row r="5548" spans="1:2">
      <c r="A5548" s="951"/>
      <c r="B5548" s="951"/>
    </row>
    <row r="5549" spans="1:2">
      <c r="A5549" s="951"/>
      <c r="B5549" s="951"/>
    </row>
    <row r="5550" spans="1:2">
      <c r="A5550" s="951"/>
      <c r="B5550" s="951"/>
    </row>
    <row r="5551" spans="1:2">
      <c r="A5551" s="951"/>
      <c r="B5551" s="951"/>
    </row>
    <row r="5552" spans="1:2">
      <c r="A5552" s="951"/>
      <c r="B5552" s="951"/>
    </row>
    <row r="5553" spans="1:2">
      <c r="A5553" s="951"/>
      <c r="B5553" s="951"/>
    </row>
    <row r="5554" spans="1:2">
      <c r="A5554" s="951"/>
      <c r="B5554" s="951"/>
    </row>
    <row r="5555" spans="1:2">
      <c r="A5555" s="951"/>
      <c r="B5555" s="951"/>
    </row>
    <row r="5556" spans="1:2">
      <c r="A5556" s="951"/>
      <c r="B5556" s="951"/>
    </row>
    <row r="5557" spans="1:2">
      <c r="A5557" s="951"/>
      <c r="B5557" s="951"/>
    </row>
    <row r="5558" spans="1:2">
      <c r="A5558" s="951"/>
      <c r="B5558" s="951"/>
    </row>
    <row r="5559" spans="1:2">
      <c r="A5559" s="951"/>
      <c r="B5559" s="951"/>
    </row>
    <row r="5560" spans="1:2">
      <c r="A5560" s="951"/>
      <c r="B5560" s="951"/>
    </row>
    <row r="5561" spans="1:2">
      <c r="A5561" s="951"/>
      <c r="B5561" s="951"/>
    </row>
    <row r="5562" spans="1:2">
      <c r="A5562" s="951"/>
      <c r="B5562" s="951"/>
    </row>
    <row r="5563" spans="1:2">
      <c r="A5563" s="951"/>
      <c r="B5563" s="951"/>
    </row>
    <row r="5564" spans="1:2">
      <c r="A5564" s="951"/>
      <c r="B5564" s="951"/>
    </row>
    <row r="5565" spans="1:2">
      <c r="A5565" s="951"/>
      <c r="B5565" s="951"/>
    </row>
    <row r="5566" spans="1:2">
      <c r="A5566" s="951"/>
      <c r="B5566" s="951"/>
    </row>
    <row r="5567" spans="1:2">
      <c r="A5567" s="951"/>
      <c r="B5567" s="951"/>
    </row>
    <row r="5568" spans="1:2">
      <c r="A5568" s="951"/>
      <c r="B5568" s="951"/>
    </row>
    <row r="5569" spans="1:2">
      <c r="A5569" s="951"/>
      <c r="B5569" s="951"/>
    </row>
    <row r="5570" spans="1:2">
      <c r="A5570" s="951"/>
      <c r="B5570" s="951"/>
    </row>
    <row r="5571" spans="1:2">
      <c r="A5571" s="951"/>
      <c r="B5571" s="951"/>
    </row>
    <row r="5572" spans="1:2">
      <c r="A5572" s="951"/>
      <c r="B5572" s="951"/>
    </row>
    <row r="5573" spans="1:2">
      <c r="A5573" s="951"/>
      <c r="B5573" s="951"/>
    </row>
    <row r="5574" spans="1:2">
      <c r="A5574" s="951"/>
      <c r="B5574" s="951"/>
    </row>
    <row r="5575" spans="1:2">
      <c r="A5575" s="951"/>
      <c r="B5575" s="951"/>
    </row>
    <row r="5576" spans="1:2">
      <c r="A5576" s="951"/>
      <c r="B5576" s="951"/>
    </row>
    <row r="5577" spans="1:2">
      <c r="A5577" s="951"/>
      <c r="B5577" s="951"/>
    </row>
    <row r="5578" spans="1:2">
      <c r="A5578" s="951"/>
      <c r="B5578" s="951"/>
    </row>
    <row r="5579" spans="1:2">
      <c r="A5579" s="951"/>
      <c r="B5579" s="951"/>
    </row>
    <row r="5580" spans="1:2">
      <c r="A5580" s="951"/>
      <c r="B5580" s="951"/>
    </row>
    <row r="5581" spans="1:2">
      <c r="A5581" s="951"/>
      <c r="B5581" s="951"/>
    </row>
    <row r="5582" spans="1:2">
      <c r="A5582" s="951"/>
      <c r="B5582" s="951"/>
    </row>
    <row r="5583" spans="1:2">
      <c r="A5583" s="951"/>
      <c r="B5583" s="951"/>
    </row>
    <row r="5584" spans="1:2">
      <c r="A5584" s="951"/>
      <c r="B5584" s="951"/>
    </row>
    <row r="5585" spans="1:2">
      <c r="A5585" s="951"/>
      <c r="B5585" s="951"/>
    </row>
    <row r="5586" spans="1:2">
      <c r="A5586" s="951"/>
      <c r="B5586" s="951"/>
    </row>
    <row r="5587" spans="1:2">
      <c r="A5587" s="951"/>
      <c r="B5587" s="951"/>
    </row>
    <row r="5588" spans="1:2">
      <c r="A5588" s="951"/>
      <c r="B5588" s="951"/>
    </row>
    <row r="5589" spans="1:2">
      <c r="A5589" s="951"/>
      <c r="B5589" s="951"/>
    </row>
    <row r="5590" spans="1:2">
      <c r="A5590" s="951"/>
      <c r="B5590" s="951"/>
    </row>
    <row r="5591" spans="1:2">
      <c r="A5591" s="951"/>
      <c r="B5591" s="951"/>
    </row>
    <row r="5592" spans="1:2">
      <c r="A5592" s="951"/>
      <c r="B5592" s="951"/>
    </row>
    <row r="5593" spans="1:2">
      <c r="A5593" s="951"/>
      <c r="B5593" s="951"/>
    </row>
    <row r="5594" spans="1:2">
      <c r="A5594" s="951"/>
      <c r="B5594" s="951"/>
    </row>
    <row r="5595" spans="1:2">
      <c r="A5595" s="951"/>
      <c r="B5595" s="951"/>
    </row>
    <row r="5596" spans="1:2">
      <c r="A5596" s="951"/>
      <c r="B5596" s="951"/>
    </row>
    <row r="5597" spans="1:2">
      <c r="A5597" s="951"/>
      <c r="B5597" s="951"/>
    </row>
    <row r="5598" spans="1:2">
      <c r="A5598" s="951"/>
      <c r="B5598" s="951"/>
    </row>
    <row r="5599" spans="1:2">
      <c r="A5599" s="951"/>
      <c r="B5599" s="951"/>
    </row>
    <row r="5600" spans="1:2">
      <c r="A5600" s="951"/>
      <c r="B5600" s="951"/>
    </row>
    <row r="5601" spans="1:2">
      <c r="A5601" s="951"/>
      <c r="B5601" s="951"/>
    </row>
    <row r="5602" spans="1:2">
      <c r="A5602" s="951"/>
      <c r="B5602" s="951"/>
    </row>
    <row r="5603" spans="1:2">
      <c r="A5603" s="951"/>
      <c r="B5603" s="951"/>
    </row>
    <row r="5604" spans="1:2">
      <c r="A5604" s="951"/>
      <c r="B5604" s="951"/>
    </row>
    <row r="5605" spans="1:2">
      <c r="A5605" s="951"/>
      <c r="B5605" s="951"/>
    </row>
    <row r="5606" spans="1:2">
      <c r="A5606" s="951"/>
      <c r="B5606" s="951"/>
    </row>
    <row r="5607" spans="1:2">
      <c r="A5607" s="951"/>
      <c r="B5607" s="951"/>
    </row>
    <row r="5608" spans="1:2">
      <c r="A5608" s="951"/>
      <c r="B5608" s="951"/>
    </row>
    <row r="5609" spans="1:2">
      <c r="A5609" s="951"/>
      <c r="B5609" s="951"/>
    </row>
    <row r="5610" spans="1:2">
      <c r="A5610" s="951"/>
      <c r="B5610" s="951"/>
    </row>
    <row r="5611" spans="1:2">
      <c r="A5611" s="951"/>
      <c r="B5611" s="951"/>
    </row>
    <row r="5612" spans="1:2">
      <c r="A5612" s="951"/>
      <c r="B5612" s="951"/>
    </row>
    <row r="5613" spans="1:2">
      <c r="A5613" s="951"/>
      <c r="B5613" s="951"/>
    </row>
    <row r="5614" spans="1:2">
      <c r="A5614" s="951"/>
      <c r="B5614" s="951"/>
    </row>
    <row r="5615" spans="1:2">
      <c r="A5615" s="951"/>
      <c r="B5615" s="951"/>
    </row>
    <row r="5616" spans="1:2">
      <c r="A5616" s="951"/>
      <c r="B5616" s="951"/>
    </row>
    <row r="5617" spans="1:2">
      <c r="A5617" s="951"/>
      <c r="B5617" s="951"/>
    </row>
    <row r="5618" spans="1:2">
      <c r="A5618" s="951"/>
      <c r="B5618" s="951"/>
    </row>
    <row r="5619" spans="1:2">
      <c r="A5619" s="951"/>
      <c r="B5619" s="951"/>
    </row>
    <row r="5620" spans="1:2">
      <c r="A5620" s="951"/>
      <c r="B5620" s="951"/>
    </row>
    <row r="5621" spans="1:2">
      <c r="A5621" s="951"/>
      <c r="B5621" s="951"/>
    </row>
    <row r="5622" spans="1:2">
      <c r="A5622" s="951"/>
      <c r="B5622" s="951"/>
    </row>
    <row r="5623" spans="1:2">
      <c r="A5623" s="951"/>
      <c r="B5623" s="951"/>
    </row>
    <row r="5624" spans="1:2">
      <c r="A5624" s="951"/>
      <c r="B5624" s="951"/>
    </row>
    <row r="5625" spans="1:2">
      <c r="A5625" s="951"/>
      <c r="B5625" s="951"/>
    </row>
    <row r="5626" spans="1:2">
      <c r="A5626" s="951"/>
      <c r="B5626" s="951"/>
    </row>
    <row r="5627" spans="1:2">
      <c r="A5627" s="951"/>
      <c r="B5627" s="951"/>
    </row>
    <row r="5628" spans="1:2">
      <c r="A5628" s="951"/>
      <c r="B5628" s="951"/>
    </row>
    <row r="5629" spans="1:2">
      <c r="A5629" s="951"/>
      <c r="B5629" s="951"/>
    </row>
    <row r="5630" spans="1:2">
      <c r="A5630" s="951"/>
      <c r="B5630" s="951"/>
    </row>
    <row r="5631" spans="1:2">
      <c r="A5631" s="951"/>
      <c r="B5631" s="951"/>
    </row>
    <row r="5632" spans="1:2">
      <c r="A5632" s="951"/>
      <c r="B5632" s="951"/>
    </row>
    <row r="5633" spans="1:2">
      <c r="A5633" s="951"/>
      <c r="B5633" s="951"/>
    </row>
    <row r="5634" spans="1:2">
      <c r="A5634" s="951"/>
      <c r="B5634" s="951"/>
    </row>
    <row r="5635" spans="1:2">
      <c r="A5635" s="951"/>
      <c r="B5635" s="951"/>
    </row>
    <row r="5636" spans="1:2">
      <c r="A5636" s="951"/>
      <c r="B5636" s="951"/>
    </row>
    <row r="5637" spans="1:2">
      <c r="A5637" s="951"/>
      <c r="B5637" s="951"/>
    </row>
    <row r="5638" spans="1:2">
      <c r="A5638" s="951"/>
      <c r="B5638" s="951"/>
    </row>
    <row r="5639" spans="1:2">
      <c r="A5639" s="951"/>
      <c r="B5639" s="951"/>
    </row>
    <row r="5640" spans="1:2">
      <c r="A5640" s="951"/>
      <c r="B5640" s="951"/>
    </row>
    <row r="5641" spans="1:2">
      <c r="A5641" s="951"/>
      <c r="B5641" s="951"/>
    </row>
    <row r="5642" spans="1:2">
      <c r="A5642" s="951"/>
      <c r="B5642" s="951"/>
    </row>
    <row r="5643" spans="1:2">
      <c r="A5643" s="951"/>
      <c r="B5643" s="951"/>
    </row>
    <row r="5644" spans="1:2">
      <c r="A5644" s="951"/>
      <c r="B5644" s="951"/>
    </row>
    <row r="5645" spans="1:2">
      <c r="A5645" s="951"/>
      <c r="B5645" s="951"/>
    </row>
    <row r="5646" spans="1:2">
      <c r="A5646" s="951"/>
      <c r="B5646" s="951"/>
    </row>
    <row r="5647" spans="1:2">
      <c r="A5647" s="951"/>
      <c r="B5647" s="951"/>
    </row>
    <row r="5648" spans="1:2">
      <c r="A5648" s="951"/>
      <c r="B5648" s="951"/>
    </row>
    <row r="5649" spans="1:2">
      <c r="A5649" s="951"/>
      <c r="B5649" s="951"/>
    </row>
    <row r="5650" spans="1:2">
      <c r="A5650" s="951"/>
      <c r="B5650" s="951"/>
    </row>
    <row r="5651" spans="1:2">
      <c r="A5651" s="951"/>
      <c r="B5651" s="951"/>
    </row>
    <row r="5652" spans="1:2">
      <c r="A5652" s="951"/>
      <c r="B5652" s="951"/>
    </row>
    <row r="5653" spans="1:2">
      <c r="A5653" s="951"/>
      <c r="B5653" s="951"/>
    </row>
    <row r="5654" spans="1:2">
      <c r="A5654" s="951"/>
      <c r="B5654" s="951"/>
    </row>
    <row r="5655" spans="1:2">
      <c r="A5655" s="951"/>
      <c r="B5655" s="951"/>
    </row>
    <row r="5656" spans="1:2">
      <c r="A5656" s="951"/>
      <c r="B5656" s="951"/>
    </row>
    <row r="5657" spans="1:2">
      <c r="A5657" s="951"/>
      <c r="B5657" s="951"/>
    </row>
    <row r="5658" spans="1:2">
      <c r="A5658" s="951"/>
      <c r="B5658" s="951"/>
    </row>
    <row r="5659" spans="1:2">
      <c r="A5659" s="951"/>
      <c r="B5659" s="951"/>
    </row>
    <row r="5660" spans="1:2">
      <c r="A5660" s="951"/>
      <c r="B5660" s="951"/>
    </row>
    <row r="5661" spans="1:2">
      <c r="A5661" s="951"/>
      <c r="B5661" s="951"/>
    </row>
    <row r="5662" spans="1:2">
      <c r="A5662" s="951"/>
      <c r="B5662" s="951"/>
    </row>
    <row r="5663" spans="1:2">
      <c r="A5663" s="951"/>
      <c r="B5663" s="951"/>
    </row>
    <row r="5664" spans="1:2">
      <c r="A5664" s="951"/>
      <c r="B5664" s="951"/>
    </row>
    <row r="5665" spans="1:2">
      <c r="A5665" s="951"/>
      <c r="B5665" s="951"/>
    </row>
    <row r="5666" spans="1:2">
      <c r="A5666" s="951"/>
      <c r="B5666" s="951"/>
    </row>
    <row r="5667" spans="1:2">
      <c r="A5667" s="951"/>
      <c r="B5667" s="951"/>
    </row>
    <row r="5668" spans="1:2">
      <c r="A5668" s="951"/>
      <c r="B5668" s="951"/>
    </row>
    <row r="5669" spans="1:2">
      <c r="A5669" s="951"/>
      <c r="B5669" s="951"/>
    </row>
    <row r="5670" spans="1:2">
      <c r="A5670" s="951"/>
      <c r="B5670" s="951"/>
    </row>
    <row r="5671" spans="1:2">
      <c r="A5671" s="951"/>
      <c r="B5671" s="951"/>
    </row>
    <row r="5672" spans="1:2">
      <c r="A5672" s="951"/>
      <c r="B5672" s="951"/>
    </row>
    <row r="5673" spans="1:2">
      <c r="A5673" s="951"/>
      <c r="B5673" s="951"/>
    </row>
    <row r="5674" spans="1:2">
      <c r="A5674" s="951"/>
      <c r="B5674" s="951"/>
    </row>
    <row r="5675" spans="1:2">
      <c r="A5675" s="951"/>
      <c r="B5675" s="951"/>
    </row>
    <row r="5676" spans="1:2">
      <c r="A5676" s="951"/>
      <c r="B5676" s="951"/>
    </row>
    <row r="5677" spans="1:2">
      <c r="A5677" s="951"/>
      <c r="B5677" s="951"/>
    </row>
    <row r="5678" spans="1:2">
      <c r="A5678" s="951"/>
      <c r="B5678" s="951"/>
    </row>
    <row r="5679" spans="1:2">
      <c r="A5679" s="951"/>
      <c r="B5679" s="951"/>
    </row>
    <row r="5680" spans="1:2">
      <c r="A5680" s="951"/>
      <c r="B5680" s="951"/>
    </row>
    <row r="5681" spans="1:2">
      <c r="A5681" s="951"/>
      <c r="B5681" s="951"/>
    </row>
    <row r="5682" spans="1:2">
      <c r="A5682" s="951"/>
      <c r="B5682" s="951"/>
    </row>
    <row r="5683" spans="1:2">
      <c r="A5683" s="951"/>
      <c r="B5683" s="951"/>
    </row>
    <row r="5684" spans="1:2">
      <c r="A5684" s="951"/>
      <c r="B5684" s="951"/>
    </row>
    <row r="5685" spans="1:2">
      <c r="A5685" s="951"/>
      <c r="B5685" s="951"/>
    </row>
    <row r="5686" spans="1:2">
      <c r="A5686" s="951"/>
      <c r="B5686" s="951"/>
    </row>
    <row r="5687" spans="1:2">
      <c r="A5687" s="951"/>
      <c r="B5687" s="951"/>
    </row>
    <row r="5688" spans="1:2">
      <c r="A5688" s="951"/>
      <c r="B5688" s="951"/>
    </row>
    <row r="5689" spans="1:2">
      <c r="A5689" s="951"/>
      <c r="B5689" s="951"/>
    </row>
    <row r="5690" spans="1:2">
      <c r="A5690" s="951"/>
      <c r="B5690" s="951"/>
    </row>
    <row r="5691" spans="1:2">
      <c r="A5691" s="951"/>
      <c r="B5691" s="951"/>
    </row>
    <row r="5692" spans="1:2">
      <c r="A5692" s="951"/>
      <c r="B5692" s="951"/>
    </row>
    <row r="5693" spans="1:2">
      <c r="A5693" s="951"/>
      <c r="B5693" s="951"/>
    </row>
    <row r="5694" spans="1:2">
      <c r="A5694" s="951"/>
      <c r="B5694" s="951"/>
    </row>
    <row r="5695" spans="1:2">
      <c r="A5695" s="951"/>
      <c r="B5695" s="951"/>
    </row>
    <row r="5696" spans="1:2">
      <c r="A5696" s="951"/>
      <c r="B5696" s="951"/>
    </row>
    <row r="5697" spans="1:2">
      <c r="A5697" s="951"/>
      <c r="B5697" s="951"/>
    </row>
    <row r="5698" spans="1:2">
      <c r="A5698" s="951"/>
      <c r="B5698" s="951"/>
    </row>
    <row r="5699" spans="1:2">
      <c r="A5699" s="951"/>
      <c r="B5699" s="951"/>
    </row>
    <row r="5700" spans="1:2">
      <c r="A5700" s="951"/>
      <c r="B5700" s="951"/>
    </row>
    <row r="5701" spans="1:2">
      <c r="A5701" s="951"/>
      <c r="B5701" s="951"/>
    </row>
    <row r="5702" spans="1:2">
      <c r="A5702" s="951"/>
      <c r="B5702" s="951"/>
    </row>
    <row r="5703" spans="1:2">
      <c r="A5703" s="951"/>
      <c r="B5703" s="951"/>
    </row>
    <row r="5704" spans="1:2">
      <c r="A5704" s="951"/>
      <c r="B5704" s="951"/>
    </row>
    <row r="5705" spans="1:2">
      <c r="A5705" s="951"/>
      <c r="B5705" s="951"/>
    </row>
    <row r="5706" spans="1:2">
      <c r="A5706" s="951"/>
      <c r="B5706" s="951"/>
    </row>
    <row r="5707" spans="1:2">
      <c r="A5707" s="951"/>
      <c r="B5707" s="951"/>
    </row>
    <row r="5708" spans="1:2">
      <c r="A5708" s="951"/>
      <c r="B5708" s="951"/>
    </row>
    <row r="5709" spans="1:2">
      <c r="A5709" s="951"/>
      <c r="B5709" s="951"/>
    </row>
    <row r="5710" spans="1:2">
      <c r="A5710" s="951"/>
      <c r="B5710" s="951"/>
    </row>
    <row r="5711" spans="1:2">
      <c r="A5711" s="951"/>
      <c r="B5711" s="951"/>
    </row>
    <row r="5712" spans="1:2">
      <c r="A5712" s="951"/>
      <c r="B5712" s="951"/>
    </row>
    <row r="5713" spans="1:2">
      <c r="A5713" s="951"/>
      <c r="B5713" s="951"/>
    </row>
    <row r="5714" spans="1:2">
      <c r="A5714" s="951"/>
      <c r="B5714" s="951"/>
    </row>
    <row r="5715" spans="1:2">
      <c r="A5715" s="951"/>
      <c r="B5715" s="951"/>
    </row>
    <row r="5716" spans="1:2">
      <c r="A5716" s="951"/>
      <c r="B5716" s="951"/>
    </row>
    <row r="5717" spans="1:2">
      <c r="A5717" s="951"/>
      <c r="B5717" s="951"/>
    </row>
    <row r="5718" spans="1:2">
      <c r="A5718" s="951"/>
      <c r="B5718" s="951"/>
    </row>
    <row r="5719" spans="1:2">
      <c r="A5719" s="951"/>
      <c r="B5719" s="951"/>
    </row>
    <row r="5720" spans="1:2">
      <c r="A5720" s="951"/>
      <c r="B5720" s="951"/>
    </row>
    <row r="5721" spans="1:2">
      <c r="A5721" s="951"/>
      <c r="B5721" s="951"/>
    </row>
    <row r="5722" spans="1:2">
      <c r="A5722" s="951"/>
      <c r="B5722" s="951"/>
    </row>
    <row r="5723" spans="1:2">
      <c r="A5723" s="951"/>
      <c r="B5723" s="951"/>
    </row>
    <row r="5724" spans="1:2">
      <c r="A5724" s="951"/>
      <c r="B5724" s="951"/>
    </row>
    <row r="5725" spans="1:2">
      <c r="A5725" s="951"/>
      <c r="B5725" s="951"/>
    </row>
    <row r="5726" spans="1:2">
      <c r="A5726" s="951"/>
      <c r="B5726" s="951"/>
    </row>
    <row r="5727" spans="1:2">
      <c r="A5727" s="951"/>
      <c r="B5727" s="951"/>
    </row>
    <row r="5728" spans="1:2">
      <c r="A5728" s="951"/>
      <c r="B5728" s="951"/>
    </row>
    <row r="5729" spans="1:2">
      <c r="A5729" s="951"/>
      <c r="B5729" s="951"/>
    </row>
    <row r="5730" spans="1:2">
      <c r="A5730" s="951"/>
      <c r="B5730" s="951"/>
    </row>
    <row r="5731" spans="1:2">
      <c r="A5731" s="951"/>
      <c r="B5731" s="951"/>
    </row>
    <row r="5732" spans="1:2">
      <c r="A5732" s="951"/>
      <c r="B5732" s="951"/>
    </row>
    <row r="5733" spans="1:2">
      <c r="A5733" s="951"/>
      <c r="B5733" s="951"/>
    </row>
    <row r="5734" spans="1:2">
      <c r="A5734" s="951"/>
      <c r="B5734" s="951"/>
    </row>
    <row r="5735" spans="1:2">
      <c r="A5735" s="951"/>
      <c r="B5735" s="951"/>
    </row>
    <row r="5736" spans="1:2">
      <c r="A5736" s="951"/>
      <c r="B5736" s="951"/>
    </row>
    <row r="5737" spans="1:2">
      <c r="A5737" s="951"/>
      <c r="B5737" s="951"/>
    </row>
    <row r="5738" spans="1:2">
      <c r="A5738" s="951"/>
      <c r="B5738" s="951"/>
    </row>
    <row r="5739" spans="1:2">
      <c r="A5739" s="951"/>
      <c r="B5739" s="951"/>
    </row>
    <row r="5740" spans="1:2">
      <c r="A5740" s="951"/>
      <c r="B5740" s="951"/>
    </row>
    <row r="5741" spans="1:2">
      <c r="A5741" s="951"/>
      <c r="B5741" s="951"/>
    </row>
    <row r="5742" spans="1:2">
      <c r="A5742" s="951"/>
      <c r="B5742" s="951"/>
    </row>
    <row r="5743" spans="1:2">
      <c r="A5743" s="951"/>
      <c r="B5743" s="951"/>
    </row>
    <row r="5744" spans="1:2">
      <c r="A5744" s="951"/>
      <c r="B5744" s="951"/>
    </row>
    <row r="5745" spans="1:2">
      <c r="A5745" s="951"/>
      <c r="B5745" s="951"/>
    </row>
    <row r="5746" spans="1:2">
      <c r="A5746" s="951"/>
      <c r="B5746" s="951"/>
    </row>
    <row r="5747" spans="1:2">
      <c r="A5747" s="951"/>
      <c r="B5747" s="951"/>
    </row>
    <row r="5748" spans="1:2">
      <c r="A5748" s="951"/>
      <c r="B5748" s="951"/>
    </row>
    <row r="5749" spans="1:2">
      <c r="A5749" s="951"/>
      <c r="B5749" s="951"/>
    </row>
    <row r="5750" spans="1:2">
      <c r="A5750" s="951"/>
      <c r="B5750" s="951"/>
    </row>
    <row r="5751" spans="1:2">
      <c r="A5751" s="951"/>
      <c r="B5751" s="951"/>
    </row>
    <row r="5752" spans="1:2">
      <c r="A5752" s="951"/>
      <c r="B5752" s="951"/>
    </row>
    <row r="5753" spans="1:2">
      <c r="A5753" s="951"/>
      <c r="B5753" s="951"/>
    </row>
    <row r="5754" spans="1:2">
      <c r="A5754" s="951"/>
      <c r="B5754" s="951"/>
    </row>
    <row r="5755" spans="1:2">
      <c r="A5755" s="951"/>
      <c r="B5755" s="951"/>
    </row>
    <row r="5756" spans="1:2">
      <c r="A5756" s="951"/>
      <c r="B5756" s="951"/>
    </row>
    <row r="5757" spans="1:2">
      <c r="A5757" s="951"/>
      <c r="B5757" s="951"/>
    </row>
    <row r="5758" spans="1:2">
      <c r="A5758" s="951"/>
      <c r="B5758" s="951"/>
    </row>
    <row r="5759" spans="1:2">
      <c r="A5759" s="951"/>
      <c r="B5759" s="951"/>
    </row>
    <row r="5760" spans="1:2">
      <c r="A5760" s="951"/>
      <c r="B5760" s="951"/>
    </row>
    <row r="5761" spans="1:2">
      <c r="A5761" s="951"/>
      <c r="B5761" s="951"/>
    </row>
    <row r="5762" spans="1:2">
      <c r="A5762" s="951"/>
      <c r="B5762" s="951"/>
    </row>
    <row r="5763" spans="1:2">
      <c r="A5763" s="951"/>
      <c r="B5763" s="951"/>
    </row>
    <row r="5764" spans="1:2">
      <c r="A5764" s="951"/>
      <c r="B5764" s="951"/>
    </row>
    <row r="5765" spans="1:2">
      <c r="A5765" s="951"/>
      <c r="B5765" s="951"/>
    </row>
    <row r="5766" spans="1:2">
      <c r="A5766" s="951"/>
      <c r="B5766" s="951"/>
    </row>
    <row r="5767" spans="1:2">
      <c r="A5767" s="951"/>
      <c r="B5767" s="951"/>
    </row>
    <row r="5768" spans="1:2">
      <c r="A5768" s="951"/>
      <c r="B5768" s="951"/>
    </row>
    <row r="5769" spans="1:2">
      <c r="A5769" s="951"/>
      <c r="B5769" s="951"/>
    </row>
    <row r="5770" spans="1:2">
      <c r="A5770" s="951"/>
      <c r="B5770" s="951"/>
    </row>
    <row r="5771" spans="1:2">
      <c r="A5771" s="951"/>
      <c r="B5771" s="951"/>
    </row>
    <row r="5772" spans="1:2">
      <c r="A5772" s="951"/>
      <c r="B5772" s="951"/>
    </row>
    <row r="5773" spans="1:2">
      <c r="A5773" s="951"/>
      <c r="B5773" s="951"/>
    </row>
    <row r="5774" spans="1:2">
      <c r="A5774" s="951"/>
      <c r="B5774" s="951"/>
    </row>
    <row r="5775" spans="1:2">
      <c r="A5775" s="951"/>
      <c r="B5775" s="951"/>
    </row>
    <row r="5776" spans="1:2">
      <c r="A5776" s="951"/>
      <c r="B5776" s="951"/>
    </row>
    <row r="5777" spans="1:2">
      <c r="A5777" s="951"/>
      <c r="B5777" s="951"/>
    </row>
    <row r="5778" spans="1:2">
      <c r="A5778" s="951"/>
      <c r="B5778" s="951"/>
    </row>
    <row r="5779" spans="1:2">
      <c r="A5779" s="951"/>
      <c r="B5779" s="951"/>
    </row>
    <row r="5780" spans="1:2">
      <c r="A5780" s="951"/>
      <c r="B5780" s="951"/>
    </row>
    <row r="5781" spans="1:2">
      <c r="A5781" s="951"/>
      <c r="B5781" s="951"/>
    </row>
    <row r="5782" spans="1:2">
      <c r="A5782" s="951"/>
      <c r="B5782" s="951"/>
    </row>
    <row r="5783" spans="1:2">
      <c r="A5783" s="951"/>
      <c r="B5783" s="951"/>
    </row>
    <row r="5784" spans="1:2">
      <c r="A5784" s="951"/>
      <c r="B5784" s="951"/>
    </row>
    <row r="5785" spans="1:2">
      <c r="A5785" s="951"/>
      <c r="B5785" s="951"/>
    </row>
    <row r="5786" spans="1:2">
      <c r="A5786" s="951"/>
      <c r="B5786" s="951"/>
    </row>
    <row r="5787" spans="1:2">
      <c r="A5787" s="951"/>
      <c r="B5787" s="951"/>
    </row>
    <row r="5788" spans="1:2">
      <c r="A5788" s="951"/>
      <c r="B5788" s="951"/>
    </row>
    <row r="5789" spans="1:2">
      <c r="A5789" s="951"/>
      <c r="B5789" s="951"/>
    </row>
    <row r="5790" spans="1:2">
      <c r="A5790" s="951"/>
      <c r="B5790" s="951"/>
    </row>
    <row r="5791" spans="1:2">
      <c r="A5791" s="951"/>
      <c r="B5791" s="951"/>
    </row>
    <row r="5792" spans="1:2">
      <c r="A5792" s="951"/>
      <c r="B5792" s="951"/>
    </row>
    <row r="5793" spans="1:2">
      <c r="A5793" s="951"/>
      <c r="B5793" s="951"/>
    </row>
    <row r="5794" spans="1:2">
      <c r="A5794" s="951"/>
      <c r="B5794" s="951"/>
    </row>
    <row r="5795" spans="1:2">
      <c r="A5795" s="951"/>
      <c r="B5795" s="951"/>
    </row>
    <row r="5796" spans="1:2">
      <c r="A5796" s="951"/>
      <c r="B5796" s="951"/>
    </row>
    <row r="5797" spans="1:2">
      <c r="A5797" s="951"/>
      <c r="B5797" s="951"/>
    </row>
    <row r="5798" spans="1:2">
      <c r="A5798" s="951"/>
      <c r="B5798" s="951"/>
    </row>
    <row r="5799" spans="1:2">
      <c r="A5799" s="951"/>
      <c r="B5799" s="951"/>
    </row>
    <row r="5800" spans="1:2">
      <c r="A5800" s="951"/>
      <c r="B5800" s="951"/>
    </row>
    <row r="5801" spans="1:2">
      <c r="A5801" s="951"/>
      <c r="B5801" s="951"/>
    </row>
    <row r="5802" spans="1:2">
      <c r="A5802" s="951"/>
      <c r="B5802" s="951"/>
    </row>
    <row r="5803" spans="1:2">
      <c r="A5803" s="951"/>
      <c r="B5803" s="951"/>
    </row>
    <row r="5804" spans="1:2">
      <c r="A5804" s="951"/>
      <c r="B5804" s="951"/>
    </row>
    <row r="5805" spans="1:2">
      <c r="A5805" s="951"/>
      <c r="B5805" s="951"/>
    </row>
    <row r="5806" spans="1:2">
      <c r="A5806" s="951"/>
      <c r="B5806" s="951"/>
    </row>
    <row r="5807" spans="1:2">
      <c r="A5807" s="951"/>
      <c r="B5807" s="951"/>
    </row>
    <row r="5808" spans="1:2">
      <c r="A5808" s="951"/>
      <c r="B5808" s="951"/>
    </row>
    <row r="5809" spans="1:2">
      <c r="A5809" s="951"/>
      <c r="B5809" s="951"/>
    </row>
    <row r="5810" spans="1:2">
      <c r="A5810" s="951"/>
      <c r="B5810" s="951"/>
    </row>
    <row r="5811" spans="1:2">
      <c r="A5811" s="951"/>
      <c r="B5811" s="951"/>
    </row>
    <row r="5812" spans="1:2">
      <c r="A5812" s="951"/>
      <c r="B5812" s="951"/>
    </row>
    <row r="5813" spans="1:2">
      <c r="A5813" s="951"/>
      <c r="B5813" s="951"/>
    </row>
    <row r="5814" spans="1:2">
      <c r="A5814" s="951"/>
      <c r="B5814" s="951"/>
    </row>
    <row r="5815" spans="1:2">
      <c r="A5815" s="951"/>
      <c r="B5815" s="951"/>
    </row>
    <row r="5816" spans="1:2">
      <c r="A5816" s="951"/>
      <c r="B5816" s="951"/>
    </row>
    <row r="5817" spans="1:2">
      <c r="A5817" s="951"/>
      <c r="B5817" s="951"/>
    </row>
    <row r="5818" spans="1:2">
      <c r="A5818" s="951"/>
      <c r="B5818" s="951"/>
    </row>
    <row r="5819" spans="1:2">
      <c r="A5819" s="951"/>
      <c r="B5819" s="951"/>
    </row>
    <row r="5820" spans="1:2">
      <c r="A5820" s="951"/>
      <c r="B5820" s="951"/>
    </row>
    <row r="5821" spans="1:2">
      <c r="A5821" s="951"/>
      <c r="B5821" s="951"/>
    </row>
    <row r="5822" spans="1:2">
      <c r="A5822" s="951"/>
      <c r="B5822" s="951"/>
    </row>
    <row r="5823" spans="1:2">
      <c r="A5823" s="951"/>
      <c r="B5823" s="951"/>
    </row>
    <row r="5824" spans="1:2">
      <c r="A5824" s="951"/>
      <c r="B5824" s="951"/>
    </row>
    <row r="5825" spans="1:2">
      <c r="A5825" s="951"/>
      <c r="B5825" s="951"/>
    </row>
    <row r="5826" spans="1:2">
      <c r="A5826" s="951"/>
      <c r="B5826" s="951"/>
    </row>
    <row r="5827" spans="1:2">
      <c r="A5827" s="951"/>
      <c r="B5827" s="951"/>
    </row>
    <row r="5828" spans="1:2">
      <c r="A5828" s="951"/>
      <c r="B5828" s="951"/>
    </row>
    <row r="5829" spans="1:2">
      <c r="A5829" s="951"/>
      <c r="B5829" s="951"/>
    </row>
    <row r="5830" spans="1:2">
      <c r="A5830" s="951"/>
      <c r="B5830" s="951"/>
    </row>
    <row r="5831" spans="1:2">
      <c r="A5831" s="951"/>
      <c r="B5831" s="951"/>
    </row>
    <row r="5832" spans="1:2">
      <c r="A5832" s="951"/>
      <c r="B5832" s="951"/>
    </row>
    <row r="5833" spans="1:2">
      <c r="A5833" s="951"/>
      <c r="B5833" s="951"/>
    </row>
    <row r="5834" spans="1:2">
      <c r="A5834" s="951"/>
      <c r="B5834" s="951"/>
    </row>
    <row r="5835" spans="1:2">
      <c r="A5835" s="951"/>
      <c r="B5835" s="951"/>
    </row>
    <row r="5836" spans="1:2">
      <c r="A5836" s="951"/>
      <c r="B5836" s="951"/>
    </row>
    <row r="5837" spans="1:2">
      <c r="A5837" s="951"/>
      <c r="B5837" s="951"/>
    </row>
    <row r="5838" spans="1:2">
      <c r="A5838" s="951"/>
      <c r="B5838" s="951"/>
    </row>
    <row r="5839" spans="1:2">
      <c r="A5839" s="951"/>
      <c r="B5839" s="951"/>
    </row>
    <row r="5840" spans="1:2">
      <c r="A5840" s="951"/>
      <c r="B5840" s="951"/>
    </row>
    <row r="5841" spans="1:2">
      <c r="A5841" s="951"/>
      <c r="B5841" s="951"/>
    </row>
    <row r="5842" spans="1:2">
      <c r="A5842" s="951"/>
      <c r="B5842" s="951"/>
    </row>
    <row r="5843" spans="1:2">
      <c r="A5843" s="951"/>
      <c r="B5843" s="951"/>
    </row>
    <row r="5844" spans="1:2">
      <c r="A5844" s="951"/>
      <c r="B5844" s="951"/>
    </row>
    <row r="5845" spans="1:2">
      <c r="A5845" s="951"/>
      <c r="B5845" s="951"/>
    </row>
    <row r="5846" spans="1:2">
      <c r="A5846" s="951"/>
      <c r="B5846" s="951"/>
    </row>
    <row r="5847" spans="1:2">
      <c r="A5847" s="951"/>
      <c r="B5847" s="951"/>
    </row>
    <row r="5848" spans="1:2">
      <c r="A5848" s="951"/>
      <c r="B5848" s="951"/>
    </row>
    <row r="5849" spans="1:2">
      <c r="A5849" s="951"/>
      <c r="B5849" s="951"/>
    </row>
    <row r="5850" spans="1:2">
      <c r="A5850" s="951"/>
      <c r="B5850" s="951"/>
    </row>
    <row r="5851" spans="1:2">
      <c r="A5851" s="951"/>
      <c r="B5851" s="951"/>
    </row>
    <row r="5852" spans="1:2">
      <c r="A5852" s="951"/>
      <c r="B5852" s="951"/>
    </row>
    <row r="5853" spans="1:2">
      <c r="A5853" s="951"/>
      <c r="B5853" s="951"/>
    </row>
    <row r="5854" spans="1:2">
      <c r="A5854" s="951"/>
      <c r="B5854" s="951"/>
    </row>
    <row r="5855" spans="1:2">
      <c r="A5855" s="951"/>
      <c r="B5855" s="951"/>
    </row>
    <row r="5856" spans="1:2">
      <c r="A5856" s="951"/>
      <c r="B5856" s="951"/>
    </row>
    <row r="5857" spans="1:2">
      <c r="A5857" s="951"/>
      <c r="B5857" s="951"/>
    </row>
    <row r="5858" spans="1:2">
      <c r="A5858" s="951"/>
      <c r="B5858" s="951"/>
    </row>
    <row r="5859" spans="1:2">
      <c r="A5859" s="951"/>
      <c r="B5859" s="951"/>
    </row>
    <row r="5860" spans="1:2">
      <c r="A5860" s="951"/>
      <c r="B5860" s="951"/>
    </row>
    <row r="5861" spans="1:2">
      <c r="A5861" s="951"/>
      <c r="B5861" s="951"/>
    </row>
    <row r="5862" spans="1:2">
      <c r="A5862" s="951"/>
      <c r="B5862" s="951"/>
    </row>
    <row r="5863" spans="1:2">
      <c r="A5863" s="951"/>
      <c r="B5863" s="951"/>
    </row>
    <row r="5864" spans="1:2">
      <c r="A5864" s="951"/>
      <c r="B5864" s="951"/>
    </row>
    <row r="5865" spans="1:2">
      <c r="A5865" s="951"/>
      <c r="B5865" s="951"/>
    </row>
    <row r="5866" spans="1:2">
      <c r="A5866" s="951"/>
      <c r="B5866" s="951"/>
    </row>
    <row r="5867" spans="1:2">
      <c r="A5867" s="951"/>
      <c r="B5867" s="951"/>
    </row>
    <row r="5868" spans="1:2">
      <c r="A5868" s="951"/>
      <c r="B5868" s="951"/>
    </row>
    <row r="5869" spans="1:2">
      <c r="A5869" s="951"/>
      <c r="B5869" s="951"/>
    </row>
    <row r="5870" spans="1:2">
      <c r="A5870" s="951"/>
      <c r="B5870" s="951"/>
    </row>
    <row r="5871" spans="1:2">
      <c r="A5871" s="951"/>
      <c r="B5871" s="951"/>
    </row>
    <row r="5872" spans="1:2">
      <c r="A5872" s="951"/>
      <c r="B5872" s="951"/>
    </row>
    <row r="5873" spans="1:2">
      <c r="A5873" s="951"/>
      <c r="B5873" s="951"/>
    </row>
    <row r="5874" spans="1:2">
      <c r="A5874" s="951"/>
      <c r="B5874" s="951"/>
    </row>
    <row r="5875" spans="1:2">
      <c r="A5875" s="951"/>
      <c r="B5875" s="951"/>
    </row>
    <row r="5876" spans="1:2">
      <c r="A5876" s="951"/>
      <c r="B5876" s="951"/>
    </row>
    <row r="5877" spans="1:2">
      <c r="A5877" s="951"/>
      <c r="B5877" s="951"/>
    </row>
    <row r="5878" spans="1:2">
      <c r="A5878" s="951"/>
      <c r="B5878" s="951"/>
    </row>
    <row r="5879" spans="1:2">
      <c r="A5879" s="951"/>
      <c r="B5879" s="951"/>
    </row>
    <row r="5880" spans="1:2">
      <c r="A5880" s="951"/>
      <c r="B5880" s="951"/>
    </row>
    <row r="5881" spans="1:2">
      <c r="A5881" s="951"/>
      <c r="B5881" s="951"/>
    </row>
    <row r="5882" spans="1:2">
      <c r="A5882" s="951"/>
      <c r="B5882" s="951"/>
    </row>
    <row r="5883" spans="1:2">
      <c r="A5883" s="951"/>
      <c r="B5883" s="951"/>
    </row>
    <row r="5884" spans="1:2">
      <c r="A5884" s="951"/>
      <c r="B5884" s="951"/>
    </row>
    <row r="5885" spans="1:2">
      <c r="A5885" s="951"/>
      <c r="B5885" s="951"/>
    </row>
    <row r="5886" spans="1:2">
      <c r="A5886" s="951"/>
      <c r="B5886" s="951"/>
    </row>
    <row r="5887" spans="1:2">
      <c r="A5887" s="951"/>
      <c r="B5887" s="951"/>
    </row>
    <row r="5888" spans="1:2">
      <c r="A5888" s="951"/>
      <c r="B5888" s="951"/>
    </row>
    <row r="5889" spans="1:2">
      <c r="A5889" s="951"/>
      <c r="B5889" s="951"/>
    </row>
    <row r="5890" spans="1:2">
      <c r="A5890" s="951"/>
      <c r="B5890" s="951"/>
    </row>
    <row r="5891" spans="1:2">
      <c r="A5891" s="951"/>
      <c r="B5891" s="951"/>
    </row>
    <row r="5892" spans="1:2">
      <c r="A5892" s="951"/>
      <c r="B5892" s="951"/>
    </row>
    <row r="5893" spans="1:2">
      <c r="A5893" s="951"/>
      <c r="B5893" s="951"/>
    </row>
    <row r="5894" spans="1:2">
      <c r="A5894" s="951"/>
      <c r="B5894" s="951"/>
    </row>
    <row r="5895" spans="1:2">
      <c r="A5895" s="951"/>
      <c r="B5895" s="951"/>
    </row>
    <row r="5896" spans="1:2">
      <c r="A5896" s="951"/>
      <c r="B5896" s="951"/>
    </row>
    <row r="5897" spans="1:2">
      <c r="A5897" s="951"/>
      <c r="B5897" s="951"/>
    </row>
    <row r="5898" spans="1:2">
      <c r="A5898" s="951"/>
      <c r="B5898" s="951"/>
    </row>
    <row r="5899" spans="1:2">
      <c r="A5899" s="951"/>
      <c r="B5899" s="951"/>
    </row>
    <row r="5900" spans="1:2">
      <c r="A5900" s="951"/>
      <c r="B5900" s="951"/>
    </row>
    <row r="5901" spans="1:2">
      <c r="A5901" s="951"/>
      <c r="B5901" s="951"/>
    </row>
    <row r="5902" spans="1:2">
      <c r="A5902" s="951"/>
      <c r="B5902" s="951"/>
    </row>
    <row r="5903" spans="1:2">
      <c r="A5903" s="951"/>
      <c r="B5903" s="951"/>
    </row>
    <row r="5904" spans="1:2">
      <c r="A5904" s="951"/>
      <c r="B5904" s="951"/>
    </row>
    <row r="5905" spans="1:2">
      <c r="A5905" s="951"/>
      <c r="B5905" s="951"/>
    </row>
    <row r="5906" spans="1:2">
      <c r="A5906" s="951"/>
      <c r="B5906" s="951"/>
    </row>
    <row r="5907" spans="1:2">
      <c r="A5907" s="951"/>
      <c r="B5907" s="951"/>
    </row>
    <row r="5908" spans="1:2">
      <c r="A5908" s="951"/>
      <c r="B5908" s="951"/>
    </row>
    <row r="5909" spans="1:2">
      <c r="A5909" s="951"/>
      <c r="B5909" s="951"/>
    </row>
    <row r="5910" spans="1:2">
      <c r="A5910" s="951"/>
      <c r="B5910" s="951"/>
    </row>
    <row r="5911" spans="1:2">
      <c r="A5911" s="951"/>
      <c r="B5911" s="951"/>
    </row>
    <row r="5912" spans="1:2">
      <c r="A5912" s="951"/>
      <c r="B5912" s="951"/>
    </row>
    <row r="5913" spans="1:2">
      <c r="A5913" s="951"/>
      <c r="B5913" s="951"/>
    </row>
    <row r="5914" spans="1:2">
      <c r="A5914" s="951"/>
      <c r="B5914" s="951"/>
    </row>
    <row r="5915" spans="1:2">
      <c r="A5915" s="951"/>
      <c r="B5915" s="951"/>
    </row>
    <row r="5916" spans="1:2">
      <c r="A5916" s="951"/>
      <c r="B5916" s="951"/>
    </row>
    <row r="5917" spans="1:2">
      <c r="A5917" s="951"/>
      <c r="B5917" s="951"/>
    </row>
    <row r="5918" spans="1:2">
      <c r="A5918" s="951"/>
      <c r="B5918" s="951"/>
    </row>
    <row r="5919" spans="1:2">
      <c r="A5919" s="951"/>
      <c r="B5919" s="951"/>
    </row>
    <row r="5920" spans="1:2">
      <c r="A5920" s="951"/>
      <c r="B5920" s="951"/>
    </row>
    <row r="5921" spans="1:2">
      <c r="A5921" s="951"/>
      <c r="B5921" s="951"/>
    </row>
    <row r="5922" spans="1:2">
      <c r="A5922" s="951"/>
      <c r="B5922" s="951"/>
    </row>
    <row r="5923" spans="1:2">
      <c r="A5923" s="951"/>
      <c r="B5923" s="951"/>
    </row>
    <row r="5924" spans="1:2">
      <c r="A5924" s="951"/>
      <c r="B5924" s="951"/>
    </row>
    <row r="5925" spans="1:2">
      <c r="A5925" s="951"/>
      <c r="B5925" s="951"/>
    </row>
    <row r="5926" spans="1:2">
      <c r="A5926" s="951"/>
      <c r="B5926" s="951"/>
    </row>
    <row r="5927" spans="1:2">
      <c r="A5927" s="951"/>
      <c r="B5927" s="951"/>
    </row>
    <row r="5928" spans="1:2">
      <c r="A5928" s="951"/>
      <c r="B5928" s="951"/>
    </row>
    <row r="5929" spans="1:2">
      <c r="A5929" s="951"/>
      <c r="B5929" s="951"/>
    </row>
    <row r="5930" spans="1:2">
      <c r="A5930" s="951"/>
      <c r="B5930" s="951"/>
    </row>
    <row r="5931" spans="1:2">
      <c r="A5931" s="951"/>
      <c r="B5931" s="951"/>
    </row>
    <row r="5932" spans="1:2">
      <c r="A5932" s="951"/>
      <c r="B5932" s="951"/>
    </row>
    <row r="5933" spans="1:2">
      <c r="A5933" s="951"/>
      <c r="B5933" s="951"/>
    </row>
    <row r="5934" spans="1:2">
      <c r="A5934" s="951"/>
      <c r="B5934" s="951"/>
    </row>
    <row r="5935" spans="1:2">
      <c r="A5935" s="951"/>
      <c r="B5935" s="951"/>
    </row>
    <row r="5936" spans="1:2">
      <c r="A5936" s="951"/>
      <c r="B5936" s="951"/>
    </row>
    <row r="5937" spans="1:2">
      <c r="A5937" s="951"/>
      <c r="B5937" s="951"/>
    </row>
    <row r="5938" spans="1:2">
      <c r="A5938" s="951"/>
      <c r="B5938" s="951"/>
    </row>
    <row r="5939" spans="1:2">
      <c r="A5939" s="951"/>
      <c r="B5939" s="951"/>
    </row>
    <row r="5940" spans="1:2">
      <c r="A5940" s="951"/>
      <c r="B5940" s="951"/>
    </row>
    <row r="5941" spans="1:2">
      <c r="A5941" s="951"/>
      <c r="B5941" s="951"/>
    </row>
    <row r="5942" spans="1:2">
      <c r="A5942" s="951"/>
      <c r="B5942" s="951"/>
    </row>
    <row r="5943" spans="1:2">
      <c r="A5943" s="951"/>
      <c r="B5943" s="951"/>
    </row>
    <row r="5944" spans="1:2">
      <c r="A5944" s="951"/>
      <c r="B5944" s="951"/>
    </row>
    <row r="5945" spans="1:2">
      <c r="A5945" s="951"/>
      <c r="B5945" s="951"/>
    </row>
    <row r="5946" spans="1:2">
      <c r="A5946" s="951"/>
      <c r="B5946" s="951"/>
    </row>
    <row r="5947" spans="1:2">
      <c r="A5947" s="951"/>
      <c r="B5947" s="951"/>
    </row>
    <row r="5948" spans="1:2">
      <c r="A5948" s="951"/>
      <c r="B5948" s="951"/>
    </row>
    <row r="5949" spans="1:2">
      <c r="A5949" s="951"/>
      <c r="B5949" s="951"/>
    </row>
    <row r="5950" spans="1:2">
      <c r="A5950" s="951"/>
      <c r="B5950" s="951"/>
    </row>
    <row r="5951" spans="1:2">
      <c r="A5951" s="951"/>
      <c r="B5951" s="951"/>
    </row>
    <row r="5952" spans="1:2">
      <c r="A5952" s="951"/>
      <c r="B5952" s="951"/>
    </row>
    <row r="5953" spans="1:2">
      <c r="A5953" s="951"/>
      <c r="B5953" s="951"/>
    </row>
    <row r="5954" spans="1:2">
      <c r="A5954" s="951"/>
      <c r="B5954" s="951"/>
    </row>
    <row r="5955" spans="1:2">
      <c r="A5955" s="951"/>
      <c r="B5955" s="951"/>
    </row>
    <row r="5956" spans="1:2">
      <c r="A5956" s="951"/>
      <c r="B5956" s="951"/>
    </row>
    <row r="5957" spans="1:2">
      <c r="A5957" s="951"/>
      <c r="B5957" s="951"/>
    </row>
    <row r="5958" spans="1:2">
      <c r="A5958" s="951"/>
      <c r="B5958" s="951"/>
    </row>
    <row r="5959" spans="1:2">
      <c r="A5959" s="951"/>
      <c r="B5959" s="951"/>
    </row>
    <row r="5960" spans="1:2">
      <c r="A5960" s="951"/>
      <c r="B5960" s="951"/>
    </row>
    <row r="5961" spans="1:2">
      <c r="A5961" s="951"/>
      <c r="B5961" s="951"/>
    </row>
    <row r="5962" spans="1:2">
      <c r="A5962" s="951"/>
      <c r="B5962" s="951"/>
    </row>
    <row r="5963" spans="1:2">
      <c r="A5963" s="951"/>
      <c r="B5963" s="951"/>
    </row>
    <row r="5964" spans="1:2">
      <c r="A5964" s="951"/>
      <c r="B5964" s="951"/>
    </row>
    <row r="5965" spans="1:2">
      <c r="A5965" s="951"/>
      <c r="B5965" s="951"/>
    </row>
    <row r="5966" spans="1:2">
      <c r="A5966" s="951"/>
      <c r="B5966" s="951"/>
    </row>
    <row r="5967" spans="1:2">
      <c r="A5967" s="951"/>
      <c r="B5967" s="951"/>
    </row>
    <row r="5968" spans="1:2">
      <c r="A5968" s="951"/>
      <c r="B5968" s="951"/>
    </row>
    <row r="5969" spans="1:2">
      <c r="A5969" s="951"/>
      <c r="B5969" s="951"/>
    </row>
    <row r="5970" spans="1:2">
      <c r="A5970" s="951"/>
      <c r="B5970" s="951"/>
    </row>
    <row r="5971" spans="1:2">
      <c r="A5971" s="951"/>
      <c r="B5971" s="951"/>
    </row>
    <row r="5972" spans="1:2">
      <c r="A5972" s="951"/>
      <c r="B5972" s="951"/>
    </row>
    <row r="5973" spans="1:2">
      <c r="A5973" s="951"/>
      <c r="B5973" s="951"/>
    </row>
    <row r="5974" spans="1:2">
      <c r="A5974" s="951"/>
      <c r="B5974" s="951"/>
    </row>
    <row r="5975" spans="1:2">
      <c r="A5975" s="951"/>
      <c r="B5975" s="951"/>
    </row>
    <row r="5976" spans="1:2">
      <c r="A5976" s="951"/>
      <c r="B5976" s="951"/>
    </row>
    <row r="5977" spans="1:2">
      <c r="A5977" s="951"/>
      <c r="B5977" s="951"/>
    </row>
    <row r="5978" spans="1:2">
      <c r="A5978" s="951"/>
      <c r="B5978" s="951"/>
    </row>
    <row r="5979" spans="1:2">
      <c r="A5979" s="951"/>
      <c r="B5979" s="951"/>
    </row>
    <row r="5980" spans="1:2">
      <c r="A5980" s="951"/>
      <c r="B5980" s="951"/>
    </row>
    <row r="5981" spans="1:2">
      <c r="A5981" s="951"/>
      <c r="B5981" s="951"/>
    </row>
    <row r="5982" spans="1:2">
      <c r="A5982" s="951"/>
      <c r="B5982" s="951"/>
    </row>
    <row r="5983" spans="1:2">
      <c r="A5983" s="951"/>
      <c r="B5983" s="951"/>
    </row>
    <row r="5984" spans="1:2">
      <c r="A5984" s="951"/>
      <c r="B5984" s="951"/>
    </row>
    <row r="5985" spans="1:2">
      <c r="A5985" s="951"/>
      <c r="B5985" s="951"/>
    </row>
    <row r="5986" spans="1:2">
      <c r="A5986" s="951"/>
      <c r="B5986" s="951"/>
    </row>
    <row r="5987" spans="1:2">
      <c r="A5987" s="951"/>
      <c r="B5987" s="951"/>
    </row>
    <row r="5988" spans="1:2">
      <c r="A5988" s="951"/>
      <c r="B5988" s="951"/>
    </row>
    <row r="5989" spans="1:2">
      <c r="A5989" s="951"/>
      <c r="B5989" s="951"/>
    </row>
    <row r="5990" spans="1:2">
      <c r="A5990" s="951"/>
      <c r="B5990" s="951"/>
    </row>
    <row r="5991" spans="1:2">
      <c r="A5991" s="951"/>
      <c r="B5991" s="951"/>
    </row>
    <row r="5992" spans="1:2">
      <c r="A5992" s="951"/>
      <c r="B5992" s="951"/>
    </row>
    <row r="5993" spans="1:2">
      <c r="A5993" s="951"/>
      <c r="B5993" s="951"/>
    </row>
    <row r="5994" spans="1:2">
      <c r="A5994" s="951"/>
      <c r="B5994" s="951"/>
    </row>
    <row r="5995" spans="1:2">
      <c r="A5995" s="951"/>
      <c r="B5995" s="951"/>
    </row>
    <row r="5996" spans="1:2">
      <c r="A5996" s="951"/>
      <c r="B5996" s="951"/>
    </row>
    <row r="5997" spans="1:2">
      <c r="A5997" s="951"/>
      <c r="B5997" s="951"/>
    </row>
    <row r="5998" spans="1:2">
      <c r="A5998" s="951"/>
      <c r="B5998" s="951"/>
    </row>
    <row r="5999" spans="1:2">
      <c r="A5999" s="951"/>
      <c r="B5999" s="951"/>
    </row>
    <row r="6000" spans="1:2">
      <c r="A6000" s="951"/>
      <c r="B6000" s="951"/>
    </row>
    <row r="6001" spans="1:2">
      <c r="A6001" s="951"/>
      <c r="B6001" s="951"/>
    </row>
    <row r="6002" spans="1:2">
      <c r="A6002" s="951"/>
      <c r="B6002" s="951"/>
    </row>
    <row r="6003" spans="1:2">
      <c r="A6003" s="951"/>
      <c r="B6003" s="951"/>
    </row>
    <row r="6004" spans="1:2">
      <c r="A6004" s="951"/>
      <c r="B6004" s="951"/>
    </row>
    <row r="6005" spans="1:2">
      <c r="A6005" s="951"/>
      <c r="B6005" s="951"/>
    </row>
    <row r="6006" spans="1:2">
      <c r="A6006" s="951"/>
      <c r="B6006" s="951"/>
    </row>
    <row r="6007" spans="1:2">
      <c r="A6007" s="951"/>
      <c r="B6007" s="951"/>
    </row>
    <row r="6008" spans="1:2">
      <c r="A6008" s="951"/>
      <c r="B6008" s="951"/>
    </row>
    <row r="6009" spans="1:2">
      <c r="A6009" s="951"/>
      <c r="B6009" s="951"/>
    </row>
    <row r="6010" spans="1:2">
      <c r="A6010" s="951"/>
      <c r="B6010" s="951"/>
    </row>
    <row r="6011" spans="1:2">
      <c r="A6011" s="951"/>
      <c r="B6011" s="951"/>
    </row>
    <row r="6012" spans="1:2">
      <c r="A6012" s="951"/>
      <c r="B6012" s="951"/>
    </row>
    <row r="6013" spans="1:2">
      <c r="A6013" s="951"/>
      <c r="B6013" s="951"/>
    </row>
    <row r="6014" spans="1:2">
      <c r="A6014" s="951"/>
      <c r="B6014" s="951"/>
    </row>
    <row r="6015" spans="1:2">
      <c r="A6015" s="951"/>
      <c r="B6015" s="951"/>
    </row>
    <row r="6016" spans="1:2">
      <c r="A6016" s="951"/>
      <c r="B6016" s="951"/>
    </row>
    <row r="6017" spans="1:2">
      <c r="A6017" s="951"/>
      <c r="B6017" s="951"/>
    </row>
    <row r="6018" spans="1:2">
      <c r="A6018" s="951"/>
      <c r="B6018" s="951"/>
    </row>
    <row r="6019" spans="1:2">
      <c r="A6019" s="951"/>
      <c r="B6019" s="951"/>
    </row>
    <row r="6020" spans="1:2">
      <c r="A6020" s="951"/>
      <c r="B6020" s="951"/>
    </row>
    <row r="6021" spans="1:2">
      <c r="A6021" s="951"/>
      <c r="B6021" s="951"/>
    </row>
    <row r="6022" spans="1:2">
      <c r="A6022" s="951"/>
      <c r="B6022" s="951"/>
    </row>
    <row r="6023" spans="1:2">
      <c r="A6023" s="951"/>
      <c r="B6023" s="951"/>
    </row>
    <row r="6024" spans="1:2">
      <c r="A6024" s="951"/>
      <c r="B6024" s="951"/>
    </row>
    <row r="6025" spans="1:2">
      <c r="A6025" s="951"/>
      <c r="B6025" s="951"/>
    </row>
    <row r="6026" spans="1:2">
      <c r="A6026" s="951"/>
      <c r="B6026" s="951"/>
    </row>
    <row r="6027" spans="1:2">
      <c r="A6027" s="951"/>
      <c r="B6027" s="951"/>
    </row>
    <row r="6028" spans="1:2">
      <c r="A6028" s="951"/>
      <c r="B6028" s="951"/>
    </row>
    <row r="6029" spans="1:2">
      <c r="A6029" s="951"/>
      <c r="B6029" s="951"/>
    </row>
    <row r="6030" spans="1:2">
      <c r="A6030" s="951"/>
      <c r="B6030" s="951"/>
    </row>
    <row r="6031" spans="1:2">
      <c r="A6031" s="951"/>
      <c r="B6031" s="951"/>
    </row>
    <row r="6032" spans="1:2">
      <c r="A6032" s="951"/>
      <c r="B6032" s="951"/>
    </row>
    <row r="6033" spans="1:2">
      <c r="A6033" s="951"/>
      <c r="B6033" s="951"/>
    </row>
    <row r="6034" spans="1:2">
      <c r="A6034" s="951"/>
      <c r="B6034" s="951"/>
    </row>
    <row r="6035" spans="1:2">
      <c r="A6035" s="951"/>
      <c r="B6035" s="951"/>
    </row>
    <row r="6036" spans="1:2">
      <c r="A6036" s="951"/>
      <c r="B6036" s="951"/>
    </row>
    <row r="6037" spans="1:2">
      <c r="A6037" s="951"/>
      <c r="B6037" s="951"/>
    </row>
    <row r="6038" spans="1:2">
      <c r="A6038" s="951"/>
      <c r="B6038" s="951"/>
    </row>
    <row r="6039" spans="1:2">
      <c r="A6039" s="951"/>
      <c r="B6039" s="951"/>
    </row>
    <row r="6040" spans="1:2">
      <c r="A6040" s="951"/>
      <c r="B6040" s="951"/>
    </row>
    <row r="6041" spans="1:2">
      <c r="A6041" s="951"/>
      <c r="B6041" s="951"/>
    </row>
    <row r="6042" spans="1:2">
      <c r="A6042" s="951"/>
      <c r="B6042" s="951"/>
    </row>
    <row r="6043" spans="1:2">
      <c r="A6043" s="951"/>
      <c r="B6043" s="951"/>
    </row>
    <row r="6044" spans="1:2">
      <c r="A6044" s="951"/>
      <c r="B6044" s="951"/>
    </row>
    <row r="6045" spans="1:2">
      <c r="A6045" s="951"/>
      <c r="B6045" s="951"/>
    </row>
    <row r="6046" spans="1:2">
      <c r="A6046" s="951"/>
      <c r="B6046" s="951"/>
    </row>
    <row r="6047" spans="1:2">
      <c r="A6047" s="951"/>
      <c r="B6047" s="951"/>
    </row>
    <row r="6048" spans="1:2">
      <c r="A6048" s="951"/>
      <c r="B6048" s="951"/>
    </row>
    <row r="6049" spans="1:2">
      <c r="A6049" s="951"/>
      <c r="B6049" s="951"/>
    </row>
    <row r="6050" spans="1:2">
      <c r="A6050" s="951"/>
      <c r="B6050" s="951"/>
    </row>
    <row r="6051" spans="1:2">
      <c r="A6051" s="951"/>
      <c r="B6051" s="951"/>
    </row>
    <row r="6052" spans="1:2">
      <c r="A6052" s="951"/>
      <c r="B6052" s="951"/>
    </row>
    <row r="6053" spans="1:2">
      <c r="A6053" s="951"/>
      <c r="B6053" s="951"/>
    </row>
    <row r="6054" spans="1:2">
      <c r="A6054" s="951"/>
      <c r="B6054" s="951"/>
    </row>
    <row r="6055" spans="1:2">
      <c r="A6055" s="951"/>
      <c r="B6055" s="951"/>
    </row>
    <row r="6056" spans="1:2">
      <c r="A6056" s="951"/>
      <c r="B6056" s="951"/>
    </row>
    <row r="6057" spans="1:2">
      <c r="A6057" s="951"/>
      <c r="B6057" s="951"/>
    </row>
    <row r="6058" spans="1:2">
      <c r="A6058" s="951"/>
      <c r="B6058" s="951"/>
    </row>
    <row r="6059" spans="1:2">
      <c r="A6059" s="951"/>
      <c r="B6059" s="951"/>
    </row>
    <row r="6060" spans="1:2">
      <c r="A6060" s="951"/>
      <c r="B6060" s="951"/>
    </row>
    <row r="6061" spans="1:2">
      <c r="A6061" s="951"/>
      <c r="B6061" s="951"/>
    </row>
    <row r="6062" spans="1:2">
      <c r="A6062" s="951"/>
      <c r="B6062" s="951"/>
    </row>
    <row r="6063" spans="1:2">
      <c r="A6063" s="951"/>
      <c r="B6063" s="951"/>
    </row>
    <row r="6064" spans="1:2">
      <c r="A6064" s="951"/>
      <c r="B6064" s="951"/>
    </row>
    <row r="6065" spans="1:2">
      <c r="A6065" s="951"/>
      <c r="B6065" s="951"/>
    </row>
    <row r="6066" spans="1:2">
      <c r="A6066" s="951"/>
      <c r="B6066" s="951"/>
    </row>
    <row r="6067" spans="1:2">
      <c r="A6067" s="951"/>
      <c r="B6067" s="951"/>
    </row>
    <row r="6068" spans="1:2">
      <c r="A6068" s="951"/>
      <c r="B6068" s="951"/>
    </row>
    <row r="6069" spans="1:2">
      <c r="A6069" s="951"/>
      <c r="B6069" s="951"/>
    </row>
    <row r="6070" spans="1:2">
      <c r="A6070" s="951"/>
      <c r="B6070" s="951"/>
    </row>
    <row r="6071" spans="1:2">
      <c r="A6071" s="951"/>
      <c r="B6071" s="951"/>
    </row>
    <row r="6072" spans="1:2">
      <c r="A6072" s="951"/>
      <c r="B6072" s="951"/>
    </row>
    <row r="6073" spans="1:2">
      <c r="A6073" s="951"/>
      <c r="B6073" s="951"/>
    </row>
    <row r="6074" spans="1:2">
      <c r="A6074" s="951"/>
      <c r="B6074" s="951"/>
    </row>
    <row r="6075" spans="1:2">
      <c r="A6075" s="951"/>
      <c r="B6075" s="951"/>
    </row>
    <row r="6076" spans="1:2">
      <c r="A6076" s="951"/>
      <c r="B6076" s="951"/>
    </row>
    <row r="6077" spans="1:2">
      <c r="A6077" s="951"/>
      <c r="B6077" s="951"/>
    </row>
    <row r="6078" spans="1:2">
      <c r="A6078" s="951"/>
      <c r="B6078" s="951"/>
    </row>
    <row r="6079" spans="1:2">
      <c r="A6079" s="951"/>
      <c r="B6079" s="951"/>
    </row>
    <row r="6080" spans="1:2">
      <c r="A6080" s="951"/>
      <c r="B6080" s="951"/>
    </row>
    <row r="6081" spans="1:2">
      <c r="A6081" s="951"/>
      <c r="B6081" s="951"/>
    </row>
    <row r="6082" spans="1:2">
      <c r="A6082" s="951"/>
      <c r="B6082" s="951"/>
    </row>
    <row r="6083" spans="1:2">
      <c r="A6083" s="951"/>
      <c r="B6083" s="951"/>
    </row>
    <row r="6084" spans="1:2">
      <c r="A6084" s="951"/>
      <c r="B6084" s="951"/>
    </row>
    <row r="6085" spans="1:2">
      <c r="A6085" s="951"/>
      <c r="B6085" s="951"/>
    </row>
    <row r="6086" spans="1:2">
      <c r="A6086" s="951"/>
      <c r="B6086" s="951"/>
    </row>
    <row r="6087" spans="1:2">
      <c r="A6087" s="951"/>
      <c r="B6087" s="951"/>
    </row>
    <row r="6088" spans="1:2">
      <c r="A6088" s="951"/>
      <c r="B6088" s="951"/>
    </row>
    <row r="6089" spans="1:2">
      <c r="A6089" s="951"/>
      <c r="B6089" s="951"/>
    </row>
    <row r="6090" spans="1:2">
      <c r="A6090" s="951"/>
      <c r="B6090" s="951"/>
    </row>
    <row r="6091" spans="1:2">
      <c r="A6091" s="951"/>
      <c r="B6091" s="951"/>
    </row>
    <row r="6092" spans="1:2">
      <c r="A6092" s="951"/>
      <c r="B6092" s="951"/>
    </row>
    <row r="6093" spans="1:2">
      <c r="A6093" s="951"/>
      <c r="B6093" s="951"/>
    </row>
    <row r="6094" spans="1:2">
      <c r="A6094" s="951"/>
      <c r="B6094" s="951"/>
    </row>
    <row r="6095" spans="1:2">
      <c r="A6095" s="951"/>
      <c r="B6095" s="951"/>
    </row>
    <row r="6096" spans="1:2">
      <c r="A6096" s="951"/>
      <c r="B6096" s="951"/>
    </row>
    <row r="6097" spans="1:2">
      <c r="A6097" s="951"/>
      <c r="B6097" s="951"/>
    </row>
    <row r="6098" spans="1:2">
      <c r="A6098" s="951"/>
      <c r="B6098" s="951"/>
    </row>
    <row r="6099" spans="1:2">
      <c r="A6099" s="951"/>
      <c r="B6099" s="951"/>
    </row>
    <row r="6100" spans="1:2">
      <c r="A6100" s="951"/>
      <c r="B6100" s="951"/>
    </row>
    <row r="6101" spans="1:2">
      <c r="A6101" s="951"/>
      <c r="B6101" s="951"/>
    </row>
    <row r="6102" spans="1:2">
      <c r="A6102" s="951"/>
      <c r="B6102" s="951"/>
    </row>
    <row r="6103" spans="1:2">
      <c r="A6103" s="951"/>
      <c r="B6103" s="951"/>
    </row>
    <row r="6104" spans="1:2">
      <c r="A6104" s="951"/>
      <c r="B6104" s="951"/>
    </row>
    <row r="6105" spans="1:2">
      <c r="A6105" s="951"/>
      <c r="B6105" s="951"/>
    </row>
    <row r="6106" spans="1:2">
      <c r="A6106" s="951"/>
      <c r="B6106" s="951"/>
    </row>
    <row r="6107" spans="1:2">
      <c r="A6107" s="951"/>
      <c r="B6107" s="951"/>
    </row>
    <row r="6108" spans="1:2">
      <c r="A6108" s="951"/>
      <c r="B6108" s="951"/>
    </row>
    <row r="6109" spans="1:2">
      <c r="A6109" s="951"/>
      <c r="B6109" s="951"/>
    </row>
    <row r="6110" spans="1:2">
      <c r="A6110" s="951"/>
      <c r="B6110" s="951"/>
    </row>
    <row r="6111" spans="1:2">
      <c r="A6111" s="951"/>
      <c r="B6111" s="951"/>
    </row>
    <row r="6112" spans="1:2">
      <c r="A6112" s="951"/>
      <c r="B6112" s="951"/>
    </row>
    <row r="6113" spans="1:2">
      <c r="A6113" s="951"/>
      <c r="B6113" s="951"/>
    </row>
    <row r="6114" spans="1:2">
      <c r="A6114" s="951"/>
      <c r="B6114" s="951"/>
    </row>
    <row r="6115" spans="1:2">
      <c r="A6115" s="951"/>
      <c r="B6115" s="951"/>
    </row>
    <row r="6116" spans="1:2">
      <c r="A6116" s="951"/>
      <c r="B6116" s="951"/>
    </row>
    <row r="6117" spans="1:2">
      <c r="A6117" s="951"/>
      <c r="B6117" s="951"/>
    </row>
    <row r="6118" spans="1:2">
      <c r="A6118" s="951"/>
      <c r="B6118" s="951"/>
    </row>
    <row r="6119" spans="1:2">
      <c r="A6119" s="951"/>
      <c r="B6119" s="951"/>
    </row>
    <row r="6120" spans="1:2">
      <c r="A6120" s="951"/>
      <c r="B6120" s="951"/>
    </row>
    <row r="6121" spans="1:2">
      <c r="A6121" s="951"/>
      <c r="B6121" s="951"/>
    </row>
    <row r="6122" spans="1:2">
      <c r="A6122" s="951"/>
      <c r="B6122" s="951"/>
    </row>
    <row r="6123" spans="1:2">
      <c r="A6123" s="951"/>
      <c r="B6123" s="951"/>
    </row>
    <row r="6124" spans="1:2">
      <c r="A6124" s="951"/>
      <c r="B6124" s="951"/>
    </row>
    <row r="6125" spans="1:2">
      <c r="A6125" s="951"/>
      <c r="B6125" s="951"/>
    </row>
    <row r="6126" spans="1:2">
      <c r="A6126" s="951"/>
      <c r="B6126" s="951"/>
    </row>
    <row r="6127" spans="1:2">
      <c r="A6127" s="951"/>
      <c r="B6127" s="951"/>
    </row>
    <row r="6128" spans="1:2">
      <c r="A6128" s="951"/>
      <c r="B6128" s="951"/>
    </row>
    <row r="6129" spans="1:2">
      <c r="A6129" s="951"/>
      <c r="B6129" s="951"/>
    </row>
    <row r="6130" spans="1:2">
      <c r="A6130" s="951"/>
      <c r="B6130" s="951"/>
    </row>
    <row r="6131" spans="1:2">
      <c r="A6131" s="951"/>
      <c r="B6131" s="951"/>
    </row>
    <row r="6132" spans="1:2">
      <c r="A6132" s="951"/>
      <c r="B6132" s="951"/>
    </row>
    <row r="6133" spans="1:2">
      <c r="A6133" s="951"/>
      <c r="B6133" s="951"/>
    </row>
    <row r="6134" spans="1:2">
      <c r="A6134" s="951"/>
      <c r="B6134" s="951"/>
    </row>
    <row r="6135" spans="1:2">
      <c r="A6135" s="951"/>
      <c r="B6135" s="951"/>
    </row>
    <row r="6136" spans="1:2">
      <c r="A6136" s="951"/>
      <c r="B6136" s="951"/>
    </row>
    <row r="6137" spans="1:2">
      <c r="A6137" s="951"/>
      <c r="B6137" s="951"/>
    </row>
    <row r="6138" spans="1:2">
      <c r="A6138" s="951"/>
      <c r="B6138" s="951"/>
    </row>
    <row r="6139" spans="1:2">
      <c r="A6139" s="951"/>
      <c r="B6139" s="951"/>
    </row>
    <row r="6140" spans="1:2">
      <c r="A6140" s="951"/>
      <c r="B6140" s="951"/>
    </row>
    <row r="6141" spans="1:2">
      <c r="A6141" s="951"/>
      <c r="B6141" s="951"/>
    </row>
    <row r="6142" spans="1:2">
      <c r="A6142" s="951"/>
      <c r="B6142" s="951"/>
    </row>
    <row r="6143" spans="1:2">
      <c r="A6143" s="951"/>
      <c r="B6143" s="951"/>
    </row>
    <row r="6144" spans="1:2">
      <c r="A6144" s="951"/>
      <c r="B6144" s="951"/>
    </row>
    <row r="6145" spans="1:2">
      <c r="A6145" s="951"/>
      <c r="B6145" s="951"/>
    </row>
    <row r="6146" spans="1:2">
      <c r="A6146" s="951"/>
      <c r="B6146" s="951"/>
    </row>
    <row r="6147" spans="1:2">
      <c r="A6147" s="951"/>
      <c r="B6147" s="951"/>
    </row>
    <row r="6148" spans="1:2">
      <c r="A6148" s="951"/>
      <c r="B6148" s="951"/>
    </row>
    <row r="6149" spans="1:2">
      <c r="A6149" s="951"/>
      <c r="B6149" s="951"/>
    </row>
    <row r="6150" spans="1:2">
      <c r="A6150" s="951"/>
      <c r="B6150" s="951"/>
    </row>
    <row r="6151" spans="1:2">
      <c r="A6151" s="951"/>
      <c r="B6151" s="951"/>
    </row>
    <row r="6152" spans="1:2">
      <c r="A6152" s="951"/>
      <c r="B6152" s="951"/>
    </row>
    <row r="6153" spans="1:2">
      <c r="A6153" s="951"/>
      <c r="B6153" s="951"/>
    </row>
    <row r="6154" spans="1:2">
      <c r="A6154" s="951"/>
      <c r="B6154" s="951"/>
    </row>
    <row r="6155" spans="1:2">
      <c r="A6155" s="951"/>
      <c r="B6155" s="951"/>
    </row>
    <row r="6156" spans="1:2">
      <c r="A6156" s="951"/>
      <c r="B6156" s="951"/>
    </row>
    <row r="6157" spans="1:2">
      <c r="A6157" s="951"/>
      <c r="B6157" s="951"/>
    </row>
    <row r="6158" spans="1:2">
      <c r="A6158" s="951"/>
      <c r="B6158" s="951"/>
    </row>
    <row r="6159" spans="1:2">
      <c r="A6159" s="951"/>
      <c r="B6159" s="951"/>
    </row>
    <row r="6160" spans="1:2">
      <c r="A6160" s="951"/>
      <c r="B6160" s="951"/>
    </row>
    <row r="6161" spans="1:2">
      <c r="A6161" s="951"/>
      <c r="B6161" s="951"/>
    </row>
    <row r="6162" spans="1:2">
      <c r="A6162" s="951"/>
      <c r="B6162" s="951"/>
    </row>
    <row r="6163" spans="1:2">
      <c r="A6163" s="951"/>
      <c r="B6163" s="951"/>
    </row>
    <row r="6164" spans="1:2">
      <c r="A6164" s="951"/>
      <c r="B6164" s="951"/>
    </row>
    <row r="6165" spans="1:2">
      <c r="A6165" s="951"/>
      <c r="B6165" s="951"/>
    </row>
    <row r="6166" spans="1:2">
      <c r="A6166" s="951"/>
      <c r="B6166" s="951"/>
    </row>
    <row r="6167" spans="1:2">
      <c r="A6167" s="951"/>
      <c r="B6167" s="951"/>
    </row>
    <row r="6168" spans="1:2">
      <c r="A6168" s="951"/>
      <c r="B6168" s="951"/>
    </row>
    <row r="6169" spans="1:2">
      <c r="A6169" s="951"/>
      <c r="B6169" s="951"/>
    </row>
    <row r="6170" spans="1:2">
      <c r="A6170" s="951"/>
      <c r="B6170" s="951"/>
    </row>
    <row r="6171" spans="1:2">
      <c r="A6171" s="951"/>
      <c r="B6171" s="951"/>
    </row>
    <row r="6172" spans="1:2">
      <c r="A6172" s="951"/>
      <c r="B6172" s="951"/>
    </row>
    <row r="6173" spans="1:2">
      <c r="A6173" s="951"/>
      <c r="B6173" s="951"/>
    </row>
    <row r="6174" spans="1:2">
      <c r="A6174" s="951"/>
      <c r="B6174" s="951"/>
    </row>
    <row r="6175" spans="1:2">
      <c r="A6175" s="951"/>
      <c r="B6175" s="951"/>
    </row>
    <row r="6176" spans="1:2">
      <c r="A6176" s="951"/>
      <c r="B6176" s="951"/>
    </row>
    <row r="6177" spans="1:2">
      <c r="A6177" s="951"/>
      <c r="B6177" s="951"/>
    </row>
    <row r="6178" spans="1:2">
      <c r="A6178" s="951"/>
      <c r="B6178" s="951"/>
    </row>
    <row r="6179" spans="1:2">
      <c r="A6179" s="951"/>
      <c r="B6179" s="951"/>
    </row>
    <row r="6180" spans="1:2">
      <c r="A6180" s="951"/>
      <c r="B6180" s="951"/>
    </row>
    <row r="6181" spans="1:2">
      <c r="A6181" s="951"/>
      <c r="B6181" s="951"/>
    </row>
    <row r="6182" spans="1:2">
      <c r="A6182" s="951"/>
      <c r="B6182" s="951"/>
    </row>
    <row r="6183" spans="1:2">
      <c r="A6183" s="951"/>
      <c r="B6183" s="951"/>
    </row>
    <row r="6184" spans="1:2">
      <c r="A6184" s="951"/>
      <c r="B6184" s="951"/>
    </row>
    <row r="6185" spans="1:2">
      <c r="A6185" s="951"/>
      <c r="B6185" s="951"/>
    </row>
    <row r="6186" spans="1:2">
      <c r="A6186" s="951"/>
      <c r="B6186" s="951"/>
    </row>
    <row r="6187" spans="1:2">
      <c r="A6187" s="951"/>
      <c r="B6187" s="951"/>
    </row>
    <row r="6188" spans="1:2">
      <c r="A6188" s="951"/>
      <c r="B6188" s="951"/>
    </row>
    <row r="6189" spans="1:2">
      <c r="A6189" s="951"/>
      <c r="B6189" s="951"/>
    </row>
    <row r="6190" spans="1:2">
      <c r="A6190" s="951"/>
      <c r="B6190" s="951"/>
    </row>
    <row r="6191" spans="1:2">
      <c r="A6191" s="951"/>
      <c r="B6191" s="951"/>
    </row>
    <row r="6192" spans="1:2">
      <c r="A6192" s="951"/>
      <c r="B6192" s="951"/>
    </row>
    <row r="6193" spans="1:2">
      <c r="A6193" s="951"/>
      <c r="B6193" s="951"/>
    </row>
    <row r="6194" spans="1:2">
      <c r="A6194" s="951"/>
      <c r="B6194" s="951"/>
    </row>
    <row r="6195" spans="1:2">
      <c r="A6195" s="951"/>
      <c r="B6195" s="951"/>
    </row>
    <row r="6196" spans="1:2">
      <c r="A6196" s="951"/>
      <c r="B6196" s="951"/>
    </row>
    <row r="6197" spans="1:2">
      <c r="A6197" s="951"/>
      <c r="B6197" s="951"/>
    </row>
    <row r="6198" spans="1:2">
      <c r="A6198" s="951"/>
      <c r="B6198" s="951"/>
    </row>
    <row r="6199" spans="1:2">
      <c r="A6199" s="951"/>
      <c r="B6199" s="951"/>
    </row>
    <row r="6200" spans="1:2">
      <c r="A6200" s="951"/>
      <c r="B6200" s="951"/>
    </row>
    <row r="6201" spans="1:2">
      <c r="A6201" s="951"/>
      <c r="B6201" s="951"/>
    </row>
    <row r="6202" spans="1:2">
      <c r="A6202" s="951"/>
      <c r="B6202" s="951"/>
    </row>
    <row r="6203" spans="1:2">
      <c r="A6203" s="951"/>
      <c r="B6203" s="951"/>
    </row>
    <row r="6204" spans="1:2">
      <c r="A6204" s="951"/>
      <c r="B6204" s="951"/>
    </row>
    <row r="6205" spans="1:2">
      <c r="A6205" s="951"/>
      <c r="B6205" s="951"/>
    </row>
    <row r="6206" spans="1:2">
      <c r="A6206" s="951"/>
      <c r="B6206" s="951"/>
    </row>
    <row r="6207" spans="1:2">
      <c r="A6207" s="951"/>
      <c r="B6207" s="951"/>
    </row>
    <row r="6208" spans="1:2">
      <c r="A6208" s="951"/>
      <c r="B6208" s="951"/>
    </row>
    <row r="6209" spans="1:2">
      <c r="A6209" s="951"/>
      <c r="B6209" s="951"/>
    </row>
    <row r="6210" spans="1:2">
      <c r="A6210" s="951"/>
      <c r="B6210" s="951"/>
    </row>
    <row r="6211" spans="1:2">
      <c r="A6211" s="951"/>
      <c r="B6211" s="951"/>
    </row>
    <row r="6212" spans="1:2">
      <c r="A6212" s="951"/>
      <c r="B6212" s="951"/>
    </row>
    <row r="6213" spans="1:2">
      <c r="A6213" s="951"/>
      <c r="B6213" s="951"/>
    </row>
    <row r="6214" spans="1:2">
      <c r="A6214" s="951"/>
      <c r="B6214" s="951"/>
    </row>
    <row r="6215" spans="1:2">
      <c r="A6215" s="951"/>
      <c r="B6215" s="951"/>
    </row>
    <row r="6216" spans="1:2">
      <c r="A6216" s="951"/>
      <c r="B6216" s="951"/>
    </row>
    <row r="6217" spans="1:2">
      <c r="A6217" s="951"/>
      <c r="B6217" s="951"/>
    </row>
    <row r="6218" spans="1:2">
      <c r="A6218" s="951"/>
      <c r="B6218" s="951"/>
    </row>
    <row r="6219" spans="1:2">
      <c r="A6219" s="951"/>
      <c r="B6219" s="951"/>
    </row>
    <row r="6220" spans="1:2">
      <c r="A6220" s="951"/>
      <c r="B6220" s="951"/>
    </row>
    <row r="6221" spans="1:2">
      <c r="A6221" s="951"/>
      <c r="B6221" s="951"/>
    </row>
    <row r="6222" spans="1:2">
      <c r="A6222" s="951"/>
      <c r="B6222" s="951"/>
    </row>
    <row r="6223" spans="1:2">
      <c r="A6223" s="951"/>
      <c r="B6223" s="951"/>
    </row>
    <row r="6224" spans="1:2">
      <c r="A6224" s="951"/>
      <c r="B6224" s="951"/>
    </row>
    <row r="6225" spans="1:2">
      <c r="A6225" s="951"/>
      <c r="B6225" s="951"/>
    </row>
    <row r="6226" spans="1:2">
      <c r="A6226" s="951"/>
      <c r="B6226" s="951"/>
    </row>
    <row r="6227" spans="1:2">
      <c r="A6227" s="951"/>
      <c r="B6227" s="951"/>
    </row>
    <row r="6228" spans="1:2">
      <c r="A6228" s="951"/>
      <c r="B6228" s="951"/>
    </row>
    <row r="6229" spans="1:2">
      <c r="A6229" s="951"/>
      <c r="B6229" s="951"/>
    </row>
    <row r="6230" spans="1:2">
      <c r="A6230" s="951"/>
      <c r="B6230" s="951"/>
    </row>
    <row r="6231" spans="1:2">
      <c r="A6231" s="951"/>
      <c r="B6231" s="951"/>
    </row>
    <row r="6232" spans="1:2">
      <c r="A6232" s="951"/>
      <c r="B6232" s="951"/>
    </row>
    <row r="6233" spans="1:2">
      <c r="A6233" s="951"/>
      <c r="B6233" s="951"/>
    </row>
    <row r="6234" spans="1:2">
      <c r="A6234" s="951"/>
      <c r="B6234" s="951"/>
    </row>
    <row r="6235" spans="1:2">
      <c r="A6235" s="951"/>
      <c r="B6235" s="951"/>
    </row>
    <row r="6236" spans="1:2">
      <c r="A6236" s="951"/>
      <c r="B6236" s="951"/>
    </row>
    <row r="6237" spans="1:2">
      <c r="A6237" s="951"/>
      <c r="B6237" s="951"/>
    </row>
    <row r="6238" spans="1:2">
      <c r="A6238" s="951"/>
      <c r="B6238" s="951"/>
    </row>
    <row r="6239" spans="1:2">
      <c r="A6239" s="951"/>
      <c r="B6239" s="951"/>
    </row>
    <row r="6240" spans="1:2">
      <c r="A6240" s="951"/>
      <c r="B6240" s="951"/>
    </row>
    <row r="6241" spans="1:2">
      <c r="A6241" s="951"/>
      <c r="B6241" s="951"/>
    </row>
    <row r="6242" spans="1:2">
      <c r="A6242" s="951"/>
      <c r="B6242" s="951"/>
    </row>
    <row r="6243" spans="1:2">
      <c r="A6243" s="951"/>
      <c r="B6243" s="951"/>
    </row>
    <row r="6244" spans="1:2">
      <c r="A6244" s="951"/>
      <c r="B6244" s="951"/>
    </row>
    <row r="6245" spans="1:2">
      <c r="A6245" s="951"/>
      <c r="B6245" s="951"/>
    </row>
    <row r="6246" spans="1:2">
      <c r="A6246" s="951"/>
      <c r="B6246" s="951"/>
    </row>
    <row r="6247" spans="1:2">
      <c r="A6247" s="951"/>
      <c r="B6247" s="951"/>
    </row>
    <row r="6248" spans="1:2">
      <c r="A6248" s="951"/>
      <c r="B6248" s="951"/>
    </row>
    <row r="6249" spans="1:2">
      <c r="A6249" s="951"/>
      <c r="B6249" s="951"/>
    </row>
    <row r="6250" spans="1:2">
      <c r="A6250" s="951"/>
      <c r="B6250" s="951"/>
    </row>
    <row r="6251" spans="1:2">
      <c r="A6251" s="951"/>
      <c r="B6251" s="951"/>
    </row>
    <row r="6252" spans="1:2">
      <c r="A6252" s="951"/>
      <c r="B6252" s="951"/>
    </row>
    <row r="6253" spans="1:2">
      <c r="A6253" s="951"/>
      <c r="B6253" s="951"/>
    </row>
    <row r="6254" spans="1:2">
      <c r="A6254" s="951"/>
      <c r="B6254" s="951"/>
    </row>
    <row r="6255" spans="1:2">
      <c r="A6255" s="951"/>
      <c r="B6255" s="951"/>
    </row>
    <row r="6256" spans="1:2">
      <c r="A6256" s="951"/>
      <c r="B6256" s="951"/>
    </row>
    <row r="6257" spans="1:2">
      <c r="A6257" s="951"/>
      <c r="B6257" s="951"/>
    </row>
    <row r="6258" spans="1:2">
      <c r="A6258" s="951"/>
      <c r="B6258" s="951"/>
    </row>
    <row r="6259" spans="1:2">
      <c r="A6259" s="951"/>
      <c r="B6259" s="951"/>
    </row>
    <row r="6260" spans="1:2">
      <c r="A6260" s="951"/>
      <c r="B6260" s="951"/>
    </row>
    <row r="6261" spans="1:2">
      <c r="A6261" s="951"/>
      <c r="B6261" s="951"/>
    </row>
    <row r="6262" spans="1:2">
      <c r="A6262" s="951"/>
      <c r="B6262" s="951"/>
    </row>
    <row r="6263" spans="1:2">
      <c r="A6263" s="951"/>
      <c r="B6263" s="951"/>
    </row>
    <row r="6264" spans="1:2">
      <c r="A6264" s="951"/>
      <c r="B6264" s="951"/>
    </row>
    <row r="6265" spans="1:2">
      <c r="A6265" s="951"/>
      <c r="B6265" s="951"/>
    </row>
    <row r="6266" spans="1:2">
      <c r="A6266" s="951"/>
      <c r="B6266" s="951"/>
    </row>
    <row r="6267" spans="1:2">
      <c r="A6267" s="951"/>
      <c r="B6267" s="951"/>
    </row>
    <row r="6268" spans="1:2">
      <c r="A6268" s="951"/>
      <c r="B6268" s="951"/>
    </row>
    <row r="6269" spans="1:2">
      <c r="A6269" s="951"/>
      <c r="B6269" s="951"/>
    </row>
    <row r="6270" spans="1:2">
      <c r="A6270" s="951"/>
      <c r="B6270" s="951"/>
    </row>
    <row r="6271" spans="1:2">
      <c r="A6271" s="951"/>
      <c r="B6271" s="951"/>
    </row>
    <row r="6272" spans="1:2">
      <c r="A6272" s="951"/>
      <c r="B6272" s="951"/>
    </row>
    <row r="6273" spans="1:2">
      <c r="A6273" s="951"/>
      <c r="B6273" s="951"/>
    </row>
    <row r="6274" spans="1:2">
      <c r="A6274" s="951"/>
      <c r="B6274" s="951"/>
    </row>
    <row r="6275" spans="1:2">
      <c r="A6275" s="951"/>
      <c r="B6275" s="951"/>
    </row>
    <row r="6276" spans="1:2">
      <c r="A6276" s="951"/>
      <c r="B6276" s="951"/>
    </row>
    <row r="6277" spans="1:2">
      <c r="A6277" s="951"/>
      <c r="B6277" s="951"/>
    </row>
    <row r="6278" spans="1:2">
      <c r="A6278" s="951"/>
      <c r="B6278" s="951"/>
    </row>
    <row r="6279" spans="1:2">
      <c r="A6279" s="951"/>
      <c r="B6279" s="951"/>
    </row>
    <row r="6280" spans="1:2">
      <c r="A6280" s="951"/>
      <c r="B6280" s="951"/>
    </row>
    <row r="6281" spans="1:2">
      <c r="A6281" s="951"/>
      <c r="B6281" s="951"/>
    </row>
    <row r="6282" spans="1:2">
      <c r="A6282" s="951"/>
      <c r="B6282" s="951"/>
    </row>
    <row r="6283" spans="1:2">
      <c r="A6283" s="951"/>
      <c r="B6283" s="951"/>
    </row>
    <row r="6284" spans="1:2">
      <c r="A6284" s="951"/>
      <c r="B6284" s="951"/>
    </row>
    <row r="6285" spans="1:2">
      <c r="A6285" s="951"/>
      <c r="B6285" s="951"/>
    </row>
    <row r="6286" spans="1:2">
      <c r="A6286" s="951"/>
      <c r="B6286" s="951"/>
    </row>
    <row r="6287" spans="1:2">
      <c r="A6287" s="951"/>
      <c r="B6287" s="951"/>
    </row>
    <row r="6288" spans="1:2">
      <c r="A6288" s="951"/>
      <c r="B6288" s="951"/>
    </row>
    <row r="6289" spans="1:2">
      <c r="A6289" s="951"/>
      <c r="B6289" s="951"/>
    </row>
    <row r="6290" spans="1:2">
      <c r="A6290" s="951"/>
      <c r="B6290" s="951"/>
    </row>
    <row r="6291" spans="1:2">
      <c r="A6291" s="951"/>
      <c r="B6291" s="951"/>
    </row>
    <row r="6292" spans="1:2">
      <c r="A6292" s="951"/>
      <c r="B6292" s="951"/>
    </row>
    <row r="6293" spans="1:2">
      <c r="A6293" s="951"/>
      <c r="B6293" s="951"/>
    </row>
    <row r="6294" spans="1:2">
      <c r="A6294" s="951"/>
      <c r="B6294" s="951"/>
    </row>
    <row r="6295" spans="1:2">
      <c r="A6295" s="951"/>
      <c r="B6295" s="951"/>
    </row>
    <row r="6296" spans="1:2">
      <c r="A6296" s="951"/>
      <c r="B6296" s="951"/>
    </row>
    <row r="6297" spans="1:2">
      <c r="A6297" s="951"/>
      <c r="B6297" s="951"/>
    </row>
    <row r="6298" spans="1:2">
      <c r="A6298" s="951"/>
      <c r="B6298" s="951"/>
    </row>
    <row r="6299" spans="1:2">
      <c r="A6299" s="951"/>
      <c r="B6299" s="951"/>
    </row>
    <row r="6300" spans="1:2">
      <c r="A6300" s="951"/>
      <c r="B6300" s="951"/>
    </row>
    <row r="6301" spans="1:2">
      <c r="A6301" s="951"/>
      <c r="B6301" s="951"/>
    </row>
    <row r="6302" spans="1:2">
      <c r="A6302" s="951"/>
      <c r="B6302" s="951"/>
    </row>
    <row r="6303" spans="1:2">
      <c r="A6303" s="951"/>
      <c r="B6303" s="951"/>
    </row>
    <row r="6304" spans="1:2">
      <c r="A6304" s="951"/>
      <c r="B6304" s="951"/>
    </row>
    <row r="6305" spans="1:2">
      <c r="A6305" s="951"/>
      <c r="B6305" s="951"/>
    </row>
    <row r="6306" spans="1:2">
      <c r="A6306" s="951"/>
      <c r="B6306" s="951"/>
    </row>
    <row r="6307" spans="1:2">
      <c r="A6307" s="951"/>
      <c r="B6307" s="951"/>
    </row>
    <row r="6308" spans="1:2">
      <c r="A6308" s="951"/>
      <c r="B6308" s="951"/>
    </row>
    <row r="6309" spans="1:2">
      <c r="A6309" s="951"/>
      <c r="B6309" s="951"/>
    </row>
    <row r="6310" spans="1:2">
      <c r="A6310" s="951"/>
      <c r="B6310" s="951"/>
    </row>
    <row r="6311" spans="1:2">
      <c r="A6311" s="951"/>
      <c r="B6311" s="951"/>
    </row>
    <row r="6312" spans="1:2">
      <c r="A6312" s="951"/>
      <c r="B6312" s="951"/>
    </row>
    <row r="6313" spans="1:2">
      <c r="A6313" s="951"/>
      <c r="B6313" s="951"/>
    </row>
    <row r="6314" spans="1:2">
      <c r="A6314" s="951"/>
      <c r="B6314" s="951"/>
    </row>
    <row r="6315" spans="1:2">
      <c r="A6315" s="951"/>
      <c r="B6315" s="951"/>
    </row>
    <row r="6316" spans="1:2">
      <c r="A6316" s="951"/>
      <c r="B6316" s="951"/>
    </row>
    <row r="6317" spans="1:2">
      <c r="A6317" s="951"/>
      <c r="B6317" s="951"/>
    </row>
    <row r="6318" spans="1:2">
      <c r="A6318" s="951"/>
      <c r="B6318" s="951"/>
    </row>
    <row r="6319" spans="1:2">
      <c r="A6319" s="951"/>
      <c r="B6319" s="951"/>
    </row>
    <row r="6320" spans="1:2">
      <c r="A6320" s="951"/>
      <c r="B6320" s="951"/>
    </row>
    <row r="6321" spans="1:2">
      <c r="A6321" s="951"/>
      <c r="B6321" s="951"/>
    </row>
    <row r="6322" spans="1:2">
      <c r="A6322" s="951"/>
      <c r="B6322" s="951"/>
    </row>
    <row r="6323" spans="1:2">
      <c r="A6323" s="951"/>
      <c r="B6323" s="951"/>
    </row>
    <row r="6324" spans="1:2">
      <c r="A6324" s="951"/>
      <c r="B6324" s="951"/>
    </row>
    <row r="6325" spans="1:2">
      <c r="A6325" s="951"/>
      <c r="B6325" s="951"/>
    </row>
    <row r="6326" spans="1:2">
      <c r="A6326" s="951"/>
      <c r="B6326" s="951"/>
    </row>
    <row r="6327" spans="1:2">
      <c r="A6327" s="951"/>
      <c r="B6327" s="951"/>
    </row>
    <row r="6328" spans="1:2">
      <c r="A6328" s="951"/>
      <c r="B6328" s="951"/>
    </row>
    <row r="6329" spans="1:2">
      <c r="A6329" s="951"/>
      <c r="B6329" s="951"/>
    </row>
    <row r="6330" spans="1:2">
      <c r="A6330" s="951"/>
      <c r="B6330" s="951"/>
    </row>
    <row r="6331" spans="1:2">
      <c r="A6331" s="951"/>
      <c r="B6331" s="951"/>
    </row>
    <row r="6332" spans="1:2">
      <c r="A6332" s="951"/>
      <c r="B6332" s="951"/>
    </row>
    <row r="6333" spans="1:2">
      <c r="A6333" s="951"/>
      <c r="B6333" s="951"/>
    </row>
    <row r="6334" spans="1:2">
      <c r="A6334" s="951"/>
      <c r="B6334" s="951"/>
    </row>
    <row r="6335" spans="1:2">
      <c r="A6335" s="951"/>
      <c r="B6335" s="951"/>
    </row>
    <row r="6336" spans="1:2">
      <c r="A6336" s="951"/>
      <c r="B6336" s="951"/>
    </row>
    <row r="6337" spans="1:2">
      <c r="A6337" s="951"/>
      <c r="B6337" s="951"/>
    </row>
    <row r="6338" spans="1:2">
      <c r="A6338" s="951"/>
      <c r="B6338" s="951"/>
    </row>
    <row r="6339" spans="1:2">
      <c r="A6339" s="951"/>
      <c r="B6339" s="951"/>
    </row>
    <row r="6340" spans="1:2">
      <c r="A6340" s="951"/>
      <c r="B6340" s="951"/>
    </row>
    <row r="6341" spans="1:2">
      <c r="A6341" s="951"/>
      <c r="B6341" s="951"/>
    </row>
    <row r="6342" spans="1:2">
      <c r="A6342" s="951"/>
      <c r="B6342" s="951"/>
    </row>
    <row r="6343" spans="1:2">
      <c r="A6343" s="951"/>
      <c r="B6343" s="951"/>
    </row>
    <row r="6344" spans="1:2">
      <c r="A6344" s="951"/>
      <c r="B6344" s="951"/>
    </row>
    <row r="6345" spans="1:2">
      <c r="A6345" s="951"/>
      <c r="B6345" s="951"/>
    </row>
    <row r="6346" spans="1:2">
      <c r="A6346" s="951"/>
      <c r="B6346" s="951"/>
    </row>
    <row r="6347" spans="1:2">
      <c r="A6347" s="951"/>
      <c r="B6347" s="951"/>
    </row>
    <row r="6348" spans="1:2">
      <c r="A6348" s="951"/>
      <c r="B6348" s="951"/>
    </row>
    <row r="6349" spans="1:2">
      <c r="A6349" s="951"/>
      <c r="B6349" s="951"/>
    </row>
    <row r="6350" spans="1:2">
      <c r="A6350" s="951"/>
      <c r="B6350" s="951"/>
    </row>
    <row r="6351" spans="1:2">
      <c r="A6351" s="951"/>
      <c r="B6351" s="951"/>
    </row>
    <row r="6352" spans="1:2">
      <c r="A6352" s="951"/>
      <c r="B6352" s="951"/>
    </row>
    <row r="6353" spans="1:2">
      <c r="A6353" s="951"/>
      <c r="B6353" s="951"/>
    </row>
    <row r="6354" spans="1:2">
      <c r="A6354" s="951"/>
      <c r="B6354" s="951"/>
    </row>
    <row r="6355" spans="1:2">
      <c r="A6355" s="951"/>
      <c r="B6355" s="951"/>
    </row>
    <row r="6356" spans="1:2">
      <c r="A6356" s="951"/>
      <c r="B6356" s="951"/>
    </row>
    <row r="6357" spans="1:2">
      <c r="A6357" s="951"/>
      <c r="B6357" s="951"/>
    </row>
    <row r="6358" spans="1:2">
      <c r="A6358" s="951"/>
      <c r="B6358" s="951"/>
    </row>
    <row r="6359" spans="1:2">
      <c r="A6359" s="951"/>
      <c r="B6359" s="951"/>
    </row>
    <row r="6360" spans="1:2">
      <c r="A6360" s="951"/>
      <c r="B6360" s="951"/>
    </row>
    <row r="6361" spans="1:2">
      <c r="A6361" s="951"/>
      <c r="B6361" s="951"/>
    </row>
    <row r="6362" spans="1:2">
      <c r="A6362" s="951"/>
      <c r="B6362" s="951"/>
    </row>
    <row r="6363" spans="1:2">
      <c r="A6363" s="951"/>
      <c r="B6363" s="951"/>
    </row>
    <row r="6364" spans="1:2">
      <c r="A6364" s="951"/>
      <c r="B6364" s="951"/>
    </row>
    <row r="6365" spans="1:2">
      <c r="A6365" s="951"/>
      <c r="B6365" s="951"/>
    </row>
    <row r="6366" spans="1:2">
      <c r="A6366" s="951"/>
      <c r="B6366" s="951"/>
    </row>
    <row r="6367" spans="1:2">
      <c r="A6367" s="951"/>
      <c r="B6367" s="951"/>
    </row>
    <row r="6368" spans="1:2">
      <c r="A6368" s="951"/>
      <c r="B6368" s="951"/>
    </row>
    <row r="6369" spans="1:2">
      <c r="A6369" s="951"/>
      <c r="B6369" s="951"/>
    </row>
    <row r="6370" spans="1:2">
      <c r="A6370" s="951"/>
      <c r="B6370" s="951"/>
    </row>
    <row r="6371" spans="1:2">
      <c r="A6371" s="951"/>
      <c r="B6371" s="951"/>
    </row>
    <row r="6372" spans="1:2">
      <c r="A6372" s="951"/>
      <c r="B6372" s="951"/>
    </row>
    <row r="6373" spans="1:2">
      <c r="A6373" s="951"/>
      <c r="B6373" s="951"/>
    </row>
    <row r="6374" spans="1:2">
      <c r="A6374" s="951"/>
      <c r="B6374" s="951"/>
    </row>
    <row r="6375" spans="1:2">
      <c r="A6375" s="951"/>
      <c r="B6375" s="951"/>
    </row>
    <row r="6376" spans="1:2">
      <c r="A6376" s="951"/>
      <c r="B6376" s="951"/>
    </row>
    <row r="6377" spans="1:2">
      <c r="A6377" s="951"/>
      <c r="B6377" s="951"/>
    </row>
    <row r="6378" spans="1:2">
      <c r="A6378" s="951"/>
      <c r="B6378" s="951"/>
    </row>
    <row r="6379" spans="1:2">
      <c r="A6379" s="951"/>
      <c r="B6379" s="951"/>
    </row>
    <row r="6380" spans="1:2">
      <c r="A6380" s="951"/>
      <c r="B6380" s="951"/>
    </row>
    <row r="6381" spans="1:2">
      <c r="A6381" s="951"/>
      <c r="B6381" s="951"/>
    </row>
    <row r="6382" spans="1:2">
      <c r="A6382" s="951"/>
      <c r="B6382" s="951"/>
    </row>
    <row r="6383" spans="1:2">
      <c r="A6383" s="951"/>
      <c r="B6383" s="951"/>
    </row>
    <row r="6384" spans="1:2">
      <c r="A6384" s="951"/>
      <c r="B6384" s="951"/>
    </row>
    <row r="6385" spans="1:2">
      <c r="A6385" s="951"/>
      <c r="B6385" s="951"/>
    </row>
    <row r="6386" spans="1:2">
      <c r="A6386" s="951"/>
      <c r="B6386" s="951"/>
    </row>
    <row r="6387" spans="1:2">
      <c r="A6387" s="951"/>
      <c r="B6387" s="951"/>
    </row>
    <row r="6388" spans="1:2">
      <c r="A6388" s="951"/>
      <c r="B6388" s="951"/>
    </row>
    <row r="6389" spans="1:2">
      <c r="A6389" s="951"/>
      <c r="B6389" s="951"/>
    </row>
    <row r="6390" spans="1:2">
      <c r="A6390" s="951"/>
      <c r="B6390" s="951"/>
    </row>
    <row r="6391" spans="1:2">
      <c r="A6391" s="951"/>
      <c r="B6391" s="951"/>
    </row>
    <row r="6392" spans="1:2">
      <c r="A6392" s="951"/>
      <c r="B6392" s="951"/>
    </row>
    <row r="6393" spans="1:2">
      <c r="A6393" s="951"/>
      <c r="B6393" s="951"/>
    </row>
    <row r="6394" spans="1:2">
      <c r="A6394" s="951"/>
      <c r="B6394" s="951"/>
    </row>
    <row r="6395" spans="1:2">
      <c r="A6395" s="951"/>
      <c r="B6395" s="951"/>
    </row>
    <row r="6396" spans="1:2">
      <c r="A6396" s="951"/>
      <c r="B6396" s="951"/>
    </row>
    <row r="6397" spans="1:2">
      <c r="A6397" s="951"/>
      <c r="B6397" s="951"/>
    </row>
    <row r="6398" spans="1:2">
      <c r="A6398" s="951"/>
      <c r="B6398" s="951"/>
    </row>
    <row r="6399" spans="1:2">
      <c r="A6399" s="951"/>
      <c r="B6399" s="951"/>
    </row>
    <row r="6400" spans="1:2">
      <c r="A6400" s="951"/>
      <c r="B6400" s="951"/>
    </row>
    <row r="6401" spans="1:2">
      <c r="A6401" s="951"/>
      <c r="B6401" s="951"/>
    </row>
    <row r="6402" spans="1:2">
      <c r="A6402" s="951"/>
      <c r="B6402" s="951"/>
    </row>
    <row r="6403" spans="1:2">
      <c r="A6403" s="951"/>
      <c r="B6403" s="951"/>
    </row>
    <row r="6404" spans="1:2">
      <c r="A6404" s="951"/>
      <c r="B6404" s="951"/>
    </row>
    <row r="6405" spans="1:2">
      <c r="A6405" s="951"/>
      <c r="B6405" s="951"/>
    </row>
    <row r="6406" spans="1:2">
      <c r="A6406" s="951"/>
      <c r="B6406" s="951"/>
    </row>
    <row r="6407" spans="1:2">
      <c r="A6407" s="951"/>
      <c r="B6407" s="951"/>
    </row>
    <row r="6408" spans="1:2">
      <c r="A6408" s="951"/>
      <c r="B6408" s="951"/>
    </row>
    <row r="6409" spans="1:2">
      <c r="A6409" s="951"/>
      <c r="B6409" s="951"/>
    </row>
    <row r="6410" spans="1:2">
      <c r="A6410" s="951"/>
      <c r="B6410" s="951"/>
    </row>
    <row r="6411" spans="1:2">
      <c r="A6411" s="951"/>
      <c r="B6411" s="951"/>
    </row>
    <row r="6412" spans="1:2">
      <c r="A6412" s="951"/>
      <c r="B6412" s="951"/>
    </row>
    <row r="6413" spans="1:2">
      <c r="A6413" s="951"/>
      <c r="B6413" s="951"/>
    </row>
    <row r="6414" spans="1:2">
      <c r="A6414" s="951"/>
      <c r="B6414" s="951"/>
    </row>
    <row r="6415" spans="1:2">
      <c r="A6415" s="951"/>
      <c r="B6415" s="951"/>
    </row>
    <row r="6416" spans="1:2">
      <c r="A6416" s="951"/>
      <c r="B6416" s="951"/>
    </row>
    <row r="6417" spans="1:2">
      <c r="A6417" s="951"/>
      <c r="B6417" s="951"/>
    </row>
    <row r="6418" spans="1:2">
      <c r="A6418" s="951"/>
      <c r="B6418" s="951"/>
    </row>
    <row r="6419" spans="1:2">
      <c r="A6419" s="951"/>
      <c r="B6419" s="951"/>
    </row>
    <row r="6420" spans="1:2">
      <c r="A6420" s="951"/>
      <c r="B6420" s="951"/>
    </row>
    <row r="6421" spans="1:2">
      <c r="A6421" s="951"/>
      <c r="B6421" s="951"/>
    </row>
    <row r="6422" spans="1:2">
      <c r="A6422" s="951"/>
      <c r="B6422" s="951"/>
    </row>
    <row r="6423" spans="1:2">
      <c r="A6423" s="951"/>
      <c r="B6423" s="951"/>
    </row>
    <row r="6424" spans="1:2">
      <c r="A6424" s="951"/>
      <c r="B6424" s="951"/>
    </row>
    <row r="6425" spans="1:2">
      <c r="A6425" s="951"/>
      <c r="B6425" s="951"/>
    </row>
    <row r="6426" spans="1:2">
      <c r="A6426" s="951"/>
      <c r="B6426" s="951"/>
    </row>
    <row r="6427" spans="1:2">
      <c r="A6427" s="951"/>
      <c r="B6427" s="951"/>
    </row>
    <row r="6428" spans="1:2">
      <c r="A6428" s="951"/>
      <c r="B6428" s="951"/>
    </row>
    <row r="6429" spans="1:2">
      <c r="A6429" s="951"/>
      <c r="B6429" s="951"/>
    </row>
    <row r="6430" spans="1:2">
      <c r="A6430" s="951"/>
      <c r="B6430" s="951"/>
    </row>
    <row r="6431" spans="1:2">
      <c r="A6431" s="951"/>
      <c r="B6431" s="951"/>
    </row>
    <row r="6432" spans="1:2">
      <c r="A6432" s="951"/>
      <c r="B6432" s="951"/>
    </row>
    <row r="6433" spans="1:2">
      <c r="A6433" s="951"/>
      <c r="B6433" s="951"/>
    </row>
    <row r="6434" spans="1:2">
      <c r="A6434" s="951"/>
      <c r="B6434" s="951"/>
    </row>
    <row r="6435" spans="1:2">
      <c r="A6435" s="951"/>
      <c r="B6435" s="951"/>
    </row>
    <row r="6436" spans="1:2">
      <c r="A6436" s="951"/>
      <c r="B6436" s="951"/>
    </row>
    <row r="6437" spans="1:2">
      <c r="A6437" s="951"/>
      <c r="B6437" s="951"/>
    </row>
    <row r="6438" spans="1:2">
      <c r="A6438" s="951"/>
      <c r="B6438" s="951"/>
    </row>
    <row r="6439" spans="1:2">
      <c r="A6439" s="951"/>
      <c r="B6439" s="951"/>
    </row>
    <row r="6440" spans="1:2">
      <c r="A6440" s="951"/>
      <c r="B6440" s="951"/>
    </row>
    <row r="6441" spans="1:2">
      <c r="A6441" s="951"/>
      <c r="B6441" s="951"/>
    </row>
    <row r="6442" spans="1:2">
      <c r="A6442" s="951"/>
      <c r="B6442" s="951"/>
    </row>
    <row r="6443" spans="1:2">
      <c r="A6443" s="951"/>
      <c r="B6443" s="951"/>
    </row>
    <row r="6444" spans="1:2">
      <c r="A6444" s="951"/>
      <c r="B6444" s="951"/>
    </row>
    <row r="6445" spans="1:2">
      <c r="A6445" s="951"/>
      <c r="B6445" s="951"/>
    </row>
    <row r="6446" spans="1:2">
      <c r="A6446" s="951"/>
      <c r="B6446" s="951"/>
    </row>
    <row r="6447" spans="1:2">
      <c r="A6447" s="951"/>
      <c r="B6447" s="951"/>
    </row>
    <row r="6448" spans="1:2">
      <c r="A6448" s="951"/>
      <c r="B6448" s="951"/>
    </row>
    <row r="6449" spans="1:2">
      <c r="A6449" s="951"/>
      <c r="B6449" s="951"/>
    </row>
    <row r="6450" spans="1:2">
      <c r="A6450" s="951"/>
      <c r="B6450" s="951"/>
    </row>
    <row r="6451" spans="1:2">
      <c r="A6451" s="951"/>
      <c r="B6451" s="951"/>
    </row>
    <row r="6452" spans="1:2">
      <c r="A6452" s="951"/>
      <c r="B6452" s="951"/>
    </row>
    <row r="6453" spans="1:2">
      <c r="A6453" s="951"/>
      <c r="B6453" s="951"/>
    </row>
    <row r="6454" spans="1:2">
      <c r="A6454" s="951"/>
      <c r="B6454" s="951"/>
    </row>
    <row r="6455" spans="1:2">
      <c r="A6455" s="951"/>
      <c r="B6455" s="951"/>
    </row>
    <row r="6456" spans="1:2">
      <c r="A6456" s="951"/>
      <c r="B6456" s="951"/>
    </row>
    <row r="6457" spans="1:2">
      <c r="A6457" s="951"/>
      <c r="B6457" s="951"/>
    </row>
    <row r="6458" spans="1:2">
      <c r="A6458" s="951"/>
      <c r="B6458" s="951"/>
    </row>
    <row r="6459" spans="1:2">
      <c r="A6459" s="951"/>
      <c r="B6459" s="951"/>
    </row>
    <row r="6460" spans="1:2">
      <c r="A6460" s="951"/>
      <c r="B6460" s="951"/>
    </row>
    <row r="6461" spans="1:2">
      <c r="A6461" s="951"/>
      <c r="B6461" s="951"/>
    </row>
    <row r="6462" spans="1:2">
      <c r="A6462" s="951"/>
      <c r="B6462" s="951"/>
    </row>
    <row r="6463" spans="1:2">
      <c r="A6463" s="951"/>
      <c r="B6463" s="951"/>
    </row>
    <row r="6464" spans="1:2">
      <c r="A6464" s="951"/>
      <c r="B6464" s="951"/>
    </row>
    <row r="6465" spans="1:2">
      <c r="A6465" s="951"/>
      <c r="B6465" s="951"/>
    </row>
    <row r="6466" spans="1:2">
      <c r="A6466" s="951"/>
      <c r="B6466" s="951"/>
    </row>
    <row r="6467" spans="1:2">
      <c r="A6467" s="951"/>
      <c r="B6467" s="951"/>
    </row>
    <row r="6468" spans="1:2">
      <c r="A6468" s="951"/>
      <c r="B6468" s="951"/>
    </row>
    <row r="6469" spans="1:2">
      <c r="A6469" s="951"/>
      <c r="B6469" s="951"/>
    </row>
    <row r="6470" spans="1:2">
      <c r="A6470" s="951"/>
      <c r="B6470" s="951"/>
    </row>
    <row r="6471" spans="1:2">
      <c r="A6471" s="951"/>
      <c r="B6471" s="951"/>
    </row>
    <row r="6472" spans="1:2">
      <c r="A6472" s="951"/>
      <c r="B6472" s="951"/>
    </row>
    <row r="6473" spans="1:2">
      <c r="A6473" s="951"/>
      <c r="B6473" s="951"/>
    </row>
    <row r="6474" spans="1:2">
      <c r="A6474" s="951"/>
      <c r="B6474" s="951"/>
    </row>
    <row r="6475" spans="1:2">
      <c r="A6475" s="951"/>
      <c r="B6475" s="951"/>
    </row>
    <row r="6476" spans="1:2">
      <c r="A6476" s="951"/>
      <c r="B6476" s="951"/>
    </row>
    <row r="6477" spans="1:2">
      <c r="A6477" s="951"/>
      <c r="B6477" s="951"/>
    </row>
    <row r="6478" spans="1:2">
      <c r="A6478" s="951"/>
      <c r="B6478" s="951"/>
    </row>
    <row r="6479" spans="1:2">
      <c r="A6479" s="951"/>
      <c r="B6479" s="951"/>
    </row>
    <row r="6480" spans="1:2">
      <c r="A6480" s="951"/>
      <c r="B6480" s="951"/>
    </row>
    <row r="6481" spans="1:2">
      <c r="A6481" s="951"/>
      <c r="B6481" s="951"/>
    </row>
    <row r="6482" spans="1:2">
      <c r="A6482" s="951"/>
      <c r="B6482" s="951"/>
    </row>
    <row r="6483" spans="1:2">
      <c r="A6483" s="951"/>
      <c r="B6483" s="951"/>
    </row>
    <row r="6484" spans="1:2">
      <c r="A6484" s="951"/>
      <c r="B6484" s="951"/>
    </row>
    <row r="6485" spans="1:2">
      <c r="A6485" s="951"/>
      <c r="B6485" s="951"/>
    </row>
    <row r="6486" spans="1:2">
      <c r="A6486" s="951"/>
      <c r="B6486" s="951"/>
    </row>
    <row r="6487" spans="1:2">
      <c r="A6487" s="951"/>
      <c r="B6487" s="951"/>
    </row>
    <row r="6488" spans="1:2">
      <c r="A6488" s="951"/>
      <c r="B6488" s="951"/>
    </row>
    <row r="6489" spans="1:2">
      <c r="A6489" s="951"/>
      <c r="B6489" s="951"/>
    </row>
    <row r="6490" spans="1:2">
      <c r="A6490" s="951"/>
      <c r="B6490" s="951"/>
    </row>
    <row r="6491" spans="1:2">
      <c r="A6491" s="951"/>
      <c r="B6491" s="951"/>
    </row>
    <row r="6492" spans="1:2">
      <c r="A6492" s="951"/>
      <c r="B6492" s="951"/>
    </row>
    <row r="6493" spans="1:2">
      <c r="A6493" s="951"/>
      <c r="B6493" s="951"/>
    </row>
    <row r="6494" spans="1:2">
      <c r="A6494" s="951"/>
      <c r="B6494" s="951"/>
    </row>
    <row r="6495" spans="1:2">
      <c r="A6495" s="951"/>
      <c r="B6495" s="951"/>
    </row>
    <row r="6496" spans="1:2">
      <c r="A6496" s="951"/>
      <c r="B6496" s="951"/>
    </row>
    <row r="6497" spans="1:2">
      <c r="A6497" s="951"/>
      <c r="B6497" s="951"/>
    </row>
    <row r="6498" spans="1:2">
      <c r="A6498" s="951"/>
      <c r="B6498" s="951"/>
    </row>
    <row r="6499" spans="1:2">
      <c r="A6499" s="951"/>
      <c r="B6499" s="951"/>
    </row>
    <row r="6500" spans="1:2">
      <c r="A6500" s="951"/>
      <c r="B6500" s="951"/>
    </row>
    <row r="6501" spans="1:2">
      <c r="A6501" s="951"/>
      <c r="B6501" s="951"/>
    </row>
    <row r="6502" spans="1:2">
      <c r="A6502" s="951"/>
      <c r="B6502" s="951"/>
    </row>
    <row r="6503" spans="1:2">
      <c r="A6503" s="951"/>
      <c r="B6503" s="951"/>
    </row>
    <row r="6504" spans="1:2">
      <c r="A6504" s="951"/>
      <c r="B6504" s="951"/>
    </row>
    <row r="6505" spans="1:2">
      <c r="A6505" s="951"/>
      <c r="B6505" s="951"/>
    </row>
    <row r="6506" spans="1:2">
      <c r="A6506" s="951"/>
      <c r="B6506" s="951"/>
    </row>
    <row r="6507" spans="1:2">
      <c r="A6507" s="951"/>
      <c r="B6507" s="951"/>
    </row>
    <row r="6508" spans="1:2">
      <c r="A6508" s="951"/>
      <c r="B6508" s="951"/>
    </row>
    <row r="6509" spans="1:2">
      <c r="A6509" s="951"/>
      <c r="B6509" s="951"/>
    </row>
    <row r="6510" spans="1:2">
      <c r="A6510" s="951"/>
      <c r="B6510" s="951"/>
    </row>
    <row r="6511" spans="1:2">
      <c r="A6511" s="951"/>
      <c r="B6511" s="951"/>
    </row>
    <row r="6512" spans="1:2">
      <c r="A6512" s="951"/>
      <c r="B6512" s="951"/>
    </row>
    <row r="6513" spans="1:2">
      <c r="A6513" s="951"/>
      <c r="B6513" s="951"/>
    </row>
    <row r="6514" spans="1:2">
      <c r="A6514" s="951"/>
      <c r="B6514" s="951"/>
    </row>
    <row r="6515" spans="1:2">
      <c r="A6515" s="951"/>
      <c r="B6515" s="951"/>
    </row>
    <row r="6516" spans="1:2">
      <c r="A6516" s="951"/>
      <c r="B6516" s="951"/>
    </row>
    <row r="6517" spans="1:2">
      <c r="A6517" s="951"/>
      <c r="B6517" s="951"/>
    </row>
    <row r="6518" spans="1:2">
      <c r="A6518" s="951"/>
      <c r="B6518" s="951"/>
    </row>
    <row r="6519" spans="1:2">
      <c r="A6519" s="951"/>
      <c r="B6519" s="951"/>
    </row>
    <row r="6520" spans="1:2">
      <c r="A6520" s="951"/>
      <c r="B6520" s="951"/>
    </row>
    <row r="6521" spans="1:2">
      <c r="A6521" s="951"/>
      <c r="B6521" s="951"/>
    </row>
    <row r="6522" spans="1:2">
      <c r="A6522" s="951"/>
      <c r="B6522" s="951"/>
    </row>
    <row r="6523" spans="1:2">
      <c r="A6523" s="951"/>
      <c r="B6523" s="951"/>
    </row>
    <row r="6524" spans="1:2">
      <c r="A6524" s="951"/>
      <c r="B6524" s="951"/>
    </row>
    <row r="6525" spans="1:2">
      <c r="A6525" s="951"/>
      <c r="B6525" s="951"/>
    </row>
    <row r="6526" spans="1:2">
      <c r="A6526" s="951"/>
      <c r="B6526" s="951"/>
    </row>
    <row r="6527" spans="1:2">
      <c r="A6527" s="951"/>
      <c r="B6527" s="951"/>
    </row>
    <row r="6528" spans="1:2">
      <c r="A6528" s="951"/>
      <c r="B6528" s="951"/>
    </row>
    <row r="6529" spans="1:2">
      <c r="A6529" s="951"/>
      <c r="B6529" s="951"/>
    </row>
    <row r="6530" spans="1:2">
      <c r="A6530" s="951"/>
      <c r="B6530" s="951"/>
    </row>
    <row r="6531" spans="1:2">
      <c r="A6531" s="951"/>
      <c r="B6531" s="951"/>
    </row>
    <row r="6532" spans="1:2">
      <c r="A6532" s="951"/>
      <c r="B6532" s="951"/>
    </row>
    <row r="6533" spans="1:2">
      <c r="A6533" s="951"/>
      <c r="B6533" s="951"/>
    </row>
    <row r="6534" spans="1:2">
      <c r="A6534" s="951"/>
      <c r="B6534" s="951"/>
    </row>
    <row r="6535" spans="1:2">
      <c r="A6535" s="951"/>
      <c r="B6535" s="951"/>
    </row>
    <row r="6536" spans="1:2">
      <c r="A6536" s="951"/>
      <c r="B6536" s="951"/>
    </row>
    <row r="6537" spans="1:2">
      <c r="A6537" s="951"/>
      <c r="B6537" s="951"/>
    </row>
    <row r="6538" spans="1:2">
      <c r="A6538" s="951"/>
      <c r="B6538" s="951"/>
    </row>
    <row r="6539" spans="1:2">
      <c r="A6539" s="951"/>
      <c r="B6539" s="951"/>
    </row>
    <row r="6540" spans="1:2">
      <c r="A6540" s="951"/>
      <c r="B6540" s="951"/>
    </row>
    <row r="6541" spans="1:2">
      <c r="A6541" s="951"/>
      <c r="B6541" s="951"/>
    </row>
    <row r="6542" spans="1:2">
      <c r="A6542" s="951"/>
      <c r="B6542" s="951"/>
    </row>
    <row r="6543" spans="1:2">
      <c r="A6543" s="951"/>
      <c r="B6543" s="951"/>
    </row>
    <row r="6544" spans="1:2">
      <c r="A6544" s="951"/>
      <c r="B6544" s="951"/>
    </row>
    <row r="6545" spans="1:2">
      <c r="A6545" s="951"/>
      <c r="B6545" s="951"/>
    </row>
    <row r="6546" spans="1:2">
      <c r="A6546" s="951"/>
      <c r="B6546" s="951"/>
    </row>
    <row r="6547" spans="1:2">
      <c r="A6547" s="951"/>
      <c r="B6547" s="951"/>
    </row>
    <row r="6548" spans="1:2">
      <c r="A6548" s="951"/>
      <c r="B6548" s="951"/>
    </row>
    <row r="6549" spans="1:2">
      <c r="A6549" s="951"/>
      <c r="B6549" s="951"/>
    </row>
    <row r="6550" spans="1:2">
      <c r="A6550" s="951"/>
      <c r="B6550" s="951"/>
    </row>
    <row r="6551" spans="1:2">
      <c r="A6551" s="951"/>
      <c r="B6551" s="951"/>
    </row>
    <row r="6552" spans="1:2">
      <c r="A6552" s="951"/>
      <c r="B6552" s="951"/>
    </row>
    <row r="6553" spans="1:2">
      <c r="A6553" s="951"/>
      <c r="B6553" s="951"/>
    </row>
    <row r="6554" spans="1:2">
      <c r="A6554" s="951"/>
      <c r="B6554" s="951"/>
    </row>
    <row r="6555" spans="1:2">
      <c r="A6555" s="951"/>
      <c r="B6555" s="951"/>
    </row>
    <row r="6556" spans="1:2">
      <c r="A6556" s="951"/>
      <c r="B6556" s="951"/>
    </row>
    <row r="6557" spans="1:2">
      <c r="A6557" s="951"/>
      <c r="B6557" s="951"/>
    </row>
    <row r="6558" spans="1:2">
      <c r="A6558" s="951"/>
      <c r="B6558" s="951"/>
    </row>
    <row r="6559" spans="1:2">
      <c r="A6559" s="951"/>
      <c r="B6559" s="951"/>
    </row>
    <row r="6560" spans="1:2">
      <c r="A6560" s="951"/>
      <c r="B6560" s="951"/>
    </row>
    <row r="6561" spans="1:2">
      <c r="A6561" s="951"/>
      <c r="B6561" s="951"/>
    </row>
    <row r="6562" spans="1:2">
      <c r="A6562" s="951"/>
      <c r="B6562" s="951"/>
    </row>
    <row r="6563" spans="1:2">
      <c r="A6563" s="951"/>
      <c r="B6563" s="951"/>
    </row>
    <row r="6564" spans="1:2">
      <c r="A6564" s="951"/>
      <c r="B6564" s="951"/>
    </row>
    <row r="6565" spans="1:2">
      <c r="A6565" s="951"/>
      <c r="B6565" s="951"/>
    </row>
    <row r="6566" spans="1:2">
      <c r="A6566" s="951"/>
      <c r="B6566" s="951"/>
    </row>
    <row r="6567" spans="1:2">
      <c r="A6567" s="951"/>
      <c r="B6567" s="951"/>
    </row>
    <row r="6568" spans="1:2">
      <c r="A6568" s="951"/>
      <c r="B6568" s="951"/>
    </row>
    <row r="6569" spans="1:2">
      <c r="A6569" s="951"/>
      <c r="B6569" s="951"/>
    </row>
    <row r="6570" spans="1:2">
      <c r="A6570" s="951"/>
      <c r="B6570" s="951"/>
    </row>
    <row r="6571" spans="1:2">
      <c r="A6571" s="951"/>
      <c r="B6571" s="951"/>
    </row>
    <row r="6572" spans="1:2">
      <c r="A6572" s="951"/>
      <c r="B6572" s="951"/>
    </row>
    <row r="6573" spans="1:2">
      <c r="A6573" s="951"/>
      <c r="B6573" s="951"/>
    </row>
    <row r="6574" spans="1:2">
      <c r="A6574" s="951"/>
      <c r="B6574" s="951"/>
    </row>
    <row r="6575" spans="1:2">
      <c r="A6575" s="951"/>
      <c r="B6575" s="951"/>
    </row>
    <row r="6576" spans="1:2">
      <c r="A6576" s="951"/>
      <c r="B6576" s="951"/>
    </row>
    <row r="6577" spans="1:2">
      <c r="A6577" s="951"/>
      <c r="B6577" s="951"/>
    </row>
    <row r="6578" spans="1:2">
      <c r="A6578" s="951"/>
      <c r="B6578" s="951"/>
    </row>
    <row r="6579" spans="1:2">
      <c r="A6579" s="951"/>
      <c r="B6579" s="951"/>
    </row>
    <row r="6580" spans="1:2">
      <c r="A6580" s="951"/>
      <c r="B6580" s="951"/>
    </row>
    <row r="6581" spans="1:2">
      <c r="A6581" s="951"/>
      <c r="B6581" s="951"/>
    </row>
    <row r="6582" spans="1:2">
      <c r="A6582" s="951"/>
      <c r="B6582" s="951"/>
    </row>
    <row r="6583" spans="1:2">
      <c r="A6583" s="951"/>
      <c r="B6583" s="951"/>
    </row>
    <row r="6584" spans="1:2">
      <c r="A6584" s="951"/>
      <c r="B6584" s="951"/>
    </row>
    <row r="6585" spans="1:2">
      <c r="A6585" s="951"/>
      <c r="B6585" s="951"/>
    </row>
    <row r="6586" spans="1:2">
      <c r="A6586" s="951"/>
      <c r="B6586" s="951"/>
    </row>
    <row r="6587" spans="1:2">
      <c r="A6587" s="951"/>
      <c r="B6587" s="951"/>
    </row>
    <row r="6588" spans="1:2">
      <c r="A6588" s="951"/>
      <c r="B6588" s="951"/>
    </row>
    <row r="6589" spans="1:2">
      <c r="A6589" s="951"/>
      <c r="B6589" s="951"/>
    </row>
    <row r="6590" spans="1:2">
      <c r="A6590" s="951"/>
      <c r="B6590" s="951"/>
    </row>
    <row r="6591" spans="1:2">
      <c r="A6591" s="951"/>
      <c r="B6591" s="951"/>
    </row>
    <row r="6592" spans="1:2">
      <c r="A6592" s="951"/>
      <c r="B6592" s="951"/>
    </row>
    <row r="6593" spans="1:2">
      <c r="A6593" s="951"/>
      <c r="B6593" s="951"/>
    </row>
    <row r="6594" spans="1:2">
      <c r="A6594" s="951"/>
      <c r="B6594" s="951"/>
    </row>
    <row r="6595" spans="1:2">
      <c r="A6595" s="951"/>
      <c r="B6595" s="951"/>
    </row>
    <row r="6596" spans="1:2">
      <c r="A6596" s="951"/>
      <c r="B6596" s="951"/>
    </row>
    <row r="6597" spans="1:2">
      <c r="A6597" s="951"/>
      <c r="B6597" s="951"/>
    </row>
    <row r="6598" spans="1:2">
      <c r="A6598" s="951"/>
      <c r="B6598" s="951"/>
    </row>
    <row r="6599" spans="1:2">
      <c r="A6599" s="951"/>
      <c r="B6599" s="951"/>
    </row>
    <row r="6600" spans="1:2">
      <c r="A6600" s="951"/>
      <c r="B6600" s="951"/>
    </row>
    <row r="6601" spans="1:2">
      <c r="A6601" s="951"/>
      <c r="B6601" s="951"/>
    </row>
    <row r="6602" spans="1:2">
      <c r="A6602" s="951"/>
      <c r="B6602" s="951"/>
    </row>
    <row r="6603" spans="1:2">
      <c r="A6603" s="951"/>
      <c r="B6603" s="951"/>
    </row>
    <row r="6604" spans="1:2">
      <c r="A6604" s="951"/>
      <c r="B6604" s="951"/>
    </row>
    <row r="6605" spans="1:2">
      <c r="A6605" s="951"/>
      <c r="B6605" s="951"/>
    </row>
    <row r="6606" spans="1:2">
      <c r="A6606" s="951"/>
      <c r="B6606" s="951"/>
    </row>
    <row r="6607" spans="1:2">
      <c r="A6607" s="951"/>
      <c r="B6607" s="951"/>
    </row>
    <row r="6608" spans="1:2">
      <c r="A6608" s="951"/>
      <c r="B6608" s="951"/>
    </row>
    <row r="6609" spans="1:2">
      <c r="A6609" s="951"/>
      <c r="B6609" s="951"/>
    </row>
    <row r="6610" spans="1:2">
      <c r="A6610" s="951"/>
      <c r="B6610" s="951"/>
    </row>
    <row r="6611" spans="1:2">
      <c r="A6611" s="951"/>
      <c r="B6611" s="951"/>
    </row>
    <row r="6612" spans="1:2">
      <c r="A6612" s="951"/>
      <c r="B6612" s="951"/>
    </row>
    <row r="6613" spans="1:2">
      <c r="A6613" s="951"/>
      <c r="B6613" s="951"/>
    </row>
    <row r="6614" spans="1:2">
      <c r="A6614" s="951"/>
      <c r="B6614" s="951"/>
    </row>
    <row r="6615" spans="1:2">
      <c r="A6615" s="951"/>
      <c r="B6615" s="951"/>
    </row>
    <row r="6616" spans="1:2">
      <c r="A6616" s="951"/>
      <c r="B6616" s="951"/>
    </row>
    <row r="6617" spans="1:2">
      <c r="A6617" s="951"/>
      <c r="B6617" s="951"/>
    </row>
    <row r="6618" spans="1:2">
      <c r="A6618" s="951"/>
      <c r="B6618" s="951"/>
    </row>
    <row r="6619" spans="1:2">
      <c r="A6619" s="951"/>
      <c r="B6619" s="951"/>
    </row>
    <row r="6620" spans="1:2">
      <c r="A6620" s="951"/>
      <c r="B6620" s="951"/>
    </row>
    <row r="6621" spans="1:2">
      <c r="A6621" s="951"/>
      <c r="B6621" s="951"/>
    </row>
    <row r="6622" spans="1:2">
      <c r="A6622" s="951"/>
      <c r="B6622" s="951"/>
    </row>
    <row r="6623" spans="1:2">
      <c r="A6623" s="951"/>
      <c r="B6623" s="951"/>
    </row>
    <row r="6624" spans="1:2">
      <c r="A6624" s="951"/>
      <c r="B6624" s="951"/>
    </row>
    <row r="6625" spans="1:2">
      <c r="A6625" s="951"/>
      <c r="B6625" s="951"/>
    </row>
    <row r="6626" spans="1:2">
      <c r="A6626" s="951"/>
      <c r="B6626" s="951"/>
    </row>
    <row r="6627" spans="1:2">
      <c r="A6627" s="951"/>
      <c r="B6627" s="951"/>
    </row>
    <row r="6628" spans="1:2">
      <c r="A6628" s="951"/>
      <c r="B6628" s="951"/>
    </row>
    <row r="6629" spans="1:2">
      <c r="A6629" s="951"/>
      <c r="B6629" s="951"/>
    </row>
    <row r="6630" spans="1:2">
      <c r="A6630" s="951"/>
      <c r="B6630" s="951"/>
    </row>
    <row r="6631" spans="1:2">
      <c r="A6631" s="951"/>
      <c r="B6631" s="951"/>
    </row>
    <row r="6632" spans="1:2">
      <c r="A6632" s="951"/>
      <c r="B6632" s="951"/>
    </row>
    <row r="6633" spans="1:2">
      <c r="A6633" s="951"/>
      <c r="B6633" s="951"/>
    </row>
    <row r="6634" spans="1:2">
      <c r="A6634" s="951"/>
      <c r="B6634" s="951"/>
    </row>
    <row r="6635" spans="1:2">
      <c r="A6635" s="951"/>
      <c r="B6635" s="951"/>
    </row>
    <row r="6636" spans="1:2">
      <c r="A6636" s="951"/>
      <c r="B6636" s="951"/>
    </row>
    <row r="6637" spans="1:2">
      <c r="A6637" s="951"/>
      <c r="B6637" s="951"/>
    </row>
    <row r="6638" spans="1:2">
      <c r="A6638" s="951"/>
      <c r="B6638" s="951"/>
    </row>
    <row r="6639" spans="1:2">
      <c r="A6639" s="951"/>
      <c r="B6639" s="951"/>
    </row>
    <row r="6640" spans="1:2">
      <c r="A6640" s="951"/>
      <c r="B6640" s="951"/>
    </row>
    <row r="6641" spans="1:2">
      <c r="A6641" s="951"/>
      <c r="B6641" s="951"/>
    </row>
    <row r="6642" spans="1:2">
      <c r="A6642" s="951"/>
      <c r="B6642" s="951"/>
    </row>
    <row r="6643" spans="1:2">
      <c r="A6643" s="951"/>
      <c r="B6643" s="951"/>
    </row>
    <row r="6644" spans="1:2">
      <c r="A6644" s="951"/>
      <c r="B6644" s="951"/>
    </row>
    <row r="6645" spans="1:2">
      <c r="A6645" s="951"/>
      <c r="B6645" s="951"/>
    </row>
    <row r="6646" spans="1:2">
      <c r="A6646" s="951"/>
      <c r="B6646" s="951"/>
    </row>
    <row r="6647" spans="1:2">
      <c r="A6647" s="951"/>
      <c r="B6647" s="951"/>
    </row>
    <row r="6648" spans="1:2">
      <c r="A6648" s="951"/>
      <c r="B6648" s="951"/>
    </row>
    <row r="6649" spans="1:2">
      <c r="A6649" s="951"/>
      <c r="B6649" s="951"/>
    </row>
    <row r="6650" spans="1:2">
      <c r="A6650" s="951"/>
      <c r="B6650" s="951"/>
    </row>
    <row r="6651" spans="1:2">
      <c r="A6651" s="951"/>
      <c r="B6651" s="951"/>
    </row>
    <row r="6652" spans="1:2">
      <c r="A6652" s="951"/>
      <c r="B6652" s="951"/>
    </row>
    <row r="6653" spans="1:2">
      <c r="A6653" s="951"/>
      <c r="B6653" s="951"/>
    </row>
    <row r="6654" spans="1:2">
      <c r="A6654" s="951"/>
      <c r="B6654" s="951"/>
    </row>
    <row r="6655" spans="1:2">
      <c r="A6655" s="951"/>
      <c r="B6655" s="951"/>
    </row>
    <row r="6656" spans="1:2">
      <c r="A6656" s="951"/>
      <c r="B6656" s="951"/>
    </row>
    <row r="6657" spans="1:2">
      <c r="A6657" s="951"/>
      <c r="B6657" s="951"/>
    </row>
    <row r="6658" spans="1:2">
      <c r="A6658" s="951"/>
      <c r="B6658" s="951"/>
    </row>
    <row r="6659" spans="1:2">
      <c r="A6659" s="951"/>
      <c r="B6659" s="951"/>
    </row>
    <row r="6660" spans="1:2">
      <c r="A6660" s="951"/>
      <c r="B6660" s="951"/>
    </row>
    <row r="6661" spans="1:2">
      <c r="A6661" s="951"/>
      <c r="B6661" s="951"/>
    </row>
    <row r="6662" spans="1:2">
      <c r="A6662" s="951"/>
      <c r="B6662" s="951"/>
    </row>
    <row r="6663" spans="1:2">
      <c r="A6663" s="951"/>
      <c r="B6663" s="951"/>
    </row>
    <row r="6664" spans="1:2">
      <c r="A6664" s="951"/>
      <c r="B6664" s="951"/>
    </row>
    <row r="6665" spans="1:2">
      <c r="A6665" s="951"/>
      <c r="B6665" s="951"/>
    </row>
    <row r="6666" spans="1:2">
      <c r="A6666" s="951"/>
      <c r="B6666" s="951"/>
    </row>
    <row r="6667" spans="1:2">
      <c r="A6667" s="951"/>
      <c r="B6667" s="951"/>
    </row>
    <row r="6668" spans="1:2">
      <c r="A6668" s="951"/>
      <c r="B6668" s="951"/>
    </row>
    <row r="6669" spans="1:2">
      <c r="A6669" s="951"/>
      <c r="B6669" s="951"/>
    </row>
    <row r="6670" spans="1:2">
      <c r="A6670" s="951"/>
      <c r="B6670" s="951"/>
    </row>
    <row r="6671" spans="1:2">
      <c r="A6671" s="951"/>
      <c r="B6671" s="951"/>
    </row>
    <row r="6672" spans="1:2">
      <c r="A6672" s="951"/>
      <c r="B6672" s="951"/>
    </row>
    <row r="6673" spans="1:2">
      <c r="A6673" s="951"/>
      <c r="B6673" s="951"/>
    </row>
    <row r="6674" spans="1:2">
      <c r="A6674" s="951"/>
      <c r="B6674" s="951"/>
    </row>
    <row r="6675" spans="1:2">
      <c r="A6675" s="951"/>
      <c r="B6675" s="951"/>
    </row>
    <row r="6676" spans="1:2">
      <c r="A6676" s="951"/>
      <c r="B6676" s="951"/>
    </row>
    <row r="6677" spans="1:2">
      <c r="A6677" s="951"/>
      <c r="B6677" s="951"/>
    </row>
    <row r="6678" spans="1:2">
      <c r="A6678" s="951"/>
      <c r="B6678" s="951"/>
    </row>
    <row r="6679" spans="1:2">
      <c r="A6679" s="951"/>
      <c r="B6679" s="951"/>
    </row>
    <row r="6680" spans="1:2">
      <c r="A6680" s="951"/>
      <c r="B6680" s="951"/>
    </row>
    <row r="6681" spans="1:2">
      <c r="A6681" s="951"/>
      <c r="B6681" s="951"/>
    </row>
    <row r="6682" spans="1:2">
      <c r="A6682" s="951"/>
      <c r="B6682" s="951"/>
    </row>
    <row r="6683" spans="1:2">
      <c r="A6683" s="951"/>
      <c r="B6683" s="951"/>
    </row>
    <row r="6684" spans="1:2">
      <c r="A6684" s="951"/>
      <c r="B6684" s="951"/>
    </row>
    <row r="6685" spans="1:2">
      <c r="A6685" s="951"/>
      <c r="B6685" s="951"/>
    </row>
    <row r="6686" spans="1:2">
      <c r="A6686" s="951"/>
      <c r="B6686" s="951"/>
    </row>
    <row r="6687" spans="1:2">
      <c r="A6687" s="951"/>
      <c r="B6687" s="951"/>
    </row>
    <row r="6688" spans="1:2">
      <c r="A6688" s="951"/>
      <c r="B6688" s="951"/>
    </row>
    <row r="6689" spans="1:2">
      <c r="A6689" s="951"/>
      <c r="B6689" s="951"/>
    </row>
    <row r="6690" spans="1:2">
      <c r="A6690" s="951"/>
      <c r="B6690" s="951"/>
    </row>
    <row r="6691" spans="1:2">
      <c r="A6691" s="951"/>
      <c r="B6691" s="951"/>
    </row>
    <row r="6692" spans="1:2">
      <c r="A6692" s="951"/>
      <c r="B6692" s="951"/>
    </row>
    <row r="6693" spans="1:2">
      <c r="A6693" s="951"/>
      <c r="B6693" s="951"/>
    </row>
    <row r="6694" spans="1:2">
      <c r="A6694" s="951"/>
      <c r="B6694" s="951"/>
    </row>
    <row r="6695" spans="1:2">
      <c r="A6695" s="951"/>
      <c r="B6695" s="951"/>
    </row>
    <row r="6696" spans="1:2">
      <c r="A6696" s="951"/>
      <c r="B6696" s="951"/>
    </row>
    <row r="6697" spans="1:2">
      <c r="A6697" s="951"/>
      <c r="B6697" s="951"/>
    </row>
    <row r="6698" spans="1:2">
      <c r="A6698" s="951"/>
      <c r="B6698" s="951"/>
    </row>
    <row r="6699" spans="1:2">
      <c r="A6699" s="951"/>
      <c r="B6699" s="951"/>
    </row>
    <row r="6700" spans="1:2">
      <c r="A6700" s="951"/>
      <c r="B6700" s="951"/>
    </row>
    <row r="6701" spans="1:2">
      <c r="A6701" s="951"/>
      <c r="B6701" s="951"/>
    </row>
    <row r="6702" spans="1:2">
      <c r="A6702" s="951"/>
      <c r="B6702" s="951"/>
    </row>
    <row r="6703" spans="1:2">
      <c r="A6703" s="951"/>
      <c r="B6703" s="951"/>
    </row>
    <row r="6704" spans="1:2">
      <c r="A6704" s="951"/>
      <c r="B6704" s="951"/>
    </row>
    <row r="6705" spans="1:2">
      <c r="A6705" s="951"/>
      <c r="B6705" s="951"/>
    </row>
    <row r="6706" spans="1:2">
      <c r="A6706" s="951"/>
      <c r="B6706" s="951"/>
    </row>
    <row r="6707" spans="1:2">
      <c r="A6707" s="951"/>
      <c r="B6707" s="951"/>
    </row>
    <row r="6708" spans="1:2">
      <c r="A6708" s="951"/>
      <c r="B6708" s="951"/>
    </row>
    <row r="6709" spans="1:2">
      <c r="A6709" s="951"/>
      <c r="B6709" s="951"/>
    </row>
    <row r="6710" spans="1:2">
      <c r="A6710" s="951"/>
      <c r="B6710" s="951"/>
    </row>
    <row r="6711" spans="1:2">
      <c r="A6711" s="951"/>
      <c r="B6711" s="951"/>
    </row>
    <row r="6712" spans="1:2">
      <c r="A6712" s="951"/>
      <c r="B6712" s="951"/>
    </row>
    <row r="6713" spans="1:2">
      <c r="A6713" s="951"/>
      <c r="B6713" s="951"/>
    </row>
    <row r="6714" spans="1:2">
      <c r="A6714" s="951"/>
      <c r="B6714" s="951"/>
    </row>
    <row r="6715" spans="1:2">
      <c r="A6715" s="951"/>
      <c r="B6715" s="951"/>
    </row>
    <row r="6716" spans="1:2">
      <c r="A6716" s="951"/>
      <c r="B6716" s="951"/>
    </row>
    <row r="6717" spans="1:2">
      <c r="A6717" s="951"/>
      <c r="B6717" s="951"/>
    </row>
    <row r="6718" spans="1:2">
      <c r="A6718" s="951"/>
      <c r="B6718" s="951"/>
    </row>
    <row r="6719" spans="1:2">
      <c r="A6719" s="951"/>
      <c r="B6719" s="951"/>
    </row>
    <row r="6720" spans="1:2">
      <c r="A6720" s="951"/>
      <c r="B6720" s="951"/>
    </row>
    <row r="6721" spans="1:2">
      <c r="A6721" s="951"/>
      <c r="B6721" s="951"/>
    </row>
    <row r="6722" spans="1:2">
      <c r="A6722" s="951"/>
      <c r="B6722" s="951"/>
    </row>
    <row r="6723" spans="1:2">
      <c r="A6723" s="951"/>
      <c r="B6723" s="951"/>
    </row>
    <row r="6724" spans="1:2">
      <c r="A6724" s="951"/>
      <c r="B6724" s="951"/>
    </row>
    <row r="6725" spans="1:2">
      <c r="A6725" s="951"/>
      <c r="B6725" s="951"/>
    </row>
    <row r="6726" spans="1:2">
      <c r="A6726" s="951"/>
      <c r="B6726" s="951"/>
    </row>
    <row r="6727" spans="1:2">
      <c r="A6727" s="951"/>
      <c r="B6727" s="951"/>
    </row>
    <row r="6728" spans="1:2">
      <c r="A6728" s="951"/>
      <c r="B6728" s="951"/>
    </row>
    <row r="6729" spans="1:2">
      <c r="A6729" s="951"/>
      <c r="B6729" s="951"/>
    </row>
    <row r="6730" spans="1:2">
      <c r="A6730" s="951"/>
      <c r="B6730" s="951"/>
    </row>
    <row r="6731" spans="1:2">
      <c r="A6731" s="951"/>
      <c r="B6731" s="951"/>
    </row>
    <row r="6732" spans="1:2">
      <c r="A6732" s="951"/>
      <c r="B6732" s="951"/>
    </row>
    <row r="6733" spans="1:2">
      <c r="A6733" s="951"/>
      <c r="B6733" s="951"/>
    </row>
    <row r="6734" spans="1:2">
      <c r="A6734" s="951"/>
      <c r="B6734" s="951"/>
    </row>
    <row r="6735" spans="1:2">
      <c r="A6735" s="951"/>
      <c r="B6735" s="951"/>
    </row>
    <row r="6736" spans="1:2">
      <c r="A6736" s="951"/>
      <c r="B6736" s="951"/>
    </row>
    <row r="6737" spans="1:2">
      <c r="A6737" s="951"/>
      <c r="B6737" s="951"/>
    </row>
    <row r="6738" spans="1:2">
      <c r="A6738" s="951"/>
      <c r="B6738" s="951"/>
    </row>
    <row r="6739" spans="1:2">
      <c r="A6739" s="951"/>
      <c r="B6739" s="951"/>
    </row>
    <row r="6740" spans="1:2">
      <c r="A6740" s="951"/>
      <c r="B6740" s="951"/>
    </row>
    <row r="6741" spans="1:2">
      <c r="A6741" s="951"/>
      <c r="B6741" s="951"/>
    </row>
    <row r="6742" spans="1:2">
      <c r="A6742" s="951"/>
      <c r="B6742" s="951"/>
    </row>
    <row r="6743" spans="1:2">
      <c r="A6743" s="951"/>
      <c r="B6743" s="951"/>
    </row>
    <row r="6744" spans="1:2">
      <c r="A6744" s="951"/>
      <c r="B6744" s="951"/>
    </row>
    <row r="6745" spans="1:2">
      <c r="A6745" s="951"/>
      <c r="B6745" s="951"/>
    </row>
    <row r="6746" spans="1:2">
      <c r="A6746" s="951"/>
      <c r="B6746" s="951"/>
    </row>
    <row r="6747" spans="1:2">
      <c r="A6747" s="951"/>
      <c r="B6747" s="951"/>
    </row>
    <row r="6748" spans="1:2">
      <c r="A6748" s="951"/>
      <c r="B6748" s="951"/>
    </row>
    <row r="6749" spans="1:2">
      <c r="A6749" s="951"/>
      <c r="B6749" s="951"/>
    </row>
    <row r="6750" spans="1:2">
      <c r="A6750" s="951"/>
      <c r="B6750" s="951"/>
    </row>
    <row r="6751" spans="1:2">
      <c r="A6751" s="951"/>
      <c r="B6751" s="951"/>
    </row>
    <row r="6752" spans="1:2">
      <c r="A6752" s="951"/>
      <c r="B6752" s="951"/>
    </row>
    <row r="6753" spans="1:2">
      <c r="A6753" s="951"/>
      <c r="B6753" s="951"/>
    </row>
    <row r="6754" spans="1:2">
      <c r="A6754" s="951"/>
      <c r="B6754" s="951"/>
    </row>
    <row r="6755" spans="1:2">
      <c r="A6755" s="951"/>
      <c r="B6755" s="951"/>
    </row>
    <row r="6756" spans="1:2">
      <c r="A6756" s="951"/>
      <c r="B6756" s="951"/>
    </row>
    <row r="6757" spans="1:2">
      <c r="A6757" s="951"/>
      <c r="B6757" s="951"/>
    </row>
    <row r="6758" spans="1:2">
      <c r="A6758" s="951"/>
      <c r="B6758" s="951"/>
    </row>
    <row r="6759" spans="1:2">
      <c r="A6759" s="951"/>
      <c r="B6759" s="951"/>
    </row>
    <row r="6760" spans="1:2">
      <c r="A6760" s="951"/>
      <c r="B6760" s="951"/>
    </row>
    <row r="6761" spans="1:2">
      <c r="A6761" s="951"/>
      <c r="B6761" s="951"/>
    </row>
    <row r="6762" spans="1:2">
      <c r="A6762" s="951"/>
      <c r="B6762" s="951"/>
    </row>
    <row r="6763" spans="1:2">
      <c r="A6763" s="951"/>
      <c r="B6763" s="951"/>
    </row>
    <row r="6764" spans="1:2">
      <c r="A6764" s="951"/>
      <c r="B6764" s="951"/>
    </row>
    <row r="6765" spans="1:2">
      <c r="A6765" s="951"/>
      <c r="B6765" s="951"/>
    </row>
    <row r="6766" spans="1:2">
      <c r="A6766" s="951"/>
      <c r="B6766" s="951"/>
    </row>
    <row r="6767" spans="1:2">
      <c r="A6767" s="951"/>
      <c r="B6767" s="951"/>
    </row>
    <row r="6768" spans="1:2">
      <c r="A6768" s="951"/>
      <c r="B6768" s="951"/>
    </row>
    <row r="6769" spans="1:2">
      <c r="A6769" s="951"/>
      <c r="B6769" s="951"/>
    </row>
    <row r="6770" spans="1:2">
      <c r="A6770" s="951"/>
      <c r="B6770" s="951"/>
    </row>
    <row r="6771" spans="1:2">
      <c r="A6771" s="951"/>
      <c r="B6771" s="951"/>
    </row>
    <row r="6772" spans="1:2">
      <c r="A6772" s="951"/>
      <c r="B6772" s="951"/>
    </row>
    <row r="6773" spans="1:2">
      <c r="A6773" s="951"/>
      <c r="B6773" s="951"/>
    </row>
    <row r="6774" spans="1:2">
      <c r="A6774" s="951"/>
      <c r="B6774" s="951"/>
    </row>
    <row r="6775" spans="1:2">
      <c r="A6775" s="951"/>
      <c r="B6775" s="951"/>
    </row>
    <row r="6776" spans="1:2">
      <c r="A6776" s="951"/>
      <c r="B6776" s="951"/>
    </row>
    <row r="6777" spans="1:2">
      <c r="A6777" s="951"/>
      <c r="B6777" s="951"/>
    </row>
    <row r="6778" spans="1:2">
      <c r="A6778" s="951"/>
      <c r="B6778" s="951"/>
    </row>
    <row r="6779" spans="1:2">
      <c r="A6779" s="951"/>
      <c r="B6779" s="951"/>
    </row>
    <row r="6780" spans="1:2">
      <c r="A6780" s="951"/>
      <c r="B6780" s="951"/>
    </row>
    <row r="6781" spans="1:2">
      <c r="A6781" s="951"/>
      <c r="B6781" s="951"/>
    </row>
    <row r="6782" spans="1:2">
      <c r="A6782" s="951"/>
      <c r="B6782" s="951"/>
    </row>
    <row r="6783" spans="1:2">
      <c r="A6783" s="951"/>
      <c r="B6783" s="951"/>
    </row>
    <row r="6784" spans="1:2">
      <c r="A6784" s="951"/>
      <c r="B6784" s="951"/>
    </row>
    <row r="6785" spans="1:2">
      <c r="A6785" s="951"/>
      <c r="B6785" s="951"/>
    </row>
    <row r="6786" spans="1:2">
      <c r="A6786" s="951"/>
      <c r="B6786" s="951"/>
    </row>
    <row r="6787" spans="1:2">
      <c r="A6787" s="951"/>
      <c r="B6787" s="951"/>
    </row>
    <row r="6788" spans="1:2">
      <c r="A6788" s="951"/>
      <c r="B6788" s="951"/>
    </row>
    <row r="6789" spans="1:2">
      <c r="A6789" s="951"/>
      <c r="B6789" s="951"/>
    </row>
    <row r="6790" spans="1:2">
      <c r="A6790" s="951"/>
      <c r="B6790" s="951"/>
    </row>
    <row r="6791" spans="1:2">
      <c r="A6791" s="951"/>
      <c r="B6791" s="951"/>
    </row>
    <row r="6792" spans="1:2">
      <c r="A6792" s="951"/>
      <c r="B6792" s="951"/>
    </row>
    <row r="6793" spans="1:2">
      <c r="A6793" s="951"/>
      <c r="B6793" s="951"/>
    </row>
    <row r="6794" spans="1:2">
      <c r="A6794" s="951"/>
      <c r="B6794" s="951"/>
    </row>
    <row r="6795" spans="1:2">
      <c r="A6795" s="951"/>
      <c r="B6795" s="951"/>
    </row>
    <row r="6796" spans="1:2">
      <c r="A6796" s="951"/>
      <c r="B6796" s="951"/>
    </row>
    <row r="6797" spans="1:2">
      <c r="A6797" s="951"/>
      <c r="B6797" s="951"/>
    </row>
    <row r="6798" spans="1:2">
      <c r="A6798" s="951"/>
      <c r="B6798" s="951"/>
    </row>
    <row r="6799" spans="1:2">
      <c r="A6799" s="951"/>
      <c r="B6799" s="951"/>
    </row>
    <row r="6800" spans="1:2">
      <c r="A6800" s="951"/>
      <c r="B6800" s="951"/>
    </row>
    <row r="6801" spans="1:2">
      <c r="A6801" s="951"/>
      <c r="B6801" s="951"/>
    </row>
    <row r="6802" spans="1:2">
      <c r="A6802" s="951"/>
      <c r="B6802" s="951"/>
    </row>
    <row r="6803" spans="1:2">
      <c r="A6803" s="951"/>
      <c r="B6803" s="951"/>
    </row>
    <row r="6804" spans="1:2">
      <c r="A6804" s="951"/>
      <c r="B6804" s="951"/>
    </row>
    <row r="6805" spans="1:2">
      <c r="A6805" s="951"/>
      <c r="B6805" s="951"/>
    </row>
    <row r="6806" spans="1:2">
      <c r="A6806" s="951"/>
      <c r="B6806" s="951"/>
    </row>
    <row r="6807" spans="1:2">
      <c r="A6807" s="951"/>
      <c r="B6807" s="951"/>
    </row>
    <row r="6808" spans="1:2">
      <c r="A6808" s="951"/>
      <c r="B6808" s="951"/>
    </row>
    <row r="6809" spans="1:2">
      <c r="A6809" s="951"/>
      <c r="B6809" s="951"/>
    </row>
    <row r="6810" spans="1:2">
      <c r="A6810" s="951"/>
      <c r="B6810" s="951"/>
    </row>
    <row r="6811" spans="1:2">
      <c r="A6811" s="951"/>
      <c r="B6811" s="951"/>
    </row>
    <row r="6812" spans="1:2">
      <c r="A6812" s="951"/>
      <c r="B6812" s="951"/>
    </row>
    <row r="6813" spans="1:2">
      <c r="A6813" s="951"/>
      <c r="B6813" s="951"/>
    </row>
    <row r="6814" spans="1:2">
      <c r="A6814" s="951"/>
      <c r="B6814" s="951"/>
    </row>
    <row r="6815" spans="1:2">
      <c r="A6815" s="951"/>
      <c r="B6815" s="951"/>
    </row>
    <row r="6816" spans="1:2">
      <c r="A6816" s="951"/>
      <c r="B6816" s="951"/>
    </row>
    <row r="6817" spans="1:2">
      <c r="A6817" s="951"/>
      <c r="B6817" s="951"/>
    </row>
    <row r="6818" spans="1:2">
      <c r="A6818" s="951"/>
      <c r="B6818" s="951"/>
    </row>
    <row r="6819" spans="1:2">
      <c r="A6819" s="951"/>
      <c r="B6819" s="951"/>
    </row>
    <row r="6820" spans="1:2">
      <c r="A6820" s="951"/>
      <c r="B6820" s="951"/>
    </row>
    <row r="6821" spans="1:2">
      <c r="A6821" s="951"/>
      <c r="B6821" s="951"/>
    </row>
    <row r="6822" spans="1:2">
      <c r="A6822" s="951"/>
      <c r="B6822" s="951"/>
    </row>
    <row r="6823" spans="1:2">
      <c r="A6823" s="951"/>
      <c r="B6823" s="951"/>
    </row>
    <row r="6824" spans="1:2">
      <c r="A6824" s="951"/>
      <c r="B6824" s="951"/>
    </row>
    <row r="6825" spans="1:2">
      <c r="A6825" s="951"/>
      <c r="B6825" s="951"/>
    </row>
    <row r="6826" spans="1:2">
      <c r="A6826" s="951"/>
      <c r="B6826" s="951"/>
    </row>
    <row r="6827" spans="1:2">
      <c r="A6827" s="951"/>
      <c r="B6827" s="951"/>
    </row>
    <row r="6828" spans="1:2">
      <c r="A6828" s="951"/>
      <c r="B6828" s="951"/>
    </row>
    <row r="6829" spans="1:2">
      <c r="A6829" s="951"/>
      <c r="B6829" s="951"/>
    </row>
    <row r="6830" spans="1:2">
      <c r="A6830" s="951"/>
      <c r="B6830" s="951"/>
    </row>
    <row r="6831" spans="1:2">
      <c r="A6831" s="951"/>
      <c r="B6831" s="951"/>
    </row>
    <row r="6832" spans="1:2">
      <c r="A6832" s="951"/>
      <c r="B6832" s="951"/>
    </row>
    <row r="6833" spans="1:2">
      <c r="A6833" s="951"/>
      <c r="B6833" s="951"/>
    </row>
    <row r="6834" spans="1:2">
      <c r="A6834" s="951"/>
      <c r="B6834" s="951"/>
    </row>
    <row r="6835" spans="1:2">
      <c r="A6835" s="951"/>
      <c r="B6835" s="951"/>
    </row>
    <row r="6836" spans="1:2">
      <c r="A6836" s="951"/>
      <c r="B6836" s="951"/>
    </row>
    <row r="6837" spans="1:2">
      <c r="A6837" s="951"/>
      <c r="B6837" s="951"/>
    </row>
    <row r="6838" spans="1:2">
      <c r="A6838" s="951"/>
      <c r="B6838" s="951"/>
    </row>
    <row r="6839" spans="1:2">
      <c r="A6839" s="951"/>
      <c r="B6839" s="951"/>
    </row>
    <row r="6840" spans="1:2">
      <c r="A6840" s="951"/>
      <c r="B6840" s="951"/>
    </row>
    <row r="6841" spans="1:2">
      <c r="A6841" s="951"/>
      <c r="B6841" s="951"/>
    </row>
    <row r="6842" spans="1:2">
      <c r="A6842" s="951"/>
      <c r="B6842" s="951"/>
    </row>
    <row r="6843" spans="1:2">
      <c r="A6843" s="951"/>
      <c r="B6843" s="951"/>
    </row>
    <row r="6844" spans="1:2">
      <c r="A6844" s="951"/>
      <c r="B6844" s="951"/>
    </row>
    <row r="6845" spans="1:2">
      <c r="A6845" s="951"/>
      <c r="B6845" s="951"/>
    </row>
    <row r="6846" spans="1:2">
      <c r="A6846" s="951"/>
      <c r="B6846" s="951"/>
    </row>
    <row r="6847" spans="1:2">
      <c r="A6847" s="951"/>
      <c r="B6847" s="951"/>
    </row>
    <row r="6848" spans="1:2">
      <c r="A6848" s="951"/>
      <c r="B6848" s="951"/>
    </row>
    <row r="6849" spans="1:2">
      <c r="A6849" s="951"/>
      <c r="B6849" s="951"/>
    </row>
    <row r="6850" spans="1:2">
      <c r="A6850" s="951"/>
      <c r="B6850" s="951"/>
    </row>
    <row r="6851" spans="1:2">
      <c r="A6851" s="951"/>
      <c r="B6851" s="951"/>
    </row>
    <row r="6852" spans="1:2">
      <c r="A6852" s="951"/>
      <c r="B6852" s="951"/>
    </row>
    <row r="6853" spans="1:2">
      <c r="A6853" s="951"/>
      <c r="B6853" s="951"/>
    </row>
    <row r="6854" spans="1:2">
      <c r="A6854" s="951"/>
      <c r="B6854" s="951"/>
    </row>
    <row r="6855" spans="1:2">
      <c r="A6855" s="951"/>
      <c r="B6855" s="951"/>
    </row>
    <row r="6856" spans="1:2">
      <c r="A6856" s="951"/>
      <c r="B6856" s="951"/>
    </row>
    <row r="6857" spans="1:2">
      <c r="A6857" s="951"/>
      <c r="B6857" s="951"/>
    </row>
    <row r="6858" spans="1:2">
      <c r="A6858" s="951"/>
      <c r="B6858" s="951"/>
    </row>
    <row r="6859" spans="1:2">
      <c r="A6859" s="951"/>
      <c r="B6859" s="951"/>
    </row>
    <row r="6860" spans="1:2">
      <c r="A6860" s="951"/>
      <c r="B6860" s="951"/>
    </row>
    <row r="6861" spans="1:2">
      <c r="A6861" s="951"/>
      <c r="B6861" s="951"/>
    </row>
    <row r="6862" spans="1:2">
      <c r="A6862" s="951"/>
      <c r="B6862" s="951"/>
    </row>
    <row r="6863" spans="1:2">
      <c r="A6863" s="951"/>
      <c r="B6863" s="951"/>
    </row>
    <row r="6864" spans="1:2">
      <c r="A6864" s="951"/>
      <c r="B6864" s="951"/>
    </row>
    <row r="6865" spans="1:2">
      <c r="A6865" s="951"/>
      <c r="B6865" s="951"/>
    </row>
    <row r="6866" spans="1:2">
      <c r="A6866" s="951"/>
      <c r="B6866" s="951"/>
    </row>
    <row r="6867" spans="1:2">
      <c r="A6867" s="951"/>
      <c r="B6867" s="951"/>
    </row>
    <row r="6868" spans="1:2">
      <c r="A6868" s="951"/>
      <c r="B6868" s="951"/>
    </row>
    <row r="6869" spans="1:2">
      <c r="A6869" s="951"/>
      <c r="B6869" s="951"/>
    </row>
    <row r="6870" spans="1:2">
      <c r="A6870" s="951"/>
      <c r="B6870" s="951"/>
    </row>
    <row r="6871" spans="1:2">
      <c r="A6871" s="951"/>
      <c r="B6871" s="951"/>
    </row>
    <row r="6872" spans="1:2">
      <c r="A6872" s="951"/>
      <c r="B6872" s="951"/>
    </row>
    <row r="6873" spans="1:2">
      <c r="A6873" s="951"/>
      <c r="B6873" s="951"/>
    </row>
    <row r="6874" spans="1:2">
      <c r="A6874" s="951"/>
      <c r="B6874" s="951"/>
    </row>
    <row r="6875" spans="1:2">
      <c r="A6875" s="951"/>
      <c r="B6875" s="951"/>
    </row>
    <row r="6876" spans="1:2">
      <c r="A6876" s="951"/>
      <c r="B6876" s="951"/>
    </row>
    <row r="6877" spans="1:2">
      <c r="A6877" s="951"/>
      <c r="B6877" s="951"/>
    </row>
    <row r="6878" spans="1:2">
      <c r="A6878" s="951"/>
      <c r="B6878" s="951"/>
    </row>
    <row r="6879" spans="1:2">
      <c r="A6879" s="951"/>
      <c r="B6879" s="951"/>
    </row>
    <row r="6880" spans="1:2">
      <c r="A6880" s="951"/>
      <c r="B6880" s="951"/>
    </row>
    <row r="6881" spans="1:2">
      <c r="A6881" s="951"/>
      <c r="B6881" s="951"/>
    </row>
    <row r="6882" spans="1:2">
      <c r="A6882" s="951"/>
      <c r="B6882" s="951"/>
    </row>
    <row r="6883" spans="1:2">
      <c r="A6883" s="951"/>
      <c r="B6883" s="951"/>
    </row>
    <row r="6884" spans="1:2">
      <c r="A6884" s="951"/>
      <c r="B6884" s="951"/>
    </row>
    <row r="6885" spans="1:2">
      <c r="A6885" s="951"/>
      <c r="B6885" s="951"/>
    </row>
    <row r="6886" spans="1:2">
      <c r="A6886" s="951"/>
      <c r="B6886" s="951"/>
    </row>
    <row r="6887" spans="1:2">
      <c r="A6887" s="951"/>
      <c r="B6887" s="951"/>
    </row>
    <row r="6888" spans="1:2">
      <c r="A6888" s="951"/>
      <c r="B6888" s="951"/>
    </row>
    <row r="6889" spans="1:2">
      <c r="A6889" s="951"/>
      <c r="B6889" s="951"/>
    </row>
    <row r="6890" spans="1:2">
      <c r="A6890" s="951"/>
      <c r="B6890" s="951"/>
    </row>
    <row r="6891" spans="1:2">
      <c r="A6891" s="951"/>
      <c r="B6891" s="951"/>
    </row>
    <row r="6892" spans="1:2">
      <c r="A6892" s="951"/>
      <c r="B6892" s="951"/>
    </row>
    <row r="6893" spans="1:2">
      <c r="A6893" s="951"/>
      <c r="B6893" s="951"/>
    </row>
    <row r="6894" spans="1:2">
      <c r="A6894" s="951"/>
      <c r="B6894" s="951"/>
    </row>
    <row r="6895" spans="1:2">
      <c r="A6895" s="951"/>
      <c r="B6895" s="951"/>
    </row>
    <row r="6896" spans="1:2">
      <c r="A6896" s="951"/>
      <c r="B6896" s="951"/>
    </row>
    <row r="6897" spans="1:2">
      <c r="A6897" s="951"/>
      <c r="B6897" s="951"/>
    </row>
    <row r="6898" spans="1:2">
      <c r="A6898" s="951"/>
      <c r="B6898" s="951"/>
    </row>
    <row r="6899" spans="1:2">
      <c r="A6899" s="951"/>
      <c r="B6899" s="951"/>
    </row>
    <row r="6900" spans="1:2">
      <c r="A6900" s="951"/>
      <c r="B6900" s="951"/>
    </row>
    <row r="6901" spans="1:2">
      <c r="A6901" s="951"/>
      <c r="B6901" s="951"/>
    </row>
    <row r="6902" spans="1:2">
      <c r="A6902" s="951"/>
      <c r="B6902" s="951"/>
    </row>
    <row r="6903" spans="1:2">
      <c r="A6903" s="951"/>
      <c r="B6903" s="951"/>
    </row>
    <row r="6904" spans="1:2">
      <c r="A6904" s="951"/>
      <c r="B6904" s="951"/>
    </row>
    <row r="6905" spans="1:2">
      <c r="A6905" s="951"/>
      <c r="B6905" s="951"/>
    </row>
    <row r="6906" spans="1:2">
      <c r="A6906" s="951"/>
      <c r="B6906" s="951"/>
    </row>
    <row r="6907" spans="1:2">
      <c r="A6907" s="951"/>
      <c r="B6907" s="951"/>
    </row>
    <row r="6908" spans="1:2">
      <c r="A6908" s="951"/>
      <c r="B6908" s="951"/>
    </row>
    <row r="6909" spans="1:2">
      <c r="A6909" s="951"/>
      <c r="B6909" s="951"/>
    </row>
    <row r="6910" spans="1:2">
      <c r="A6910" s="951"/>
      <c r="B6910" s="951"/>
    </row>
    <row r="6911" spans="1:2">
      <c r="A6911" s="951"/>
      <c r="B6911" s="951"/>
    </row>
    <row r="6912" spans="1:2">
      <c r="A6912" s="951"/>
      <c r="B6912" s="951"/>
    </row>
    <row r="6913" spans="1:2">
      <c r="A6913" s="951"/>
      <c r="B6913" s="951"/>
    </row>
    <row r="6914" spans="1:2">
      <c r="A6914" s="951"/>
      <c r="B6914" s="951"/>
    </row>
    <row r="6915" spans="1:2">
      <c r="A6915" s="951"/>
      <c r="B6915" s="951"/>
    </row>
    <row r="6916" spans="1:2">
      <c r="A6916" s="951"/>
      <c r="B6916" s="951"/>
    </row>
    <row r="6917" spans="1:2">
      <c r="A6917" s="951"/>
      <c r="B6917" s="951"/>
    </row>
    <row r="6918" spans="1:2">
      <c r="A6918" s="951"/>
      <c r="B6918" s="951"/>
    </row>
    <row r="6919" spans="1:2">
      <c r="A6919" s="951"/>
      <c r="B6919" s="951"/>
    </row>
    <row r="6920" spans="1:2">
      <c r="A6920" s="951"/>
      <c r="B6920" s="951"/>
    </row>
    <row r="6921" spans="1:2">
      <c r="A6921" s="951"/>
      <c r="B6921" s="951"/>
    </row>
    <row r="6922" spans="1:2">
      <c r="A6922" s="951"/>
      <c r="B6922" s="951"/>
    </row>
    <row r="6923" spans="1:2">
      <c r="A6923" s="951"/>
      <c r="B6923" s="951"/>
    </row>
    <row r="6924" spans="1:2">
      <c r="A6924" s="951"/>
      <c r="B6924" s="951"/>
    </row>
    <row r="6925" spans="1:2">
      <c r="A6925" s="951"/>
      <c r="B6925" s="951"/>
    </row>
    <row r="6926" spans="1:2">
      <c r="A6926" s="951"/>
      <c r="B6926" s="951"/>
    </row>
    <row r="6927" spans="1:2">
      <c r="A6927" s="951"/>
      <c r="B6927" s="951"/>
    </row>
    <row r="6928" spans="1:2">
      <c r="A6928" s="951"/>
      <c r="B6928" s="951"/>
    </row>
    <row r="6929" spans="1:2">
      <c r="A6929" s="951"/>
      <c r="B6929" s="951"/>
    </row>
    <row r="6930" spans="1:2">
      <c r="A6930" s="951"/>
      <c r="B6930" s="951"/>
    </row>
    <row r="6931" spans="1:2">
      <c r="A6931" s="951"/>
      <c r="B6931" s="951"/>
    </row>
    <row r="6932" spans="1:2">
      <c r="A6932" s="951"/>
      <c r="B6932" s="951"/>
    </row>
    <row r="6933" spans="1:2">
      <c r="A6933" s="951"/>
      <c r="B6933" s="951"/>
    </row>
    <row r="6934" spans="1:2">
      <c r="A6934" s="951"/>
      <c r="B6934" s="951"/>
    </row>
    <row r="6935" spans="1:2">
      <c r="A6935" s="951"/>
      <c r="B6935" s="951"/>
    </row>
    <row r="6936" spans="1:2">
      <c r="A6936" s="951"/>
      <c r="B6936" s="951"/>
    </row>
    <row r="6937" spans="1:2">
      <c r="A6937" s="951"/>
      <c r="B6937" s="951"/>
    </row>
    <row r="6938" spans="1:2">
      <c r="A6938" s="951"/>
      <c r="B6938" s="951"/>
    </row>
    <row r="6939" spans="1:2">
      <c r="A6939" s="951"/>
      <c r="B6939" s="951"/>
    </row>
    <row r="6940" spans="1:2">
      <c r="A6940" s="951"/>
      <c r="B6940" s="951"/>
    </row>
    <row r="6941" spans="1:2">
      <c r="A6941" s="951"/>
      <c r="B6941" s="951"/>
    </row>
    <row r="6942" spans="1:2">
      <c r="A6942" s="951"/>
      <c r="B6942" s="951"/>
    </row>
    <row r="6943" spans="1:2">
      <c r="A6943" s="951"/>
      <c r="B6943" s="951"/>
    </row>
    <row r="6944" spans="1:2">
      <c r="A6944" s="951"/>
      <c r="B6944" s="951"/>
    </row>
    <row r="6945" spans="1:2">
      <c r="A6945" s="951"/>
      <c r="B6945" s="951"/>
    </row>
    <row r="6946" spans="1:2">
      <c r="A6946" s="951"/>
      <c r="B6946" s="951"/>
    </row>
    <row r="6947" spans="1:2">
      <c r="A6947" s="951"/>
      <c r="B6947" s="951"/>
    </row>
    <row r="6948" spans="1:2">
      <c r="A6948" s="951"/>
      <c r="B6948" s="951"/>
    </row>
    <row r="6949" spans="1:2">
      <c r="A6949" s="951"/>
      <c r="B6949" s="951"/>
    </row>
    <row r="6950" spans="1:2">
      <c r="A6950" s="951"/>
      <c r="B6950" s="951"/>
    </row>
    <row r="6951" spans="1:2">
      <c r="A6951" s="951"/>
      <c r="B6951" s="951"/>
    </row>
    <row r="6952" spans="1:2">
      <c r="A6952" s="951"/>
      <c r="B6952" s="951"/>
    </row>
    <row r="6953" spans="1:2">
      <c r="A6953" s="951"/>
      <c r="B6953" s="951"/>
    </row>
    <row r="6954" spans="1:2">
      <c r="A6954" s="951"/>
      <c r="B6954" s="951"/>
    </row>
    <row r="6955" spans="1:2">
      <c r="A6955" s="951"/>
      <c r="B6955" s="951"/>
    </row>
    <row r="6956" spans="1:2">
      <c r="A6956" s="951"/>
      <c r="B6956" s="951"/>
    </row>
    <row r="6957" spans="1:2">
      <c r="A6957" s="951"/>
      <c r="B6957" s="951"/>
    </row>
    <row r="6958" spans="1:2">
      <c r="A6958" s="951"/>
      <c r="B6958" s="951"/>
    </row>
    <row r="6959" spans="1:2">
      <c r="A6959" s="951"/>
      <c r="B6959" s="951"/>
    </row>
    <row r="6960" spans="1:2">
      <c r="A6960" s="951"/>
      <c r="B6960" s="951"/>
    </row>
    <row r="6961" spans="1:2">
      <c r="A6961" s="951"/>
      <c r="B6961" s="951"/>
    </row>
    <row r="6962" spans="1:2">
      <c r="A6962" s="951"/>
      <c r="B6962" s="951"/>
    </row>
    <row r="6963" spans="1:2">
      <c r="A6963" s="951"/>
      <c r="B6963" s="951"/>
    </row>
    <row r="6964" spans="1:2">
      <c r="A6964" s="951"/>
      <c r="B6964" s="951"/>
    </row>
    <row r="6965" spans="1:2">
      <c r="A6965" s="951"/>
      <c r="B6965" s="951"/>
    </row>
    <row r="6966" spans="1:2">
      <c r="A6966" s="951"/>
      <c r="B6966" s="951"/>
    </row>
    <row r="6967" spans="1:2">
      <c r="A6967" s="951"/>
      <c r="B6967" s="951"/>
    </row>
    <row r="6968" spans="1:2">
      <c r="A6968" s="951"/>
      <c r="B6968" s="951"/>
    </row>
    <row r="6969" spans="1:2">
      <c r="A6969" s="951"/>
      <c r="B6969" s="951"/>
    </row>
    <row r="6970" spans="1:2">
      <c r="A6970" s="951"/>
      <c r="B6970" s="951"/>
    </row>
    <row r="6971" spans="1:2">
      <c r="A6971" s="951"/>
      <c r="B6971" s="951"/>
    </row>
    <row r="6972" spans="1:2">
      <c r="A6972" s="951"/>
      <c r="B6972" s="951"/>
    </row>
    <row r="6973" spans="1:2">
      <c r="A6973" s="951"/>
      <c r="B6973" s="951"/>
    </row>
    <row r="6974" spans="1:2">
      <c r="A6974" s="951"/>
      <c r="B6974" s="951"/>
    </row>
    <row r="6975" spans="1:2">
      <c r="A6975" s="951"/>
      <c r="B6975" s="951"/>
    </row>
    <row r="6976" spans="1:2">
      <c r="A6976" s="951"/>
      <c r="B6976" s="951"/>
    </row>
    <row r="6977" spans="1:2">
      <c r="A6977" s="951"/>
      <c r="B6977" s="951"/>
    </row>
    <row r="6978" spans="1:2">
      <c r="A6978" s="951"/>
      <c r="B6978" s="951"/>
    </row>
    <row r="6979" spans="1:2">
      <c r="A6979" s="951"/>
      <c r="B6979" s="951"/>
    </row>
    <row r="6980" spans="1:2">
      <c r="A6980" s="951"/>
      <c r="B6980" s="951"/>
    </row>
    <row r="6981" spans="1:2">
      <c r="A6981" s="951"/>
      <c r="B6981" s="951"/>
    </row>
    <row r="6982" spans="1:2">
      <c r="A6982" s="951"/>
      <c r="B6982" s="951"/>
    </row>
    <row r="6983" spans="1:2">
      <c r="A6983" s="951"/>
      <c r="B6983" s="951"/>
    </row>
    <row r="6984" spans="1:2">
      <c r="A6984" s="951"/>
      <c r="B6984" s="951"/>
    </row>
    <row r="6985" spans="1:2">
      <c r="A6985" s="951"/>
      <c r="B6985" s="951"/>
    </row>
    <row r="6986" spans="1:2">
      <c r="A6986" s="951"/>
      <c r="B6986" s="951"/>
    </row>
    <row r="6987" spans="1:2">
      <c r="A6987" s="951"/>
      <c r="B6987" s="951"/>
    </row>
    <row r="6988" spans="1:2">
      <c r="A6988" s="951"/>
      <c r="B6988" s="951"/>
    </row>
    <row r="6989" spans="1:2">
      <c r="A6989" s="951"/>
      <c r="B6989" s="951"/>
    </row>
    <row r="6990" spans="1:2">
      <c r="A6990" s="951"/>
      <c r="B6990" s="951"/>
    </row>
    <row r="6991" spans="1:2">
      <c r="A6991" s="951"/>
      <c r="B6991" s="951"/>
    </row>
    <row r="6992" spans="1:2">
      <c r="A6992" s="951"/>
      <c r="B6992" s="951"/>
    </row>
    <row r="6993" spans="1:2">
      <c r="A6993" s="951"/>
      <c r="B6993" s="951"/>
    </row>
    <row r="6994" spans="1:2">
      <c r="A6994" s="951"/>
      <c r="B6994" s="951"/>
    </row>
    <row r="6995" spans="1:2">
      <c r="A6995" s="951"/>
      <c r="B6995" s="951"/>
    </row>
    <row r="6996" spans="1:2">
      <c r="A6996" s="951"/>
      <c r="B6996" s="951"/>
    </row>
    <row r="6997" spans="1:2">
      <c r="A6997" s="951"/>
      <c r="B6997" s="951"/>
    </row>
    <row r="6998" spans="1:2">
      <c r="A6998" s="951"/>
      <c r="B6998" s="951"/>
    </row>
    <row r="6999" spans="1:2">
      <c r="A6999" s="951"/>
      <c r="B6999" s="951"/>
    </row>
    <row r="7000" spans="1:2">
      <c r="A7000" s="951"/>
      <c r="B7000" s="951"/>
    </row>
    <row r="7001" spans="1:2">
      <c r="A7001" s="951"/>
      <c r="B7001" s="951"/>
    </row>
    <row r="7002" spans="1:2">
      <c r="A7002" s="951"/>
      <c r="B7002" s="951"/>
    </row>
    <row r="7003" spans="1:2">
      <c r="A7003" s="951"/>
      <c r="B7003" s="951"/>
    </row>
    <row r="7004" spans="1:2">
      <c r="A7004" s="951"/>
      <c r="B7004" s="951"/>
    </row>
    <row r="7005" spans="1:2">
      <c r="A7005" s="951"/>
      <c r="B7005" s="951"/>
    </row>
    <row r="7006" spans="1:2">
      <c r="A7006" s="951"/>
      <c r="B7006" s="951"/>
    </row>
    <row r="7007" spans="1:2">
      <c r="A7007" s="951"/>
      <c r="B7007" s="951"/>
    </row>
    <row r="7008" spans="1:2">
      <c r="A7008" s="951"/>
      <c r="B7008" s="951"/>
    </row>
    <row r="7009" spans="1:2">
      <c r="A7009" s="951"/>
      <c r="B7009" s="951"/>
    </row>
    <row r="7010" spans="1:2">
      <c r="A7010" s="951"/>
      <c r="B7010" s="951"/>
    </row>
    <row r="7011" spans="1:2">
      <c r="A7011" s="951"/>
      <c r="B7011" s="951"/>
    </row>
    <row r="7012" spans="1:2">
      <c r="A7012" s="951"/>
      <c r="B7012" s="951"/>
    </row>
    <row r="7013" spans="1:2">
      <c r="A7013" s="951"/>
      <c r="B7013" s="951"/>
    </row>
    <row r="7014" spans="1:2">
      <c r="A7014" s="951"/>
      <c r="B7014" s="951"/>
    </row>
    <row r="7015" spans="1:2">
      <c r="A7015" s="951"/>
      <c r="B7015" s="951"/>
    </row>
    <row r="7016" spans="1:2">
      <c r="A7016" s="951"/>
      <c r="B7016" s="951"/>
    </row>
    <row r="7017" spans="1:2">
      <c r="A7017" s="951"/>
      <c r="B7017" s="951"/>
    </row>
    <row r="7018" spans="1:2">
      <c r="A7018" s="951"/>
      <c r="B7018" s="951"/>
    </row>
    <row r="7019" spans="1:2">
      <c r="A7019" s="951"/>
      <c r="B7019" s="951"/>
    </row>
    <row r="7020" spans="1:2">
      <c r="A7020" s="951"/>
      <c r="B7020" s="951"/>
    </row>
    <row r="7021" spans="1:2">
      <c r="A7021" s="951"/>
      <c r="B7021" s="951"/>
    </row>
    <row r="7022" spans="1:2">
      <c r="A7022" s="951"/>
      <c r="B7022" s="951"/>
    </row>
    <row r="7023" spans="1:2">
      <c r="A7023" s="951"/>
      <c r="B7023" s="951"/>
    </row>
    <row r="7024" spans="1:2">
      <c r="A7024" s="951"/>
      <c r="B7024" s="951"/>
    </row>
    <row r="7025" spans="1:2">
      <c r="A7025" s="951"/>
      <c r="B7025" s="951"/>
    </row>
    <row r="7026" spans="1:2">
      <c r="A7026" s="951"/>
      <c r="B7026" s="951"/>
    </row>
    <row r="7027" spans="1:2">
      <c r="A7027" s="951"/>
      <c r="B7027" s="951"/>
    </row>
    <row r="7028" spans="1:2">
      <c r="A7028" s="951"/>
      <c r="B7028" s="951"/>
    </row>
    <row r="7029" spans="1:2">
      <c r="A7029" s="951"/>
      <c r="B7029" s="951"/>
    </row>
    <row r="7030" spans="1:2">
      <c r="A7030" s="951"/>
      <c r="B7030" s="951"/>
    </row>
    <row r="7031" spans="1:2">
      <c r="A7031" s="951"/>
      <c r="B7031" s="951"/>
    </row>
    <row r="7032" spans="1:2">
      <c r="A7032" s="951"/>
      <c r="B7032" s="951"/>
    </row>
    <row r="7033" spans="1:2">
      <c r="A7033" s="951"/>
      <c r="B7033" s="951"/>
    </row>
    <row r="7034" spans="1:2">
      <c r="A7034" s="951"/>
      <c r="B7034" s="951"/>
    </row>
    <row r="7035" spans="1:2">
      <c r="A7035" s="951"/>
      <c r="B7035" s="951"/>
    </row>
    <row r="7036" spans="1:2">
      <c r="A7036" s="951"/>
      <c r="B7036" s="951"/>
    </row>
    <row r="7037" spans="1:2">
      <c r="A7037" s="951"/>
      <c r="B7037" s="951"/>
    </row>
    <row r="7038" spans="1:2">
      <c r="A7038" s="951"/>
      <c r="B7038" s="951"/>
    </row>
    <row r="7039" spans="1:2">
      <c r="A7039" s="951"/>
      <c r="B7039" s="951"/>
    </row>
    <row r="7040" spans="1:2">
      <c r="A7040" s="951"/>
      <c r="B7040" s="951"/>
    </row>
    <row r="7041" spans="1:2">
      <c r="A7041" s="951"/>
      <c r="B7041" s="951"/>
    </row>
    <row r="7042" spans="1:2">
      <c r="A7042" s="951"/>
      <c r="B7042" s="951"/>
    </row>
    <row r="7043" spans="1:2">
      <c r="A7043" s="951"/>
      <c r="B7043" s="951"/>
    </row>
    <row r="7044" spans="1:2">
      <c r="A7044" s="951"/>
      <c r="B7044" s="951"/>
    </row>
    <row r="7045" spans="1:2">
      <c r="A7045" s="951"/>
      <c r="B7045" s="951"/>
    </row>
    <row r="7046" spans="1:2">
      <c r="A7046" s="951"/>
      <c r="B7046" s="951"/>
    </row>
    <row r="7047" spans="1:2">
      <c r="A7047" s="951"/>
      <c r="B7047" s="951"/>
    </row>
    <row r="7048" spans="1:2">
      <c r="A7048" s="951"/>
      <c r="B7048" s="951"/>
    </row>
    <row r="7049" spans="1:2">
      <c r="A7049" s="951"/>
      <c r="B7049" s="951"/>
    </row>
    <row r="7050" spans="1:2">
      <c r="A7050" s="951"/>
      <c r="B7050" s="951"/>
    </row>
    <row r="7051" spans="1:2">
      <c r="A7051" s="951"/>
      <c r="B7051" s="951"/>
    </row>
    <row r="7052" spans="1:2">
      <c r="A7052" s="951"/>
      <c r="B7052" s="951"/>
    </row>
    <row r="7053" spans="1:2">
      <c r="A7053" s="951"/>
      <c r="B7053" s="951"/>
    </row>
    <row r="7054" spans="1:2">
      <c r="A7054" s="951"/>
      <c r="B7054" s="951"/>
    </row>
    <row r="7055" spans="1:2">
      <c r="A7055" s="951"/>
      <c r="B7055" s="951"/>
    </row>
    <row r="7056" spans="1:2">
      <c r="A7056" s="951"/>
      <c r="B7056" s="951"/>
    </row>
    <row r="7057" spans="1:2">
      <c r="A7057" s="951"/>
      <c r="B7057" s="951"/>
    </row>
    <row r="7058" spans="1:2">
      <c r="A7058" s="951"/>
      <c r="B7058" s="951"/>
    </row>
    <row r="7059" spans="1:2">
      <c r="A7059" s="951"/>
      <c r="B7059" s="951"/>
    </row>
    <row r="7060" spans="1:2">
      <c r="A7060" s="951"/>
      <c r="B7060" s="951"/>
    </row>
    <row r="7061" spans="1:2">
      <c r="A7061" s="951"/>
      <c r="B7061" s="951"/>
    </row>
    <row r="7062" spans="1:2">
      <c r="A7062" s="951"/>
      <c r="B7062" s="951"/>
    </row>
    <row r="7063" spans="1:2">
      <c r="A7063" s="951"/>
      <c r="B7063" s="951"/>
    </row>
    <row r="7064" spans="1:2">
      <c r="A7064" s="951"/>
      <c r="B7064" s="951"/>
    </row>
    <row r="7065" spans="1:2">
      <c r="A7065" s="951"/>
      <c r="B7065" s="951"/>
    </row>
    <row r="7066" spans="1:2">
      <c r="A7066" s="951"/>
      <c r="B7066" s="951"/>
    </row>
    <row r="7067" spans="1:2">
      <c r="A7067" s="951"/>
      <c r="B7067" s="951"/>
    </row>
    <row r="7068" spans="1:2">
      <c r="A7068" s="951"/>
      <c r="B7068" s="951"/>
    </row>
    <row r="7069" spans="1:2">
      <c r="A7069" s="951"/>
      <c r="B7069" s="951"/>
    </row>
    <row r="7070" spans="1:2">
      <c r="A7070" s="951"/>
      <c r="B7070" s="951"/>
    </row>
    <row r="7071" spans="1:2">
      <c r="A7071" s="951"/>
      <c r="B7071" s="951"/>
    </row>
    <row r="7072" spans="1:2">
      <c r="A7072" s="951"/>
      <c r="B7072" s="951"/>
    </row>
    <row r="7073" spans="1:2">
      <c r="A7073" s="951"/>
      <c r="B7073" s="951"/>
    </row>
    <row r="7074" spans="1:2">
      <c r="A7074" s="951"/>
      <c r="B7074" s="951"/>
    </row>
    <row r="7075" spans="1:2">
      <c r="A7075" s="951"/>
      <c r="B7075" s="951"/>
    </row>
    <row r="7076" spans="1:2">
      <c r="A7076" s="951"/>
      <c r="B7076" s="951"/>
    </row>
    <row r="7077" spans="1:2">
      <c r="A7077" s="951"/>
      <c r="B7077" s="951"/>
    </row>
    <row r="7078" spans="1:2">
      <c r="A7078" s="951"/>
      <c r="B7078" s="951"/>
    </row>
    <row r="7079" spans="1:2">
      <c r="A7079" s="951"/>
      <c r="B7079" s="951"/>
    </row>
    <row r="7080" spans="1:2">
      <c r="A7080" s="951"/>
      <c r="B7080" s="951"/>
    </row>
    <row r="7081" spans="1:2">
      <c r="A7081" s="951"/>
      <c r="B7081" s="951"/>
    </row>
    <row r="7082" spans="1:2">
      <c r="A7082" s="951"/>
      <c r="B7082" s="951"/>
    </row>
    <row r="7083" spans="1:2">
      <c r="A7083" s="951"/>
      <c r="B7083" s="951"/>
    </row>
    <row r="7084" spans="1:2">
      <c r="A7084" s="951"/>
      <c r="B7084" s="951"/>
    </row>
    <row r="7085" spans="1:2">
      <c r="A7085" s="951"/>
      <c r="B7085" s="951"/>
    </row>
    <row r="7086" spans="1:2">
      <c r="A7086" s="951"/>
      <c r="B7086" s="951"/>
    </row>
    <row r="7087" spans="1:2">
      <c r="A7087" s="951"/>
      <c r="B7087" s="951"/>
    </row>
    <row r="7088" spans="1:2">
      <c r="A7088" s="951"/>
      <c r="B7088" s="951"/>
    </row>
    <row r="7089" spans="1:2">
      <c r="A7089" s="951"/>
      <c r="B7089" s="951"/>
    </row>
    <row r="7090" spans="1:2">
      <c r="A7090" s="951"/>
      <c r="B7090" s="951"/>
    </row>
    <row r="7091" spans="1:2">
      <c r="A7091" s="951"/>
      <c r="B7091" s="951"/>
    </row>
    <row r="7092" spans="1:2">
      <c r="A7092" s="951"/>
      <c r="B7092" s="951"/>
    </row>
    <row r="7093" spans="1:2">
      <c r="A7093" s="951"/>
      <c r="B7093" s="951"/>
    </row>
    <row r="7094" spans="1:2">
      <c r="A7094" s="951"/>
      <c r="B7094" s="951"/>
    </row>
    <row r="7095" spans="1:2">
      <c r="A7095" s="951"/>
      <c r="B7095" s="951"/>
    </row>
    <row r="7096" spans="1:2">
      <c r="A7096" s="951"/>
      <c r="B7096" s="951"/>
    </row>
    <row r="7097" spans="1:2">
      <c r="A7097" s="951"/>
      <c r="B7097" s="951"/>
    </row>
    <row r="7098" spans="1:2">
      <c r="A7098" s="951"/>
      <c r="B7098" s="951"/>
    </row>
    <row r="7099" spans="1:2">
      <c r="A7099" s="951"/>
      <c r="B7099" s="951"/>
    </row>
    <row r="7100" spans="1:2">
      <c r="A7100" s="951"/>
      <c r="B7100" s="951"/>
    </row>
    <row r="7101" spans="1:2">
      <c r="A7101" s="951"/>
      <c r="B7101" s="951"/>
    </row>
    <row r="7102" spans="1:2">
      <c r="A7102" s="951"/>
      <c r="B7102" s="951"/>
    </row>
    <row r="7103" spans="1:2">
      <c r="A7103" s="951"/>
      <c r="B7103" s="951"/>
    </row>
    <row r="7104" spans="1:2">
      <c r="A7104" s="951"/>
      <c r="B7104" s="951"/>
    </row>
    <row r="7105" spans="1:2">
      <c r="A7105" s="951"/>
      <c r="B7105" s="951"/>
    </row>
    <row r="7106" spans="1:2">
      <c r="A7106" s="951"/>
      <c r="B7106" s="951"/>
    </row>
    <row r="7107" spans="1:2">
      <c r="A7107" s="951"/>
      <c r="B7107" s="951"/>
    </row>
    <row r="7108" spans="1:2">
      <c r="A7108" s="951"/>
      <c r="B7108" s="951"/>
    </row>
    <row r="7109" spans="1:2">
      <c r="A7109" s="951"/>
      <c r="B7109" s="951"/>
    </row>
    <row r="7110" spans="1:2">
      <c r="A7110" s="951"/>
      <c r="B7110" s="951"/>
    </row>
    <row r="7111" spans="1:2">
      <c r="A7111" s="951"/>
      <c r="B7111" s="951"/>
    </row>
    <row r="7112" spans="1:2">
      <c r="A7112" s="951"/>
      <c r="B7112" s="951"/>
    </row>
    <row r="7113" spans="1:2">
      <c r="A7113" s="951"/>
      <c r="B7113" s="951"/>
    </row>
    <row r="7114" spans="1:2">
      <c r="A7114" s="951"/>
      <c r="B7114" s="951"/>
    </row>
    <row r="7115" spans="1:2">
      <c r="A7115" s="951"/>
      <c r="B7115" s="951"/>
    </row>
    <row r="7116" spans="1:2">
      <c r="A7116" s="951"/>
      <c r="B7116" s="951"/>
    </row>
    <row r="7117" spans="1:2">
      <c r="A7117" s="951"/>
      <c r="B7117" s="951"/>
    </row>
    <row r="7118" spans="1:2">
      <c r="A7118" s="951"/>
      <c r="B7118" s="951"/>
    </row>
    <row r="7119" spans="1:2">
      <c r="A7119" s="951"/>
      <c r="B7119" s="951"/>
    </row>
    <row r="7120" spans="1:2">
      <c r="A7120" s="951"/>
      <c r="B7120" s="951"/>
    </row>
    <row r="7121" spans="1:2">
      <c r="A7121" s="951"/>
      <c r="B7121" s="951"/>
    </row>
    <row r="7122" spans="1:2">
      <c r="A7122" s="951"/>
      <c r="B7122" s="951"/>
    </row>
    <row r="7123" spans="1:2">
      <c r="A7123" s="951"/>
      <c r="B7123" s="951"/>
    </row>
    <row r="7124" spans="1:2">
      <c r="A7124" s="951"/>
      <c r="B7124" s="951"/>
    </row>
    <row r="7125" spans="1:2">
      <c r="A7125" s="951"/>
      <c r="B7125" s="951"/>
    </row>
    <row r="7126" spans="1:2">
      <c r="A7126" s="951"/>
      <c r="B7126" s="951"/>
    </row>
    <row r="7127" spans="1:2">
      <c r="A7127" s="951"/>
      <c r="B7127" s="951"/>
    </row>
    <row r="7128" spans="1:2">
      <c r="A7128" s="951"/>
      <c r="B7128" s="951"/>
    </row>
    <row r="7129" spans="1:2">
      <c r="A7129" s="951"/>
      <c r="B7129" s="951"/>
    </row>
    <row r="7130" spans="1:2">
      <c r="A7130" s="951"/>
      <c r="B7130" s="951"/>
    </row>
    <row r="7131" spans="1:2">
      <c r="A7131" s="951"/>
      <c r="B7131" s="951"/>
    </row>
    <row r="7132" spans="1:2">
      <c r="A7132" s="951"/>
      <c r="B7132" s="951"/>
    </row>
    <row r="7133" spans="1:2">
      <c r="A7133" s="951"/>
      <c r="B7133" s="951"/>
    </row>
    <row r="7134" spans="1:2">
      <c r="A7134" s="951"/>
      <c r="B7134" s="951"/>
    </row>
    <row r="7135" spans="1:2">
      <c r="A7135" s="951"/>
      <c r="B7135" s="951"/>
    </row>
    <row r="7136" spans="1:2">
      <c r="A7136" s="951"/>
      <c r="B7136" s="951"/>
    </row>
    <row r="7137" spans="1:2">
      <c r="A7137" s="951"/>
      <c r="B7137" s="951"/>
    </row>
    <row r="7138" spans="1:2">
      <c r="A7138" s="951"/>
      <c r="B7138" s="951"/>
    </row>
    <row r="7139" spans="1:2">
      <c r="A7139" s="951"/>
      <c r="B7139" s="951"/>
    </row>
    <row r="7140" spans="1:2">
      <c r="A7140" s="951"/>
      <c r="B7140" s="951"/>
    </row>
    <row r="7141" spans="1:2">
      <c r="A7141" s="951"/>
      <c r="B7141" s="951"/>
    </row>
    <row r="7142" spans="1:2">
      <c r="A7142" s="951"/>
      <c r="B7142" s="951"/>
    </row>
    <row r="7143" spans="1:2">
      <c r="A7143" s="951"/>
      <c r="B7143" s="951"/>
    </row>
    <row r="7144" spans="1:2">
      <c r="A7144" s="951"/>
      <c r="B7144" s="951"/>
    </row>
    <row r="7145" spans="1:2">
      <c r="A7145" s="951"/>
      <c r="B7145" s="951"/>
    </row>
    <row r="7146" spans="1:2">
      <c r="A7146" s="951"/>
      <c r="B7146" s="951"/>
    </row>
    <row r="7147" spans="1:2">
      <c r="A7147" s="951"/>
      <c r="B7147" s="951"/>
    </row>
    <row r="7148" spans="1:2">
      <c r="A7148" s="951"/>
      <c r="B7148" s="951"/>
    </row>
    <row r="7149" spans="1:2">
      <c r="A7149" s="951"/>
      <c r="B7149" s="951"/>
    </row>
    <row r="7150" spans="1:2">
      <c r="A7150" s="951"/>
      <c r="B7150" s="951"/>
    </row>
    <row r="7151" spans="1:2">
      <c r="A7151" s="951"/>
      <c r="B7151" s="951"/>
    </row>
    <row r="7152" spans="1:2">
      <c r="A7152" s="951"/>
      <c r="B7152" s="951"/>
    </row>
    <row r="7153" spans="1:2">
      <c r="A7153" s="951"/>
      <c r="B7153" s="951"/>
    </row>
    <row r="7154" spans="1:2">
      <c r="A7154" s="951"/>
      <c r="B7154" s="951"/>
    </row>
    <row r="7155" spans="1:2">
      <c r="A7155" s="951"/>
      <c r="B7155" s="951"/>
    </row>
    <row r="7156" spans="1:2">
      <c r="A7156" s="951"/>
      <c r="B7156" s="951"/>
    </row>
    <row r="7157" spans="1:2">
      <c r="A7157" s="951"/>
      <c r="B7157" s="951"/>
    </row>
    <row r="7158" spans="1:2">
      <c r="A7158" s="951"/>
      <c r="B7158" s="951"/>
    </row>
    <row r="7159" spans="1:2">
      <c r="A7159" s="951"/>
      <c r="B7159" s="951"/>
    </row>
    <row r="7160" spans="1:2">
      <c r="A7160" s="951"/>
      <c r="B7160" s="951"/>
    </row>
    <row r="7161" spans="1:2">
      <c r="A7161" s="951"/>
      <c r="B7161" s="951"/>
    </row>
    <row r="7162" spans="1:2">
      <c r="A7162" s="951"/>
      <c r="B7162" s="951"/>
    </row>
    <row r="7163" spans="1:2">
      <c r="A7163" s="951"/>
      <c r="B7163" s="951"/>
    </row>
    <row r="7164" spans="1:2">
      <c r="A7164" s="951"/>
      <c r="B7164" s="951"/>
    </row>
    <row r="7165" spans="1:2">
      <c r="A7165" s="951"/>
      <c r="B7165" s="951"/>
    </row>
    <row r="7166" spans="1:2">
      <c r="A7166" s="951"/>
      <c r="B7166" s="951"/>
    </row>
    <row r="7167" spans="1:2">
      <c r="A7167" s="951"/>
      <c r="B7167" s="951"/>
    </row>
    <row r="7168" spans="1:2">
      <c r="A7168" s="951"/>
      <c r="B7168" s="951"/>
    </row>
    <row r="7169" spans="1:2">
      <c r="A7169" s="951"/>
      <c r="B7169" s="951"/>
    </row>
    <row r="7170" spans="1:2">
      <c r="A7170" s="951"/>
      <c r="B7170" s="951"/>
    </row>
    <row r="7171" spans="1:2">
      <c r="A7171" s="951"/>
      <c r="B7171" s="951"/>
    </row>
    <row r="7172" spans="1:2">
      <c r="A7172" s="951"/>
      <c r="B7172" s="951"/>
    </row>
    <row r="7173" spans="1:2">
      <c r="A7173" s="951"/>
      <c r="B7173" s="951"/>
    </row>
    <row r="7174" spans="1:2">
      <c r="A7174" s="951"/>
      <c r="B7174" s="951"/>
    </row>
    <row r="7175" spans="1:2">
      <c r="A7175" s="951"/>
      <c r="B7175" s="951"/>
    </row>
    <row r="7176" spans="1:2">
      <c r="A7176" s="951"/>
      <c r="B7176" s="951"/>
    </row>
    <row r="7177" spans="1:2">
      <c r="A7177" s="951"/>
      <c r="B7177" s="951"/>
    </row>
    <row r="7178" spans="1:2">
      <c r="A7178" s="951"/>
      <c r="B7178" s="951"/>
    </row>
    <row r="7179" spans="1:2">
      <c r="A7179" s="951"/>
      <c r="B7179" s="951"/>
    </row>
    <row r="7180" spans="1:2">
      <c r="A7180" s="951"/>
      <c r="B7180" s="951"/>
    </row>
    <row r="7181" spans="1:2">
      <c r="A7181" s="951"/>
      <c r="B7181" s="951"/>
    </row>
    <row r="7182" spans="1:2">
      <c r="A7182" s="951"/>
      <c r="B7182" s="951"/>
    </row>
    <row r="7183" spans="1:2">
      <c r="A7183" s="951"/>
      <c r="B7183" s="951"/>
    </row>
    <row r="7184" spans="1:2">
      <c r="A7184" s="951"/>
      <c r="B7184" s="951"/>
    </row>
    <row r="7185" spans="1:2">
      <c r="A7185" s="951"/>
      <c r="B7185" s="951"/>
    </row>
    <row r="7186" spans="1:2">
      <c r="A7186" s="951"/>
      <c r="B7186" s="951"/>
    </row>
    <row r="7187" spans="1:2">
      <c r="A7187" s="951"/>
      <c r="B7187" s="951"/>
    </row>
    <row r="7188" spans="1:2">
      <c r="A7188" s="951"/>
      <c r="B7188" s="951"/>
    </row>
    <row r="7189" spans="1:2">
      <c r="A7189" s="951"/>
      <c r="B7189" s="951"/>
    </row>
    <row r="7190" spans="1:2">
      <c r="A7190" s="951"/>
      <c r="B7190" s="951"/>
    </row>
    <row r="7191" spans="1:2">
      <c r="A7191" s="951"/>
      <c r="B7191" s="951"/>
    </row>
    <row r="7192" spans="1:2">
      <c r="A7192" s="951"/>
      <c r="B7192" s="951"/>
    </row>
    <row r="7193" spans="1:2">
      <c r="A7193" s="951"/>
      <c r="B7193" s="951"/>
    </row>
    <row r="7194" spans="1:2">
      <c r="A7194" s="951"/>
      <c r="B7194" s="951"/>
    </row>
    <row r="7195" spans="1:2">
      <c r="A7195" s="951"/>
      <c r="B7195" s="951"/>
    </row>
    <row r="7196" spans="1:2">
      <c r="A7196" s="951"/>
      <c r="B7196" s="951"/>
    </row>
    <row r="7197" spans="1:2">
      <c r="A7197" s="951"/>
      <c r="B7197" s="951"/>
    </row>
    <row r="7198" spans="1:2">
      <c r="A7198" s="951"/>
      <c r="B7198" s="951"/>
    </row>
    <row r="7199" spans="1:2">
      <c r="A7199" s="951"/>
      <c r="B7199" s="951"/>
    </row>
    <row r="7200" spans="1:2">
      <c r="A7200" s="951"/>
      <c r="B7200" s="951"/>
    </row>
    <row r="7201" spans="1:2">
      <c r="A7201" s="951"/>
      <c r="B7201" s="951"/>
    </row>
    <row r="7202" spans="1:2">
      <c r="A7202" s="951"/>
      <c r="B7202" s="951"/>
    </row>
    <row r="7203" spans="1:2">
      <c r="A7203" s="951"/>
      <c r="B7203" s="951"/>
    </row>
    <row r="7204" spans="1:2">
      <c r="A7204" s="951"/>
      <c r="B7204" s="951"/>
    </row>
    <row r="7205" spans="1:2">
      <c r="A7205" s="951"/>
      <c r="B7205" s="951"/>
    </row>
    <row r="7206" spans="1:2">
      <c r="A7206" s="951"/>
      <c r="B7206" s="951"/>
    </row>
    <row r="7207" spans="1:2">
      <c r="A7207" s="951"/>
      <c r="B7207" s="951"/>
    </row>
    <row r="7208" spans="1:2">
      <c r="A7208" s="951"/>
      <c r="B7208" s="951"/>
    </row>
    <row r="7209" spans="1:2">
      <c r="A7209" s="951"/>
      <c r="B7209" s="951"/>
    </row>
    <row r="7210" spans="1:2">
      <c r="A7210" s="951"/>
      <c r="B7210" s="951"/>
    </row>
    <row r="7211" spans="1:2">
      <c r="A7211" s="951"/>
      <c r="B7211" s="951"/>
    </row>
    <row r="7212" spans="1:2">
      <c r="A7212" s="951"/>
      <c r="B7212" s="951"/>
    </row>
    <row r="7213" spans="1:2">
      <c r="A7213" s="951"/>
      <c r="B7213" s="951"/>
    </row>
    <row r="7214" spans="1:2">
      <c r="A7214" s="951"/>
      <c r="B7214" s="951"/>
    </row>
    <row r="7215" spans="1:2">
      <c r="A7215" s="951"/>
      <c r="B7215" s="951"/>
    </row>
    <row r="7216" spans="1:2">
      <c r="A7216" s="951"/>
      <c r="B7216" s="951"/>
    </row>
    <row r="7217" spans="1:2">
      <c r="A7217" s="951"/>
      <c r="B7217" s="951"/>
    </row>
    <row r="7218" spans="1:2">
      <c r="A7218" s="951"/>
      <c r="B7218" s="951"/>
    </row>
    <row r="7219" spans="1:2">
      <c r="A7219" s="951"/>
      <c r="B7219" s="951"/>
    </row>
    <row r="7220" spans="1:2">
      <c r="A7220" s="951"/>
      <c r="B7220" s="951"/>
    </row>
    <row r="7221" spans="1:2">
      <c r="A7221" s="951"/>
      <c r="B7221" s="951"/>
    </row>
    <row r="7222" spans="1:2">
      <c r="A7222" s="951"/>
      <c r="B7222" s="951"/>
    </row>
    <row r="7223" spans="1:2">
      <c r="A7223" s="951"/>
      <c r="B7223" s="951"/>
    </row>
    <row r="7224" spans="1:2">
      <c r="A7224" s="951"/>
      <c r="B7224" s="951"/>
    </row>
    <row r="7225" spans="1:2">
      <c r="A7225" s="951"/>
      <c r="B7225" s="951"/>
    </row>
    <row r="7226" spans="1:2">
      <c r="A7226" s="951"/>
      <c r="B7226" s="951"/>
    </row>
    <row r="7227" spans="1:2">
      <c r="A7227" s="951"/>
      <c r="B7227" s="951"/>
    </row>
    <row r="7228" spans="1:2">
      <c r="A7228" s="951"/>
      <c r="B7228" s="951"/>
    </row>
    <row r="7229" spans="1:2">
      <c r="A7229" s="951"/>
      <c r="B7229" s="951"/>
    </row>
    <row r="7230" spans="1:2">
      <c r="A7230" s="951"/>
      <c r="B7230" s="951"/>
    </row>
    <row r="7231" spans="1:2">
      <c r="A7231" s="951"/>
      <c r="B7231" s="951"/>
    </row>
    <row r="7232" spans="1:2">
      <c r="A7232" s="951"/>
      <c r="B7232" s="951"/>
    </row>
    <row r="7233" spans="1:2">
      <c r="A7233" s="951"/>
      <c r="B7233" s="951"/>
    </row>
    <row r="7234" spans="1:2">
      <c r="A7234" s="951"/>
      <c r="B7234" s="951"/>
    </row>
    <row r="7235" spans="1:2">
      <c r="A7235" s="951"/>
      <c r="B7235" s="951"/>
    </row>
    <row r="7236" spans="1:2">
      <c r="A7236" s="951"/>
      <c r="B7236" s="951"/>
    </row>
    <row r="7237" spans="1:2">
      <c r="A7237" s="951"/>
      <c r="B7237" s="951"/>
    </row>
    <row r="7238" spans="1:2">
      <c r="A7238" s="951"/>
      <c r="B7238" s="951"/>
    </row>
    <row r="7239" spans="1:2">
      <c r="A7239" s="951"/>
      <c r="B7239" s="951"/>
    </row>
    <row r="7240" spans="1:2">
      <c r="A7240" s="951"/>
      <c r="B7240" s="951"/>
    </row>
    <row r="7241" spans="1:2">
      <c r="A7241" s="951"/>
      <c r="B7241" s="951"/>
    </row>
    <row r="7242" spans="1:2">
      <c r="A7242" s="951"/>
      <c r="B7242" s="951"/>
    </row>
    <row r="7243" spans="1:2">
      <c r="A7243" s="951"/>
      <c r="B7243" s="951"/>
    </row>
    <row r="7244" spans="1:2">
      <c r="A7244" s="951"/>
      <c r="B7244" s="951"/>
    </row>
    <row r="7245" spans="1:2">
      <c r="A7245" s="951"/>
      <c r="B7245" s="951"/>
    </row>
    <row r="7246" spans="1:2">
      <c r="A7246" s="951"/>
      <c r="B7246" s="951"/>
    </row>
    <row r="7247" spans="1:2">
      <c r="A7247" s="951"/>
      <c r="B7247" s="951"/>
    </row>
    <row r="7248" spans="1:2">
      <c r="A7248" s="951"/>
      <c r="B7248" s="951"/>
    </row>
    <row r="7249" spans="1:2">
      <c r="A7249" s="951"/>
      <c r="B7249" s="951"/>
    </row>
    <row r="7250" spans="1:2">
      <c r="A7250" s="951"/>
      <c r="B7250" s="951"/>
    </row>
    <row r="7251" spans="1:2">
      <c r="A7251" s="951"/>
      <c r="B7251" s="951"/>
    </row>
    <row r="7252" spans="1:2">
      <c r="A7252" s="951"/>
      <c r="B7252" s="951"/>
    </row>
    <row r="7253" spans="1:2">
      <c r="A7253" s="951"/>
      <c r="B7253" s="951"/>
    </row>
    <row r="7254" spans="1:2">
      <c r="A7254" s="951"/>
      <c r="B7254" s="951"/>
    </row>
    <row r="7255" spans="1:2">
      <c r="A7255" s="951"/>
      <c r="B7255" s="951"/>
    </row>
    <row r="7256" spans="1:2">
      <c r="A7256" s="951"/>
      <c r="B7256" s="951"/>
    </row>
    <row r="7257" spans="1:2">
      <c r="A7257" s="951"/>
      <c r="B7257" s="951"/>
    </row>
    <row r="7258" spans="1:2">
      <c r="A7258" s="951"/>
      <c r="B7258" s="951"/>
    </row>
    <row r="7259" spans="1:2">
      <c r="A7259" s="951"/>
      <c r="B7259" s="951"/>
    </row>
    <row r="7260" spans="1:2">
      <c r="A7260" s="951"/>
      <c r="B7260" s="951"/>
    </row>
    <row r="7261" spans="1:2">
      <c r="A7261" s="951"/>
      <c r="B7261" s="951"/>
    </row>
    <row r="7262" spans="1:2">
      <c r="A7262" s="951"/>
      <c r="B7262" s="951"/>
    </row>
    <row r="7263" spans="1:2">
      <c r="A7263" s="951"/>
      <c r="B7263" s="951"/>
    </row>
    <row r="7264" spans="1:2">
      <c r="A7264" s="951"/>
      <c r="B7264" s="951"/>
    </row>
    <row r="7265" spans="1:2">
      <c r="A7265" s="951"/>
      <c r="B7265" s="951"/>
    </row>
    <row r="7266" spans="1:2">
      <c r="A7266" s="951"/>
      <c r="B7266" s="951"/>
    </row>
    <row r="7267" spans="1:2">
      <c r="A7267" s="951"/>
      <c r="B7267" s="951"/>
    </row>
    <row r="7268" spans="1:2">
      <c r="A7268" s="951"/>
      <c r="B7268" s="951"/>
    </row>
    <row r="7269" spans="1:2">
      <c r="A7269" s="951"/>
      <c r="B7269" s="951"/>
    </row>
    <row r="7270" spans="1:2">
      <c r="A7270" s="951"/>
      <c r="B7270" s="951"/>
    </row>
    <row r="7271" spans="1:2">
      <c r="A7271" s="951"/>
      <c r="B7271" s="951"/>
    </row>
    <row r="7272" spans="1:2">
      <c r="A7272" s="951"/>
      <c r="B7272" s="951"/>
    </row>
    <row r="7273" spans="1:2">
      <c r="A7273" s="951"/>
      <c r="B7273" s="951"/>
    </row>
    <row r="7274" spans="1:2">
      <c r="A7274" s="951"/>
      <c r="B7274" s="951"/>
    </row>
    <row r="7275" spans="1:2">
      <c r="A7275" s="951"/>
      <c r="B7275" s="951"/>
    </row>
    <row r="7276" spans="1:2">
      <c r="A7276" s="951"/>
      <c r="B7276" s="951"/>
    </row>
    <row r="7277" spans="1:2">
      <c r="A7277" s="951"/>
      <c r="B7277" s="951"/>
    </row>
    <row r="7278" spans="1:2">
      <c r="A7278" s="951"/>
      <c r="B7278" s="951"/>
    </row>
    <row r="7279" spans="1:2">
      <c r="A7279" s="951"/>
      <c r="B7279" s="951"/>
    </row>
    <row r="7280" spans="1:2">
      <c r="A7280" s="951"/>
      <c r="B7280" s="951"/>
    </row>
    <row r="7281" spans="1:2">
      <c r="A7281" s="951"/>
      <c r="B7281" s="951"/>
    </row>
    <row r="7282" spans="1:2">
      <c r="A7282" s="951"/>
      <c r="B7282" s="951"/>
    </row>
    <row r="7283" spans="1:2">
      <c r="A7283" s="951"/>
      <c r="B7283" s="951"/>
    </row>
    <row r="7284" spans="1:2">
      <c r="A7284" s="951"/>
      <c r="B7284" s="951"/>
    </row>
    <row r="7285" spans="1:2">
      <c r="A7285" s="951"/>
      <c r="B7285" s="951"/>
    </row>
    <row r="7286" spans="1:2">
      <c r="A7286" s="951"/>
      <c r="B7286" s="951"/>
    </row>
    <row r="7287" spans="1:2">
      <c r="A7287" s="951"/>
      <c r="B7287" s="951"/>
    </row>
    <row r="7288" spans="1:2">
      <c r="A7288" s="951"/>
      <c r="B7288" s="951"/>
    </row>
    <row r="7289" spans="1:2">
      <c r="A7289" s="951"/>
      <c r="B7289" s="951"/>
    </row>
    <row r="7290" spans="1:2">
      <c r="A7290" s="951"/>
      <c r="B7290" s="951"/>
    </row>
    <row r="7291" spans="1:2">
      <c r="A7291" s="951"/>
      <c r="B7291" s="951"/>
    </row>
    <row r="7292" spans="1:2">
      <c r="A7292" s="951"/>
      <c r="B7292" s="951"/>
    </row>
    <row r="7293" spans="1:2">
      <c r="A7293" s="951"/>
      <c r="B7293" s="951"/>
    </row>
    <row r="7294" spans="1:2">
      <c r="A7294" s="951"/>
      <c r="B7294" s="951"/>
    </row>
    <row r="7295" spans="1:2">
      <c r="A7295" s="951"/>
      <c r="B7295" s="951"/>
    </row>
    <row r="7296" spans="1:2">
      <c r="A7296" s="951"/>
      <c r="B7296" s="951"/>
    </row>
    <row r="7297" spans="1:2">
      <c r="A7297" s="951"/>
      <c r="B7297" s="951"/>
    </row>
    <row r="7298" spans="1:2">
      <c r="A7298" s="951"/>
      <c r="B7298" s="951"/>
    </row>
    <row r="7299" spans="1:2">
      <c r="A7299" s="951"/>
      <c r="B7299" s="951"/>
    </row>
    <row r="7300" spans="1:2">
      <c r="A7300" s="951"/>
      <c r="B7300" s="951"/>
    </row>
    <row r="7301" spans="1:2">
      <c r="A7301" s="951"/>
      <c r="B7301" s="951"/>
    </row>
    <row r="7302" spans="1:2">
      <c r="A7302" s="951"/>
      <c r="B7302" s="951"/>
    </row>
    <row r="7303" spans="1:2">
      <c r="A7303" s="951"/>
      <c r="B7303" s="951"/>
    </row>
    <row r="7304" spans="1:2">
      <c r="A7304" s="951"/>
      <c r="B7304" s="951"/>
    </row>
    <row r="7305" spans="1:2">
      <c r="A7305" s="951"/>
      <c r="B7305" s="951"/>
    </row>
    <row r="7306" spans="1:2">
      <c r="A7306" s="951"/>
      <c r="B7306" s="951"/>
    </row>
    <row r="7307" spans="1:2">
      <c r="A7307" s="951"/>
      <c r="B7307" s="951"/>
    </row>
    <row r="7308" spans="1:2">
      <c r="A7308" s="951"/>
      <c r="B7308" s="951"/>
    </row>
    <row r="7309" spans="1:2">
      <c r="A7309" s="951"/>
      <c r="B7309" s="951"/>
    </row>
    <row r="7310" spans="1:2">
      <c r="A7310" s="951"/>
      <c r="B7310" s="951"/>
    </row>
    <row r="7311" spans="1:2">
      <c r="A7311" s="951"/>
      <c r="B7311" s="951"/>
    </row>
    <row r="7312" spans="1:2">
      <c r="A7312" s="951"/>
      <c r="B7312" s="951"/>
    </row>
    <row r="7313" spans="1:2">
      <c r="A7313" s="951"/>
      <c r="B7313" s="951"/>
    </row>
    <row r="7314" spans="1:2">
      <c r="A7314" s="951"/>
      <c r="B7314" s="951"/>
    </row>
    <row r="7315" spans="1:2">
      <c r="A7315" s="951"/>
      <c r="B7315" s="951"/>
    </row>
    <row r="7316" spans="1:2">
      <c r="A7316" s="951"/>
      <c r="B7316" s="951"/>
    </row>
    <row r="7317" spans="1:2">
      <c r="A7317" s="951"/>
      <c r="B7317" s="951"/>
    </row>
    <row r="7318" spans="1:2">
      <c r="A7318" s="951"/>
      <c r="B7318" s="951"/>
    </row>
    <row r="7319" spans="1:2">
      <c r="A7319" s="951"/>
      <c r="B7319" s="951"/>
    </row>
    <row r="7320" spans="1:2">
      <c r="A7320" s="951"/>
      <c r="B7320" s="951"/>
    </row>
    <row r="7321" spans="1:2">
      <c r="A7321" s="951"/>
      <c r="B7321" s="951"/>
    </row>
    <row r="7322" spans="1:2">
      <c r="A7322" s="951"/>
      <c r="B7322" s="951"/>
    </row>
    <row r="7323" spans="1:2">
      <c r="A7323" s="951"/>
      <c r="B7323" s="951"/>
    </row>
    <row r="7324" spans="1:2">
      <c r="A7324" s="951"/>
      <c r="B7324" s="951"/>
    </row>
    <row r="7325" spans="1:2">
      <c r="A7325" s="951"/>
      <c r="B7325" s="951"/>
    </row>
    <row r="7326" spans="1:2">
      <c r="A7326" s="951"/>
      <c r="B7326" s="951"/>
    </row>
    <row r="7327" spans="1:2">
      <c r="A7327" s="951"/>
      <c r="B7327" s="951"/>
    </row>
    <row r="7328" spans="1:2">
      <c r="A7328" s="951"/>
      <c r="B7328" s="951"/>
    </row>
    <row r="7329" spans="1:2">
      <c r="A7329" s="951"/>
      <c r="B7329" s="951"/>
    </row>
    <row r="7330" spans="1:2">
      <c r="A7330" s="951"/>
      <c r="B7330" s="951"/>
    </row>
    <row r="7331" spans="1:2">
      <c r="A7331" s="951"/>
      <c r="B7331" s="951"/>
    </row>
    <row r="7332" spans="1:2">
      <c r="A7332" s="951"/>
      <c r="B7332" s="951"/>
    </row>
    <row r="7333" spans="1:2">
      <c r="A7333" s="951"/>
      <c r="B7333" s="951"/>
    </row>
    <row r="7334" spans="1:2">
      <c r="A7334" s="951"/>
      <c r="B7334" s="951"/>
    </row>
    <row r="7335" spans="1:2">
      <c r="A7335" s="951"/>
      <c r="B7335" s="951"/>
    </row>
    <row r="7336" spans="1:2">
      <c r="A7336" s="951"/>
      <c r="B7336" s="951"/>
    </row>
    <row r="7337" spans="1:2">
      <c r="A7337" s="951"/>
      <c r="B7337" s="951"/>
    </row>
    <row r="7338" spans="1:2">
      <c r="A7338" s="951"/>
      <c r="B7338" s="951"/>
    </row>
    <row r="7339" spans="1:2">
      <c r="A7339" s="951"/>
      <c r="B7339" s="951"/>
    </row>
    <row r="7340" spans="1:2">
      <c r="A7340" s="951"/>
      <c r="B7340" s="951"/>
    </row>
    <row r="7341" spans="1:2">
      <c r="A7341" s="951"/>
      <c r="B7341" s="951"/>
    </row>
    <row r="7342" spans="1:2">
      <c r="A7342" s="951"/>
      <c r="B7342" s="951"/>
    </row>
    <row r="7343" spans="1:2">
      <c r="A7343" s="951"/>
      <c r="B7343" s="951"/>
    </row>
    <row r="7344" spans="1:2">
      <c r="A7344" s="951"/>
      <c r="B7344" s="951"/>
    </row>
    <row r="7345" spans="1:2">
      <c r="A7345" s="951"/>
      <c r="B7345" s="951"/>
    </row>
    <row r="7346" spans="1:2">
      <c r="A7346" s="951"/>
      <c r="B7346" s="951"/>
    </row>
    <row r="7347" spans="1:2">
      <c r="A7347" s="951"/>
      <c r="B7347" s="951"/>
    </row>
    <row r="7348" spans="1:2">
      <c r="A7348" s="951"/>
      <c r="B7348" s="951"/>
    </row>
    <row r="7349" spans="1:2">
      <c r="A7349" s="951"/>
      <c r="B7349" s="951"/>
    </row>
    <row r="7350" spans="1:2">
      <c r="A7350" s="951"/>
      <c r="B7350" s="951"/>
    </row>
    <row r="7351" spans="1:2">
      <c r="A7351" s="951"/>
      <c r="B7351" s="951"/>
    </row>
    <row r="7352" spans="1:2">
      <c r="A7352" s="951"/>
      <c r="B7352" s="951"/>
    </row>
    <row r="7353" spans="1:2">
      <c r="A7353" s="951"/>
      <c r="B7353" s="951"/>
    </row>
    <row r="7354" spans="1:2">
      <c r="A7354" s="951"/>
      <c r="B7354" s="951"/>
    </row>
    <row r="7355" spans="1:2">
      <c r="A7355" s="951"/>
      <c r="B7355" s="951"/>
    </row>
    <row r="7356" spans="1:2">
      <c r="A7356" s="951"/>
      <c r="B7356" s="951"/>
    </row>
    <row r="7357" spans="1:2">
      <c r="A7357" s="951"/>
      <c r="B7357" s="951"/>
    </row>
    <row r="7358" spans="1:2">
      <c r="A7358" s="951"/>
      <c r="B7358" s="951"/>
    </row>
    <row r="7359" spans="1:2">
      <c r="A7359" s="951"/>
      <c r="B7359" s="951"/>
    </row>
    <row r="7360" spans="1:2">
      <c r="A7360" s="951"/>
      <c r="B7360" s="951"/>
    </row>
    <row r="7361" spans="1:2">
      <c r="A7361" s="951"/>
      <c r="B7361" s="951"/>
    </row>
    <row r="7362" spans="1:2">
      <c r="A7362" s="951"/>
      <c r="B7362" s="951"/>
    </row>
    <row r="7363" spans="1:2">
      <c r="A7363" s="951"/>
      <c r="B7363" s="951"/>
    </row>
    <row r="7364" spans="1:2">
      <c r="A7364" s="951"/>
      <c r="B7364" s="951"/>
    </row>
    <row r="7365" spans="1:2">
      <c r="A7365" s="951"/>
      <c r="B7365" s="951"/>
    </row>
    <row r="7366" spans="1:2">
      <c r="A7366" s="951"/>
      <c r="B7366" s="951"/>
    </row>
    <row r="7367" spans="1:2">
      <c r="A7367" s="951"/>
      <c r="B7367" s="951"/>
    </row>
    <row r="7368" spans="1:2">
      <c r="A7368" s="951"/>
      <c r="B7368" s="951"/>
    </row>
    <row r="7369" spans="1:2">
      <c r="A7369" s="951"/>
      <c r="B7369" s="951"/>
    </row>
    <row r="7370" spans="1:2">
      <c r="A7370" s="951"/>
      <c r="B7370" s="951"/>
    </row>
    <row r="7371" spans="1:2">
      <c r="A7371" s="951"/>
      <c r="B7371" s="951"/>
    </row>
    <row r="7372" spans="1:2">
      <c r="A7372" s="951"/>
      <c r="B7372" s="951"/>
    </row>
    <row r="7373" spans="1:2">
      <c r="A7373" s="951"/>
      <c r="B7373" s="951"/>
    </row>
    <row r="7374" spans="1:2">
      <c r="A7374" s="951"/>
      <c r="B7374" s="951"/>
    </row>
    <row r="7375" spans="1:2">
      <c r="A7375" s="951"/>
      <c r="B7375" s="951"/>
    </row>
    <row r="7376" spans="1:2">
      <c r="A7376" s="951"/>
      <c r="B7376" s="951"/>
    </row>
    <row r="7377" spans="1:2">
      <c r="A7377" s="951"/>
      <c r="B7377" s="951"/>
    </row>
    <row r="7378" spans="1:2">
      <c r="A7378" s="951"/>
      <c r="B7378" s="951"/>
    </row>
    <row r="7379" spans="1:2">
      <c r="A7379" s="951"/>
      <c r="B7379" s="951"/>
    </row>
    <row r="7380" spans="1:2">
      <c r="A7380" s="951"/>
      <c r="B7380" s="951"/>
    </row>
    <row r="7381" spans="1:2">
      <c r="A7381" s="951"/>
      <c r="B7381" s="951"/>
    </row>
    <row r="7382" spans="1:2">
      <c r="A7382" s="951"/>
      <c r="B7382" s="951"/>
    </row>
    <row r="7383" spans="1:2">
      <c r="A7383" s="951"/>
      <c r="B7383" s="951"/>
    </row>
    <row r="7384" spans="1:2">
      <c r="A7384" s="951"/>
      <c r="B7384" s="951"/>
    </row>
    <row r="7385" spans="1:2">
      <c r="A7385" s="951"/>
      <c r="B7385" s="951"/>
    </row>
    <row r="7386" spans="1:2">
      <c r="A7386" s="951"/>
      <c r="B7386" s="951"/>
    </row>
    <row r="7387" spans="1:2">
      <c r="A7387" s="951"/>
      <c r="B7387" s="951"/>
    </row>
    <row r="7388" spans="1:2">
      <c r="A7388" s="951"/>
      <c r="B7388" s="951"/>
    </row>
    <row r="7389" spans="1:2">
      <c r="A7389" s="951"/>
      <c r="B7389" s="951"/>
    </row>
    <row r="7390" spans="1:2">
      <c r="A7390" s="951"/>
      <c r="B7390" s="951"/>
    </row>
    <row r="7391" spans="1:2">
      <c r="A7391" s="951"/>
      <c r="B7391" s="951"/>
    </row>
    <row r="7392" spans="1:2">
      <c r="A7392" s="951"/>
      <c r="B7392" s="951"/>
    </row>
    <row r="7393" spans="1:2">
      <c r="A7393" s="951"/>
      <c r="B7393" s="951"/>
    </row>
    <row r="7394" spans="1:2">
      <c r="A7394" s="951"/>
      <c r="B7394" s="951"/>
    </row>
    <row r="7395" spans="1:2">
      <c r="A7395" s="951"/>
      <c r="B7395" s="951"/>
    </row>
    <row r="7396" spans="1:2">
      <c r="A7396" s="951"/>
      <c r="B7396" s="951"/>
    </row>
    <row r="7397" spans="1:2">
      <c r="A7397" s="951"/>
      <c r="B7397" s="951"/>
    </row>
    <row r="7398" spans="1:2">
      <c r="A7398" s="951"/>
      <c r="B7398" s="951"/>
    </row>
    <row r="7399" spans="1:2">
      <c r="A7399" s="951"/>
      <c r="B7399" s="951"/>
    </row>
    <row r="7400" spans="1:2">
      <c r="A7400" s="951"/>
      <c r="B7400" s="951"/>
    </row>
    <row r="7401" spans="1:2">
      <c r="A7401" s="951"/>
      <c r="B7401" s="951"/>
    </row>
    <row r="7402" spans="1:2">
      <c r="A7402" s="951"/>
      <c r="B7402" s="951"/>
    </row>
    <row r="7403" spans="1:2">
      <c r="A7403" s="951"/>
      <c r="B7403" s="951"/>
    </row>
    <row r="7404" spans="1:2">
      <c r="A7404" s="951"/>
      <c r="B7404" s="951"/>
    </row>
    <row r="7405" spans="1:2">
      <c r="A7405" s="951"/>
      <c r="B7405" s="951"/>
    </row>
    <row r="7406" spans="1:2">
      <c r="A7406" s="951"/>
      <c r="B7406" s="951"/>
    </row>
    <row r="7407" spans="1:2">
      <c r="A7407" s="951"/>
      <c r="B7407" s="951"/>
    </row>
    <row r="7408" spans="1:2">
      <c r="A7408" s="951"/>
      <c r="B7408" s="951"/>
    </row>
    <row r="7409" spans="1:2">
      <c r="A7409" s="951"/>
      <c r="B7409" s="951"/>
    </row>
    <row r="7410" spans="1:2">
      <c r="A7410" s="951"/>
      <c r="B7410" s="951"/>
    </row>
    <row r="7411" spans="1:2">
      <c r="A7411" s="951"/>
      <c r="B7411" s="951"/>
    </row>
    <row r="7412" spans="1:2">
      <c r="A7412" s="951"/>
      <c r="B7412" s="951"/>
    </row>
    <row r="7413" spans="1:2">
      <c r="A7413" s="951"/>
      <c r="B7413" s="951"/>
    </row>
    <row r="7414" spans="1:2">
      <c r="A7414" s="951"/>
      <c r="B7414" s="951"/>
    </row>
    <row r="7415" spans="1:2">
      <c r="A7415" s="951"/>
      <c r="B7415" s="951"/>
    </row>
    <row r="7416" spans="1:2">
      <c r="A7416" s="951"/>
      <c r="B7416" s="951"/>
    </row>
    <row r="7417" spans="1:2">
      <c r="A7417" s="951"/>
      <c r="B7417" s="951"/>
    </row>
    <row r="7418" spans="1:2">
      <c r="A7418" s="951"/>
      <c r="B7418" s="951"/>
    </row>
    <row r="7419" spans="1:2">
      <c r="A7419" s="951"/>
      <c r="B7419" s="951"/>
    </row>
    <row r="7420" spans="1:2">
      <c r="A7420" s="951"/>
      <c r="B7420" s="951"/>
    </row>
    <row r="7421" spans="1:2">
      <c r="A7421" s="951"/>
      <c r="B7421" s="951"/>
    </row>
    <row r="7422" spans="1:2">
      <c r="A7422" s="951"/>
      <c r="B7422" s="951"/>
    </row>
    <row r="7423" spans="1:2">
      <c r="A7423" s="951"/>
      <c r="B7423" s="951"/>
    </row>
    <row r="7424" spans="1:2">
      <c r="A7424" s="951"/>
      <c r="B7424" s="951"/>
    </row>
    <row r="7425" spans="1:2">
      <c r="A7425" s="951"/>
      <c r="B7425" s="951"/>
    </row>
    <row r="7426" spans="1:2">
      <c r="A7426" s="951"/>
      <c r="B7426" s="951"/>
    </row>
    <row r="7427" spans="1:2">
      <c r="A7427" s="951"/>
      <c r="B7427" s="951"/>
    </row>
    <row r="7428" spans="1:2">
      <c r="A7428" s="951"/>
      <c r="B7428" s="951"/>
    </row>
    <row r="7429" spans="1:2">
      <c r="A7429" s="951"/>
      <c r="B7429" s="951"/>
    </row>
    <row r="7430" spans="1:2">
      <c r="A7430" s="951"/>
      <c r="B7430" s="951"/>
    </row>
    <row r="7431" spans="1:2">
      <c r="A7431" s="951"/>
      <c r="B7431" s="951"/>
    </row>
    <row r="7432" spans="1:2">
      <c r="A7432" s="951"/>
      <c r="B7432" s="951"/>
    </row>
    <row r="7433" spans="1:2">
      <c r="A7433" s="951"/>
      <c r="B7433" s="951"/>
    </row>
    <row r="7434" spans="1:2">
      <c r="A7434" s="951"/>
      <c r="B7434" s="951"/>
    </row>
    <row r="7435" spans="1:2">
      <c r="A7435" s="951"/>
      <c r="B7435" s="951"/>
    </row>
    <row r="7436" spans="1:2">
      <c r="A7436" s="951"/>
      <c r="B7436" s="951"/>
    </row>
    <row r="7437" spans="1:2">
      <c r="A7437" s="951"/>
      <c r="B7437" s="951"/>
    </row>
    <row r="7438" spans="1:2">
      <c r="A7438" s="951"/>
      <c r="B7438" s="951"/>
    </row>
    <row r="7439" spans="1:2">
      <c r="A7439" s="951"/>
      <c r="B7439" s="951"/>
    </row>
    <row r="7440" spans="1:2">
      <c r="A7440" s="951"/>
      <c r="B7440" s="951"/>
    </row>
    <row r="7441" spans="1:2">
      <c r="A7441" s="951"/>
      <c r="B7441" s="951"/>
    </row>
    <row r="7442" spans="1:2">
      <c r="A7442" s="951"/>
      <c r="B7442" s="951"/>
    </row>
    <row r="7443" spans="1:2">
      <c r="A7443" s="951"/>
      <c r="B7443" s="951"/>
    </row>
    <row r="7444" spans="1:2">
      <c r="A7444" s="951"/>
      <c r="B7444" s="951"/>
    </row>
    <row r="7445" spans="1:2">
      <c r="A7445" s="951"/>
      <c r="B7445" s="951"/>
    </row>
    <row r="7446" spans="1:2">
      <c r="A7446" s="951"/>
      <c r="B7446" s="951"/>
    </row>
    <row r="7447" spans="1:2">
      <c r="A7447" s="951"/>
      <c r="B7447" s="951"/>
    </row>
    <row r="7448" spans="1:2">
      <c r="A7448" s="951"/>
      <c r="B7448" s="951"/>
    </row>
    <row r="7449" spans="1:2">
      <c r="A7449" s="951"/>
      <c r="B7449" s="951"/>
    </row>
    <row r="7450" spans="1:2">
      <c r="A7450" s="951"/>
      <c r="B7450" s="951"/>
    </row>
    <row r="7451" spans="1:2">
      <c r="A7451" s="951"/>
      <c r="B7451" s="951"/>
    </row>
    <row r="7452" spans="1:2">
      <c r="A7452" s="951"/>
      <c r="B7452" s="951"/>
    </row>
    <row r="7453" spans="1:2">
      <c r="A7453" s="951"/>
      <c r="B7453" s="951"/>
    </row>
    <row r="7454" spans="1:2">
      <c r="A7454" s="951"/>
      <c r="B7454" s="951"/>
    </row>
    <row r="7455" spans="1:2">
      <c r="A7455" s="951"/>
      <c r="B7455" s="951"/>
    </row>
    <row r="7456" spans="1:2">
      <c r="A7456" s="951"/>
      <c r="B7456" s="951"/>
    </row>
    <row r="7457" spans="1:2">
      <c r="A7457" s="951"/>
      <c r="B7457" s="951"/>
    </row>
    <row r="7458" spans="1:2">
      <c r="A7458" s="951"/>
      <c r="B7458" s="951"/>
    </row>
    <row r="7459" spans="1:2">
      <c r="A7459" s="951"/>
      <c r="B7459" s="951"/>
    </row>
    <row r="7460" spans="1:2">
      <c r="A7460" s="951"/>
      <c r="B7460" s="951"/>
    </row>
    <row r="7461" spans="1:2">
      <c r="A7461" s="951"/>
      <c r="B7461" s="951"/>
    </row>
    <row r="7462" spans="1:2">
      <c r="A7462" s="951"/>
      <c r="B7462" s="951"/>
    </row>
    <row r="7463" spans="1:2">
      <c r="A7463" s="951"/>
      <c r="B7463" s="951"/>
    </row>
    <row r="7464" spans="1:2">
      <c r="A7464" s="951"/>
      <c r="B7464" s="951"/>
    </row>
    <row r="7465" spans="1:2">
      <c r="A7465" s="951"/>
      <c r="B7465" s="951"/>
    </row>
    <row r="7466" spans="1:2">
      <c r="A7466" s="951"/>
      <c r="B7466" s="951"/>
    </row>
    <row r="7467" spans="1:2">
      <c r="A7467" s="951"/>
      <c r="B7467" s="951"/>
    </row>
    <row r="7468" spans="1:2">
      <c r="A7468" s="951"/>
      <c r="B7468" s="951"/>
    </row>
    <row r="7469" spans="1:2">
      <c r="A7469" s="951"/>
      <c r="B7469" s="951"/>
    </row>
    <row r="7470" spans="1:2">
      <c r="A7470" s="951"/>
      <c r="B7470" s="951"/>
    </row>
    <row r="7471" spans="1:2">
      <c r="A7471" s="951"/>
      <c r="B7471" s="951"/>
    </row>
    <row r="7472" spans="1:2">
      <c r="A7472" s="951"/>
      <c r="B7472" s="951"/>
    </row>
    <row r="7473" spans="1:2">
      <c r="A7473" s="951"/>
      <c r="B7473" s="951"/>
    </row>
    <row r="7474" spans="1:2">
      <c r="A7474" s="951"/>
      <c r="B7474" s="951"/>
    </row>
    <row r="7475" spans="1:2">
      <c r="A7475" s="951"/>
      <c r="B7475" s="951"/>
    </row>
    <row r="7476" spans="1:2">
      <c r="A7476" s="951"/>
      <c r="B7476" s="951"/>
    </row>
    <row r="7477" spans="1:2">
      <c r="A7477" s="951"/>
      <c r="B7477" s="951"/>
    </row>
    <row r="7478" spans="1:2">
      <c r="A7478" s="951"/>
      <c r="B7478" s="951"/>
    </row>
    <row r="7479" spans="1:2">
      <c r="A7479" s="951"/>
      <c r="B7479" s="951"/>
    </row>
    <row r="7480" spans="1:2">
      <c r="A7480" s="951"/>
      <c r="B7480" s="951"/>
    </row>
    <row r="7481" spans="1:2">
      <c r="A7481" s="951"/>
      <c r="B7481" s="951"/>
    </row>
    <row r="7482" spans="1:2">
      <c r="A7482" s="951"/>
      <c r="B7482" s="951"/>
    </row>
    <row r="7483" spans="1:2">
      <c r="A7483" s="951"/>
      <c r="B7483" s="951"/>
    </row>
    <row r="7484" spans="1:2">
      <c r="A7484" s="951"/>
      <c r="B7484" s="951"/>
    </row>
    <row r="7485" spans="1:2">
      <c r="A7485" s="951"/>
      <c r="B7485" s="951"/>
    </row>
    <row r="7486" spans="1:2">
      <c r="A7486" s="951"/>
      <c r="B7486" s="951"/>
    </row>
    <row r="7487" spans="1:2">
      <c r="A7487" s="951"/>
      <c r="B7487" s="951"/>
    </row>
    <row r="7488" spans="1:2">
      <c r="A7488" s="951"/>
      <c r="B7488" s="951"/>
    </row>
    <row r="7489" spans="1:2">
      <c r="A7489" s="951"/>
      <c r="B7489" s="951"/>
    </row>
    <row r="7490" spans="1:2">
      <c r="A7490" s="951"/>
      <c r="B7490" s="951"/>
    </row>
    <row r="7491" spans="1:2">
      <c r="A7491" s="951"/>
      <c r="B7491" s="951"/>
    </row>
    <row r="7492" spans="1:2">
      <c r="A7492" s="951"/>
      <c r="B7492" s="951"/>
    </row>
    <row r="7493" spans="1:2">
      <c r="A7493" s="951"/>
      <c r="B7493" s="951"/>
    </row>
    <row r="7494" spans="1:2">
      <c r="A7494" s="951"/>
      <c r="B7494" s="951"/>
    </row>
    <row r="7495" spans="1:2">
      <c r="A7495" s="951"/>
      <c r="B7495" s="951"/>
    </row>
    <row r="7496" spans="1:2">
      <c r="A7496" s="951"/>
      <c r="B7496" s="951"/>
    </row>
    <row r="7497" spans="1:2">
      <c r="A7497" s="951"/>
      <c r="B7497" s="951"/>
    </row>
    <row r="7498" spans="1:2">
      <c r="A7498" s="951"/>
      <c r="B7498" s="951"/>
    </row>
    <row r="7499" spans="1:2">
      <c r="A7499" s="951"/>
      <c r="B7499" s="951"/>
    </row>
    <row r="7500" spans="1:2">
      <c r="A7500" s="951"/>
      <c r="B7500" s="951"/>
    </row>
    <row r="7501" spans="1:2">
      <c r="A7501" s="951"/>
      <c r="B7501" s="951"/>
    </row>
    <row r="7502" spans="1:2">
      <c r="A7502" s="951"/>
      <c r="B7502" s="951"/>
    </row>
    <row r="7503" spans="1:2">
      <c r="A7503" s="951"/>
      <c r="B7503" s="951"/>
    </row>
    <row r="7504" spans="1:2">
      <c r="A7504" s="951"/>
      <c r="B7504" s="951"/>
    </row>
    <row r="7505" spans="1:2">
      <c r="A7505" s="951"/>
      <c r="B7505" s="951"/>
    </row>
    <row r="7506" spans="1:2">
      <c r="A7506" s="951"/>
      <c r="B7506" s="951"/>
    </row>
    <row r="7507" spans="1:2">
      <c r="A7507" s="951"/>
      <c r="B7507" s="951"/>
    </row>
    <row r="7508" spans="1:2">
      <c r="A7508" s="951"/>
      <c r="B7508" s="951"/>
    </row>
    <row r="7509" spans="1:2">
      <c r="A7509" s="951"/>
      <c r="B7509" s="951"/>
    </row>
    <row r="7510" spans="1:2">
      <c r="A7510" s="951"/>
      <c r="B7510" s="951"/>
    </row>
    <row r="7511" spans="1:2">
      <c r="A7511" s="951"/>
      <c r="B7511" s="951"/>
    </row>
    <row r="7512" spans="1:2">
      <c r="A7512" s="951"/>
      <c r="B7512" s="951"/>
    </row>
    <row r="7513" spans="1:2">
      <c r="A7513" s="951"/>
      <c r="B7513" s="951"/>
    </row>
    <row r="7514" spans="1:2">
      <c r="A7514" s="951"/>
      <c r="B7514" s="951"/>
    </row>
    <row r="7515" spans="1:2">
      <c r="A7515" s="951"/>
      <c r="B7515" s="951"/>
    </row>
    <row r="7516" spans="1:2">
      <c r="A7516" s="951"/>
      <c r="B7516" s="951"/>
    </row>
    <row r="7517" spans="1:2">
      <c r="A7517" s="951"/>
      <c r="B7517" s="951"/>
    </row>
    <row r="7518" spans="1:2">
      <c r="A7518" s="951"/>
      <c r="B7518" s="951"/>
    </row>
    <row r="7519" spans="1:2">
      <c r="A7519" s="951"/>
      <c r="B7519" s="951"/>
    </row>
    <row r="7520" spans="1:2">
      <c r="A7520" s="951"/>
      <c r="B7520" s="951"/>
    </row>
    <row r="7521" spans="1:2">
      <c r="A7521" s="951"/>
      <c r="B7521" s="951"/>
    </row>
    <row r="7522" spans="1:2">
      <c r="A7522" s="951"/>
      <c r="B7522" s="951"/>
    </row>
    <row r="7523" spans="1:2">
      <c r="A7523" s="951"/>
      <c r="B7523" s="951"/>
    </row>
    <row r="7524" spans="1:2">
      <c r="A7524" s="951"/>
      <c r="B7524" s="951"/>
    </row>
    <row r="7525" spans="1:2">
      <c r="A7525" s="951"/>
      <c r="B7525" s="951"/>
    </row>
    <row r="7526" spans="1:2">
      <c r="A7526" s="951"/>
      <c r="B7526" s="951"/>
    </row>
    <row r="7527" spans="1:2">
      <c r="A7527" s="951"/>
      <c r="B7527" s="951"/>
    </row>
    <row r="7528" spans="1:2">
      <c r="A7528" s="951"/>
      <c r="B7528" s="951"/>
    </row>
    <row r="7529" spans="1:2">
      <c r="A7529" s="951"/>
      <c r="B7529" s="951"/>
    </row>
    <row r="7530" spans="1:2">
      <c r="A7530" s="951"/>
      <c r="B7530" s="951"/>
    </row>
    <row r="7531" spans="1:2">
      <c r="A7531" s="951"/>
      <c r="B7531" s="951"/>
    </row>
    <row r="7532" spans="1:2">
      <c r="A7532" s="951"/>
      <c r="B7532" s="951"/>
    </row>
    <row r="7533" spans="1:2">
      <c r="A7533" s="951"/>
      <c r="B7533" s="951"/>
    </row>
    <row r="7534" spans="1:2">
      <c r="A7534" s="951"/>
      <c r="B7534" s="951"/>
    </row>
    <row r="7535" spans="1:2">
      <c r="A7535" s="951"/>
      <c r="B7535" s="951"/>
    </row>
    <row r="7536" spans="1:2">
      <c r="A7536" s="951"/>
      <c r="B7536" s="951"/>
    </row>
    <row r="7537" spans="1:2">
      <c r="A7537" s="951"/>
      <c r="B7537" s="951"/>
    </row>
    <row r="7538" spans="1:2">
      <c r="A7538" s="951"/>
      <c r="B7538" s="951"/>
    </row>
    <row r="7539" spans="1:2">
      <c r="A7539" s="951"/>
      <c r="B7539" s="951"/>
    </row>
    <row r="7540" spans="1:2">
      <c r="A7540" s="951"/>
      <c r="B7540" s="951"/>
    </row>
    <row r="7541" spans="1:2">
      <c r="A7541" s="951"/>
      <c r="B7541" s="951"/>
    </row>
    <row r="7542" spans="1:2">
      <c r="A7542" s="951"/>
      <c r="B7542" s="951"/>
    </row>
    <row r="7543" spans="1:2">
      <c r="A7543" s="951"/>
      <c r="B7543" s="951"/>
    </row>
    <row r="7544" spans="1:2">
      <c r="A7544" s="951"/>
      <c r="B7544" s="951"/>
    </row>
    <row r="7545" spans="1:2">
      <c r="A7545" s="951"/>
      <c r="B7545" s="951"/>
    </row>
    <row r="7546" spans="1:2">
      <c r="A7546" s="951"/>
      <c r="B7546" s="951"/>
    </row>
    <row r="7547" spans="1:2">
      <c r="A7547" s="951"/>
      <c r="B7547" s="951"/>
    </row>
    <row r="7548" spans="1:2">
      <c r="A7548" s="951"/>
      <c r="B7548" s="951"/>
    </row>
    <row r="7549" spans="1:2">
      <c r="A7549" s="951"/>
      <c r="B7549" s="951"/>
    </row>
    <row r="7550" spans="1:2">
      <c r="A7550" s="951"/>
      <c r="B7550" s="951"/>
    </row>
    <row r="7551" spans="1:2">
      <c r="A7551" s="951"/>
      <c r="B7551" s="951"/>
    </row>
    <row r="7552" spans="1:2">
      <c r="A7552" s="951"/>
      <c r="B7552" s="951"/>
    </row>
    <row r="7553" spans="1:2">
      <c r="A7553" s="951"/>
      <c r="B7553" s="951"/>
    </row>
    <row r="7554" spans="1:2">
      <c r="A7554" s="951"/>
      <c r="B7554" s="951"/>
    </row>
    <row r="7555" spans="1:2">
      <c r="A7555" s="951"/>
      <c r="B7555" s="951"/>
    </row>
    <row r="7556" spans="1:2">
      <c r="A7556" s="951"/>
      <c r="B7556" s="951"/>
    </row>
    <row r="7557" spans="1:2">
      <c r="A7557" s="951"/>
      <c r="B7557" s="951"/>
    </row>
    <row r="7558" spans="1:2">
      <c r="A7558" s="951"/>
      <c r="B7558" s="951"/>
    </row>
    <row r="7559" spans="1:2">
      <c r="A7559" s="951"/>
      <c r="B7559" s="951"/>
    </row>
    <row r="7560" spans="1:2">
      <c r="A7560" s="951"/>
      <c r="B7560" s="951"/>
    </row>
    <row r="7561" spans="1:2">
      <c r="A7561" s="951"/>
      <c r="B7561" s="951"/>
    </row>
    <row r="7562" spans="1:2">
      <c r="A7562" s="951"/>
      <c r="B7562" s="951"/>
    </row>
    <row r="7563" spans="1:2">
      <c r="A7563" s="951"/>
      <c r="B7563" s="951"/>
    </row>
    <row r="7564" spans="1:2">
      <c r="A7564" s="951"/>
      <c r="B7564" s="951"/>
    </row>
    <row r="7565" spans="1:2">
      <c r="A7565" s="951"/>
      <c r="B7565" s="951"/>
    </row>
    <row r="7566" spans="1:2">
      <c r="A7566" s="951"/>
      <c r="B7566" s="951"/>
    </row>
    <row r="7567" spans="1:2">
      <c r="A7567" s="951"/>
      <c r="B7567" s="951"/>
    </row>
    <row r="7568" spans="1:2">
      <c r="A7568" s="951"/>
      <c r="B7568" s="951"/>
    </row>
    <row r="7569" spans="1:2">
      <c r="A7569" s="951"/>
      <c r="B7569" s="951"/>
    </row>
    <row r="7570" spans="1:2">
      <c r="A7570" s="951"/>
      <c r="B7570" s="951"/>
    </row>
    <row r="7571" spans="1:2">
      <c r="A7571" s="951"/>
      <c r="B7571" s="951"/>
    </row>
    <row r="7572" spans="1:2">
      <c r="A7572" s="951"/>
      <c r="B7572" s="951"/>
    </row>
    <row r="7573" spans="1:2">
      <c r="A7573" s="951"/>
      <c r="B7573" s="951"/>
    </row>
    <row r="7574" spans="1:2">
      <c r="A7574" s="951"/>
      <c r="B7574" s="951"/>
    </row>
    <row r="7575" spans="1:2">
      <c r="A7575" s="951"/>
      <c r="B7575" s="951"/>
    </row>
    <row r="7576" spans="1:2">
      <c r="A7576" s="951"/>
      <c r="B7576" s="951"/>
    </row>
    <row r="7577" spans="1:2">
      <c r="A7577" s="951"/>
      <c r="B7577" s="951"/>
    </row>
    <row r="7578" spans="1:2">
      <c r="A7578" s="951"/>
      <c r="B7578" s="951"/>
    </row>
    <row r="7579" spans="1:2">
      <c r="A7579" s="951"/>
      <c r="B7579" s="951"/>
    </row>
    <row r="7580" spans="1:2">
      <c r="A7580" s="951"/>
      <c r="B7580" s="951"/>
    </row>
    <row r="7581" spans="1:2">
      <c r="A7581" s="951"/>
      <c r="B7581" s="951"/>
    </row>
    <row r="7582" spans="1:2">
      <c r="A7582" s="951"/>
      <c r="B7582" s="951"/>
    </row>
    <row r="7583" spans="1:2">
      <c r="A7583" s="951"/>
      <c r="B7583" s="951"/>
    </row>
    <row r="7584" spans="1:2">
      <c r="A7584" s="951"/>
      <c r="B7584" s="951"/>
    </row>
    <row r="7585" spans="1:2">
      <c r="A7585" s="951"/>
      <c r="B7585" s="951"/>
    </row>
    <row r="7586" spans="1:2">
      <c r="A7586" s="951"/>
      <c r="B7586" s="951"/>
    </row>
    <row r="7587" spans="1:2">
      <c r="A7587" s="951"/>
      <c r="B7587" s="951"/>
    </row>
    <row r="7588" spans="1:2">
      <c r="A7588" s="951"/>
      <c r="B7588" s="951"/>
    </row>
    <row r="7589" spans="1:2">
      <c r="A7589" s="951"/>
      <c r="B7589" s="951"/>
    </row>
    <row r="7590" spans="1:2">
      <c r="A7590" s="951"/>
      <c r="B7590" s="951"/>
    </row>
    <row r="7591" spans="1:2">
      <c r="A7591" s="951"/>
      <c r="B7591" s="951"/>
    </row>
    <row r="7592" spans="1:2">
      <c r="A7592" s="951"/>
      <c r="B7592" s="951"/>
    </row>
    <row r="7593" spans="1:2">
      <c r="A7593" s="951"/>
      <c r="B7593" s="951"/>
    </row>
    <row r="7594" spans="1:2">
      <c r="A7594" s="951"/>
      <c r="B7594" s="951"/>
    </row>
    <row r="7595" spans="1:2">
      <c r="A7595" s="951"/>
      <c r="B7595" s="951"/>
    </row>
    <row r="7596" spans="1:2">
      <c r="A7596" s="951"/>
      <c r="B7596" s="951"/>
    </row>
    <row r="7597" spans="1:2">
      <c r="A7597" s="951"/>
      <c r="B7597" s="951"/>
    </row>
    <row r="7598" spans="1:2">
      <c r="A7598" s="951"/>
      <c r="B7598" s="951"/>
    </row>
    <row r="7599" spans="1:2">
      <c r="A7599" s="951"/>
      <c r="B7599" s="951"/>
    </row>
    <row r="7600" spans="1:2">
      <c r="A7600" s="951"/>
      <c r="B7600" s="951"/>
    </row>
    <row r="7601" spans="1:2">
      <c r="A7601" s="951"/>
      <c r="B7601" s="951"/>
    </row>
    <row r="7602" spans="1:2">
      <c r="A7602" s="951"/>
      <c r="B7602" s="951"/>
    </row>
    <row r="7603" spans="1:2">
      <c r="A7603" s="951"/>
      <c r="B7603" s="951"/>
    </row>
    <row r="7604" spans="1:2">
      <c r="A7604" s="951"/>
      <c r="B7604" s="951"/>
    </row>
    <row r="7605" spans="1:2">
      <c r="A7605" s="951"/>
      <c r="B7605" s="951"/>
    </row>
    <row r="7606" spans="1:2">
      <c r="A7606" s="951"/>
      <c r="B7606" s="951"/>
    </row>
    <row r="7607" spans="1:2">
      <c r="A7607" s="951"/>
      <c r="B7607" s="951"/>
    </row>
    <row r="7608" spans="1:2">
      <c r="A7608" s="951"/>
      <c r="B7608" s="951"/>
    </row>
    <row r="7609" spans="1:2">
      <c r="A7609" s="951"/>
      <c r="B7609" s="951"/>
    </row>
    <row r="7610" spans="1:2">
      <c r="A7610" s="951"/>
      <c r="B7610" s="951"/>
    </row>
    <row r="7611" spans="1:2">
      <c r="A7611" s="951"/>
      <c r="B7611" s="951"/>
    </row>
    <row r="7612" spans="1:2">
      <c r="A7612" s="951"/>
      <c r="B7612" s="951"/>
    </row>
    <row r="7613" spans="1:2">
      <c r="A7613" s="951"/>
      <c r="B7613" s="951"/>
    </row>
    <row r="7614" spans="1:2">
      <c r="A7614" s="951"/>
      <c r="B7614" s="951"/>
    </row>
    <row r="7615" spans="1:2">
      <c r="A7615" s="951"/>
      <c r="B7615" s="951"/>
    </row>
    <row r="7616" spans="1:2">
      <c r="A7616" s="951"/>
      <c r="B7616" s="951"/>
    </row>
    <row r="7617" spans="1:2">
      <c r="A7617" s="951"/>
      <c r="B7617" s="951"/>
    </row>
    <row r="7618" spans="1:2">
      <c r="A7618" s="951"/>
      <c r="B7618" s="951"/>
    </row>
    <row r="7619" spans="1:2">
      <c r="A7619" s="951"/>
      <c r="B7619" s="951"/>
    </row>
    <row r="7620" spans="1:2">
      <c r="A7620" s="951"/>
      <c r="B7620" s="951"/>
    </row>
    <row r="7621" spans="1:2">
      <c r="A7621" s="951"/>
      <c r="B7621" s="951"/>
    </row>
    <row r="7622" spans="1:2">
      <c r="A7622" s="951"/>
      <c r="B7622" s="951"/>
    </row>
    <row r="7623" spans="1:2">
      <c r="A7623" s="951"/>
      <c r="B7623" s="951"/>
    </row>
    <row r="7624" spans="1:2">
      <c r="A7624" s="951"/>
      <c r="B7624" s="951"/>
    </row>
    <row r="7625" spans="1:2">
      <c r="A7625" s="951"/>
      <c r="B7625" s="951"/>
    </row>
    <row r="7626" spans="1:2">
      <c r="A7626" s="951"/>
      <c r="B7626" s="951"/>
    </row>
    <row r="7627" spans="1:2">
      <c r="A7627" s="951"/>
      <c r="B7627" s="951"/>
    </row>
    <row r="7628" spans="1:2">
      <c r="A7628" s="951"/>
      <c r="B7628" s="951"/>
    </row>
    <row r="7629" spans="1:2">
      <c r="A7629" s="951"/>
      <c r="B7629" s="951"/>
    </row>
    <row r="7630" spans="1:2">
      <c r="A7630" s="951"/>
      <c r="B7630" s="951"/>
    </row>
    <row r="7631" spans="1:2">
      <c r="A7631" s="951"/>
      <c r="B7631" s="951"/>
    </row>
    <row r="7632" spans="1:2">
      <c r="A7632" s="951"/>
      <c r="B7632" s="951"/>
    </row>
    <row r="7633" spans="1:2">
      <c r="A7633" s="951"/>
      <c r="B7633" s="951"/>
    </row>
    <row r="7634" spans="1:2">
      <c r="A7634" s="951"/>
      <c r="B7634" s="951"/>
    </row>
    <row r="7635" spans="1:2">
      <c r="A7635" s="951"/>
      <c r="B7635" s="951"/>
    </row>
    <row r="7636" spans="1:2">
      <c r="A7636" s="951"/>
      <c r="B7636" s="951"/>
    </row>
    <row r="7637" spans="1:2">
      <c r="A7637" s="951"/>
      <c r="B7637" s="951"/>
    </row>
    <row r="7638" spans="1:2">
      <c r="A7638" s="951"/>
      <c r="B7638" s="951"/>
    </row>
    <row r="7639" spans="1:2">
      <c r="A7639" s="951"/>
      <c r="B7639" s="951"/>
    </row>
    <row r="7640" spans="1:2">
      <c r="A7640" s="951"/>
      <c r="B7640" s="951"/>
    </row>
    <row r="7641" spans="1:2">
      <c r="A7641" s="951"/>
      <c r="B7641" s="951"/>
    </row>
    <row r="7642" spans="1:2">
      <c r="A7642" s="951"/>
      <c r="B7642" s="951"/>
    </row>
    <row r="7643" spans="1:2">
      <c r="A7643" s="951"/>
      <c r="B7643" s="951"/>
    </row>
    <row r="7644" spans="1:2">
      <c r="A7644" s="951"/>
      <c r="B7644" s="951"/>
    </row>
    <row r="7645" spans="1:2">
      <c r="A7645" s="951"/>
      <c r="B7645" s="951"/>
    </row>
    <row r="7646" spans="1:2">
      <c r="A7646" s="951"/>
      <c r="B7646" s="951"/>
    </row>
    <row r="7647" spans="1:2">
      <c r="A7647" s="951"/>
      <c r="B7647" s="951"/>
    </row>
    <row r="7648" spans="1:2">
      <c r="A7648" s="951"/>
      <c r="B7648" s="951"/>
    </row>
    <row r="7649" spans="1:2">
      <c r="A7649" s="951"/>
      <c r="B7649" s="951"/>
    </row>
    <row r="7650" spans="1:2">
      <c r="A7650" s="951"/>
      <c r="B7650" s="951"/>
    </row>
    <row r="7651" spans="1:2">
      <c r="A7651" s="951"/>
      <c r="B7651" s="951"/>
    </row>
    <row r="7652" spans="1:2">
      <c r="A7652" s="951"/>
      <c r="B7652" s="951"/>
    </row>
    <row r="7653" spans="1:2">
      <c r="A7653" s="951"/>
      <c r="B7653" s="951"/>
    </row>
    <row r="7654" spans="1:2">
      <c r="A7654" s="951"/>
      <c r="B7654" s="951"/>
    </row>
    <row r="7655" spans="1:2">
      <c r="A7655" s="951"/>
      <c r="B7655" s="951"/>
    </row>
    <row r="7656" spans="1:2">
      <c r="A7656" s="951"/>
      <c r="B7656" s="951"/>
    </row>
    <row r="7657" spans="1:2">
      <c r="A7657" s="951"/>
      <c r="B7657" s="951"/>
    </row>
    <row r="7658" spans="1:2">
      <c r="A7658" s="951"/>
      <c r="B7658" s="951"/>
    </row>
    <row r="7659" spans="1:2">
      <c r="A7659" s="951"/>
      <c r="B7659" s="951"/>
    </row>
    <row r="7660" spans="1:2">
      <c r="A7660" s="951"/>
      <c r="B7660" s="951"/>
    </row>
    <row r="7661" spans="1:2">
      <c r="A7661" s="951"/>
      <c r="B7661" s="951"/>
    </row>
    <row r="7662" spans="1:2">
      <c r="A7662" s="951"/>
      <c r="B7662" s="951"/>
    </row>
    <row r="7663" spans="1:2">
      <c r="A7663" s="951"/>
      <c r="B7663" s="951"/>
    </row>
    <row r="7664" spans="1:2">
      <c r="A7664" s="951"/>
      <c r="B7664" s="951"/>
    </row>
    <row r="7665" spans="1:2">
      <c r="A7665" s="951"/>
      <c r="B7665" s="951"/>
    </row>
    <row r="7666" spans="1:2">
      <c r="A7666" s="951"/>
      <c r="B7666" s="951"/>
    </row>
    <row r="7667" spans="1:2">
      <c r="A7667" s="951"/>
      <c r="B7667" s="951"/>
    </row>
    <row r="7668" spans="1:2">
      <c r="A7668" s="951"/>
      <c r="B7668" s="951"/>
    </row>
    <row r="7669" spans="1:2">
      <c r="A7669" s="951"/>
      <c r="B7669" s="951"/>
    </row>
    <row r="7670" spans="1:2">
      <c r="A7670" s="951"/>
      <c r="B7670" s="951"/>
    </row>
    <row r="7671" spans="1:2">
      <c r="A7671" s="951"/>
      <c r="B7671" s="951"/>
    </row>
    <row r="7672" spans="1:2">
      <c r="A7672" s="951"/>
      <c r="B7672" s="951"/>
    </row>
    <row r="7673" spans="1:2">
      <c r="A7673" s="951"/>
      <c r="B7673" s="951"/>
    </row>
    <row r="7674" spans="1:2">
      <c r="A7674" s="951"/>
      <c r="B7674" s="951"/>
    </row>
    <row r="7675" spans="1:2">
      <c r="A7675" s="951"/>
      <c r="B7675" s="951"/>
    </row>
    <row r="7676" spans="1:2">
      <c r="A7676" s="951"/>
      <c r="B7676" s="951"/>
    </row>
    <row r="7677" spans="1:2">
      <c r="A7677" s="951"/>
      <c r="B7677" s="951"/>
    </row>
    <row r="7678" spans="1:2">
      <c r="A7678" s="951"/>
      <c r="B7678" s="951"/>
    </row>
    <row r="7679" spans="1:2">
      <c r="A7679" s="951"/>
      <c r="B7679" s="951"/>
    </row>
    <row r="7680" spans="1:2">
      <c r="A7680" s="951"/>
      <c r="B7680" s="951"/>
    </row>
    <row r="7681" spans="1:2">
      <c r="A7681" s="951"/>
      <c r="B7681" s="951"/>
    </row>
    <row r="7682" spans="1:2">
      <c r="A7682" s="951"/>
      <c r="B7682" s="951"/>
    </row>
    <row r="7683" spans="1:2">
      <c r="A7683" s="951"/>
      <c r="B7683" s="951"/>
    </row>
    <row r="7684" spans="1:2">
      <c r="A7684" s="951"/>
      <c r="B7684" s="951"/>
    </row>
    <row r="7685" spans="1:2">
      <c r="A7685" s="951"/>
      <c r="B7685" s="951"/>
    </row>
    <row r="7686" spans="1:2">
      <c r="A7686" s="951"/>
      <c r="B7686" s="951"/>
    </row>
    <row r="7687" spans="1:2">
      <c r="A7687" s="951"/>
      <c r="B7687" s="951"/>
    </row>
    <row r="7688" spans="1:2">
      <c r="A7688" s="951"/>
      <c r="B7688" s="951"/>
    </row>
    <row r="7689" spans="1:2">
      <c r="A7689" s="951"/>
      <c r="B7689" s="951"/>
    </row>
    <row r="7690" spans="1:2">
      <c r="A7690" s="951"/>
      <c r="B7690" s="951"/>
    </row>
    <row r="7691" spans="1:2">
      <c r="A7691" s="951"/>
      <c r="B7691" s="951"/>
    </row>
    <row r="7692" spans="1:2">
      <c r="A7692" s="951"/>
      <c r="B7692" s="951"/>
    </row>
    <row r="7693" spans="1:2">
      <c r="A7693" s="951"/>
      <c r="B7693" s="951"/>
    </row>
    <row r="7694" spans="1:2">
      <c r="A7694" s="951"/>
      <c r="B7694" s="951"/>
    </row>
    <row r="7695" spans="1:2">
      <c r="A7695" s="951"/>
      <c r="B7695" s="951"/>
    </row>
    <row r="7696" spans="1:2">
      <c r="A7696" s="951"/>
      <c r="B7696" s="951"/>
    </row>
    <row r="7697" spans="1:2">
      <c r="A7697" s="951"/>
      <c r="B7697" s="951"/>
    </row>
    <row r="7698" spans="1:2">
      <c r="A7698" s="951"/>
      <c r="B7698" s="951"/>
    </row>
    <row r="7699" spans="1:2">
      <c r="A7699" s="951"/>
      <c r="B7699" s="951"/>
    </row>
    <row r="7700" spans="1:2">
      <c r="A7700" s="951"/>
      <c r="B7700" s="951"/>
    </row>
    <row r="7701" spans="1:2">
      <c r="A7701" s="951"/>
      <c r="B7701" s="951"/>
    </row>
    <row r="7702" spans="1:2">
      <c r="A7702" s="951"/>
      <c r="B7702" s="951"/>
    </row>
    <row r="7703" spans="1:2">
      <c r="A7703" s="951"/>
      <c r="B7703" s="951"/>
    </row>
    <row r="7704" spans="1:2">
      <c r="A7704" s="951"/>
      <c r="B7704" s="951"/>
    </row>
    <row r="7705" spans="1:2">
      <c r="A7705" s="951"/>
      <c r="B7705" s="951"/>
    </row>
    <row r="7706" spans="1:2">
      <c r="A7706" s="951"/>
      <c r="B7706" s="951"/>
    </row>
    <row r="7707" spans="1:2">
      <c r="A7707" s="951"/>
      <c r="B7707" s="951"/>
    </row>
    <row r="7708" spans="1:2">
      <c r="A7708" s="951"/>
      <c r="B7708" s="951"/>
    </row>
    <row r="7709" spans="1:2">
      <c r="A7709" s="951"/>
      <c r="B7709" s="951"/>
    </row>
    <row r="7710" spans="1:2">
      <c r="A7710" s="951"/>
      <c r="B7710" s="951"/>
    </row>
    <row r="7711" spans="1:2">
      <c r="A7711" s="951"/>
      <c r="B7711" s="951"/>
    </row>
    <row r="7712" spans="1:2">
      <c r="A7712" s="951"/>
      <c r="B7712" s="951"/>
    </row>
    <row r="7713" spans="1:2">
      <c r="A7713" s="951"/>
      <c r="B7713" s="951"/>
    </row>
    <row r="7714" spans="1:2">
      <c r="A7714" s="951"/>
      <c r="B7714" s="951"/>
    </row>
    <row r="7715" spans="1:2">
      <c r="A7715" s="951"/>
      <c r="B7715" s="951"/>
    </row>
    <row r="7716" spans="1:2">
      <c r="A7716" s="951"/>
      <c r="B7716" s="951"/>
    </row>
    <row r="7717" spans="1:2">
      <c r="A7717" s="951"/>
      <c r="B7717" s="951"/>
    </row>
    <row r="7718" spans="1:2">
      <c r="A7718" s="951"/>
      <c r="B7718" s="951"/>
    </row>
    <row r="7719" spans="1:2">
      <c r="A7719" s="951"/>
      <c r="B7719" s="951"/>
    </row>
    <row r="7720" spans="1:2">
      <c r="A7720" s="951"/>
      <c r="B7720" s="951"/>
    </row>
    <row r="7721" spans="1:2">
      <c r="A7721" s="951"/>
      <c r="B7721" s="951"/>
    </row>
    <row r="7722" spans="1:2">
      <c r="A7722" s="951"/>
      <c r="B7722" s="951"/>
    </row>
    <row r="7723" spans="1:2">
      <c r="A7723" s="951"/>
      <c r="B7723" s="951"/>
    </row>
    <row r="7724" spans="1:2">
      <c r="A7724" s="951"/>
      <c r="B7724" s="951"/>
    </row>
    <row r="7725" spans="1:2">
      <c r="A7725" s="951"/>
      <c r="B7725" s="951"/>
    </row>
    <row r="7726" spans="1:2">
      <c r="A7726" s="951"/>
      <c r="B7726" s="951"/>
    </row>
    <row r="7727" spans="1:2">
      <c r="A7727" s="951"/>
      <c r="B7727" s="951"/>
    </row>
    <row r="7728" spans="1:2">
      <c r="A7728" s="951"/>
      <c r="B7728" s="951"/>
    </row>
    <row r="7729" spans="1:2">
      <c r="A7729" s="951"/>
      <c r="B7729" s="951"/>
    </row>
    <row r="7730" spans="1:2">
      <c r="A7730" s="951"/>
      <c r="B7730" s="951"/>
    </row>
    <row r="7731" spans="1:2">
      <c r="A7731" s="951"/>
      <c r="B7731" s="951"/>
    </row>
    <row r="7732" spans="1:2">
      <c r="A7732" s="951"/>
      <c r="B7732" s="951"/>
    </row>
    <row r="7733" spans="1:2">
      <c r="A7733" s="951"/>
      <c r="B7733" s="951"/>
    </row>
    <row r="7734" spans="1:2">
      <c r="A7734" s="951"/>
      <c r="B7734" s="951"/>
    </row>
    <row r="7735" spans="1:2">
      <c r="A7735" s="951"/>
      <c r="B7735" s="951"/>
    </row>
    <row r="7736" spans="1:2">
      <c r="A7736" s="951"/>
      <c r="B7736" s="951"/>
    </row>
    <row r="7737" spans="1:2">
      <c r="A7737" s="951"/>
      <c r="B7737" s="951"/>
    </row>
    <row r="7738" spans="1:2">
      <c r="A7738" s="951"/>
      <c r="B7738" s="951"/>
    </row>
    <row r="7739" spans="1:2">
      <c r="A7739" s="951"/>
      <c r="B7739" s="951"/>
    </row>
    <row r="7740" spans="1:2">
      <c r="A7740" s="951"/>
      <c r="B7740" s="951"/>
    </row>
    <row r="7741" spans="1:2">
      <c r="A7741" s="951"/>
      <c r="B7741" s="951"/>
    </row>
    <row r="7742" spans="1:2">
      <c r="A7742" s="951"/>
      <c r="B7742" s="951"/>
    </row>
    <row r="7743" spans="1:2">
      <c r="A7743" s="951"/>
      <c r="B7743" s="951"/>
    </row>
    <row r="7744" spans="1:2">
      <c r="A7744" s="951"/>
      <c r="B7744" s="951"/>
    </row>
    <row r="7745" spans="1:2">
      <c r="A7745" s="951"/>
      <c r="B7745" s="951"/>
    </row>
    <row r="7746" spans="1:2">
      <c r="A7746" s="951"/>
      <c r="B7746" s="951"/>
    </row>
    <row r="7747" spans="1:2">
      <c r="A7747" s="951"/>
      <c r="B7747" s="951"/>
    </row>
    <row r="7748" spans="1:2">
      <c r="A7748" s="951"/>
      <c r="B7748" s="951"/>
    </row>
    <row r="7749" spans="1:2">
      <c r="A7749" s="951"/>
      <c r="B7749" s="951"/>
    </row>
    <row r="7750" spans="1:2">
      <c r="A7750" s="951"/>
      <c r="B7750" s="951"/>
    </row>
    <row r="7751" spans="1:2">
      <c r="A7751" s="951"/>
      <c r="B7751" s="951"/>
    </row>
    <row r="7752" spans="1:2">
      <c r="A7752" s="951"/>
      <c r="B7752" s="951"/>
    </row>
    <row r="7753" spans="1:2">
      <c r="A7753" s="951"/>
      <c r="B7753" s="951"/>
    </row>
    <row r="7754" spans="1:2">
      <c r="A7754" s="951"/>
      <c r="B7754" s="951"/>
    </row>
    <row r="7755" spans="1:2">
      <c r="A7755" s="951"/>
      <c r="B7755" s="951"/>
    </row>
    <row r="7756" spans="1:2">
      <c r="A7756" s="951"/>
      <c r="B7756" s="951"/>
    </row>
    <row r="7757" spans="1:2">
      <c r="A7757" s="951"/>
      <c r="B7757" s="951"/>
    </row>
    <row r="7758" spans="1:2">
      <c r="A7758" s="951"/>
      <c r="B7758" s="951"/>
    </row>
    <row r="7759" spans="1:2">
      <c r="A7759" s="951"/>
      <c r="B7759" s="951"/>
    </row>
    <row r="7760" spans="1:2">
      <c r="A7760" s="951"/>
      <c r="B7760" s="951"/>
    </row>
    <row r="7761" spans="1:2">
      <c r="A7761" s="951"/>
      <c r="B7761" s="951"/>
    </row>
    <row r="7762" spans="1:2">
      <c r="A7762" s="951"/>
      <c r="B7762" s="951"/>
    </row>
    <row r="7763" spans="1:2">
      <c r="A7763" s="951"/>
      <c r="B7763" s="951"/>
    </row>
    <row r="7764" spans="1:2">
      <c r="A7764" s="951"/>
      <c r="B7764" s="951"/>
    </row>
    <row r="7765" spans="1:2">
      <c r="A7765" s="951"/>
      <c r="B7765" s="951"/>
    </row>
    <row r="7766" spans="1:2">
      <c r="A7766" s="951"/>
      <c r="B7766" s="951"/>
    </row>
    <row r="7767" spans="1:2">
      <c r="A7767" s="951"/>
      <c r="B7767" s="951"/>
    </row>
    <row r="7768" spans="1:2">
      <c r="A7768" s="951"/>
      <c r="B7768" s="951"/>
    </row>
    <row r="7769" spans="1:2">
      <c r="A7769" s="951"/>
      <c r="B7769" s="951"/>
    </row>
    <row r="7770" spans="1:2">
      <c r="A7770" s="951"/>
      <c r="B7770" s="951"/>
    </row>
    <row r="7771" spans="1:2">
      <c r="A7771" s="951"/>
      <c r="B7771" s="951"/>
    </row>
    <row r="7772" spans="1:2">
      <c r="A7772" s="951"/>
      <c r="B7772" s="951"/>
    </row>
    <row r="7773" spans="1:2">
      <c r="A7773" s="951"/>
      <c r="B7773" s="951"/>
    </row>
    <row r="7774" spans="1:2">
      <c r="A7774" s="951"/>
      <c r="B7774" s="951"/>
    </row>
    <row r="7775" spans="1:2">
      <c r="A7775" s="951"/>
      <c r="B7775" s="951"/>
    </row>
    <row r="7776" spans="1:2">
      <c r="A7776" s="951"/>
      <c r="B7776" s="951"/>
    </row>
    <row r="7777" spans="1:2">
      <c r="A7777" s="951"/>
      <c r="B7777" s="951"/>
    </row>
    <row r="7778" spans="1:2">
      <c r="A7778" s="951"/>
      <c r="B7778" s="951"/>
    </row>
    <row r="7779" spans="1:2">
      <c r="A7779" s="951"/>
      <c r="B7779" s="951"/>
    </row>
    <row r="7780" spans="1:2">
      <c r="A7780" s="951"/>
      <c r="B7780" s="951"/>
    </row>
    <row r="7781" spans="1:2">
      <c r="A7781" s="951"/>
      <c r="B7781" s="951"/>
    </row>
    <row r="7782" spans="1:2">
      <c r="A7782" s="951"/>
      <c r="B7782" s="951"/>
    </row>
    <row r="7783" spans="1:2">
      <c r="A7783" s="951"/>
      <c r="B7783" s="951"/>
    </row>
    <row r="7784" spans="1:2">
      <c r="A7784" s="951"/>
      <c r="B7784" s="951"/>
    </row>
    <row r="7785" spans="1:2">
      <c r="A7785" s="951"/>
      <c r="B7785" s="951"/>
    </row>
    <row r="7786" spans="1:2">
      <c r="A7786" s="951"/>
      <c r="B7786" s="951"/>
    </row>
    <row r="7787" spans="1:2">
      <c r="A7787" s="951"/>
      <c r="B7787" s="951"/>
    </row>
    <row r="7788" spans="1:2">
      <c r="A7788" s="951"/>
      <c r="B7788" s="951"/>
    </row>
    <row r="7789" spans="1:2">
      <c r="A7789" s="951"/>
      <c r="B7789" s="951"/>
    </row>
    <row r="7790" spans="1:2">
      <c r="A7790" s="951"/>
      <c r="B7790" s="951"/>
    </row>
    <row r="7791" spans="1:2">
      <c r="A7791" s="951"/>
      <c r="B7791" s="951"/>
    </row>
    <row r="7792" spans="1:2">
      <c r="A7792" s="951"/>
      <c r="B7792" s="951"/>
    </row>
    <row r="7793" spans="1:2">
      <c r="A7793" s="951"/>
      <c r="B7793" s="951"/>
    </row>
    <row r="7794" spans="1:2">
      <c r="A7794" s="951"/>
      <c r="B7794" s="951"/>
    </row>
    <row r="7795" spans="1:2">
      <c r="A7795" s="951"/>
      <c r="B7795" s="951"/>
    </row>
    <row r="7796" spans="1:2">
      <c r="A7796" s="951"/>
      <c r="B7796" s="951"/>
    </row>
    <row r="7797" spans="1:2">
      <c r="A7797" s="951"/>
      <c r="B7797" s="951"/>
    </row>
    <row r="7798" spans="1:2">
      <c r="A7798" s="951"/>
      <c r="B7798" s="951"/>
    </row>
    <row r="7799" spans="1:2">
      <c r="A7799" s="951"/>
      <c r="B7799" s="951"/>
    </row>
    <row r="7800" spans="1:2">
      <c r="A7800" s="951"/>
      <c r="B7800" s="951"/>
    </row>
    <row r="7801" spans="1:2">
      <c r="A7801" s="951"/>
      <c r="B7801" s="951"/>
    </row>
    <row r="7802" spans="1:2">
      <c r="A7802" s="951"/>
      <c r="B7802" s="951"/>
    </row>
    <row r="7803" spans="1:2">
      <c r="A7803" s="951"/>
      <c r="B7803" s="951"/>
    </row>
    <row r="7804" spans="1:2">
      <c r="A7804" s="951"/>
      <c r="B7804" s="951"/>
    </row>
    <row r="7805" spans="1:2">
      <c r="A7805" s="951"/>
      <c r="B7805" s="951"/>
    </row>
    <row r="7806" spans="1:2">
      <c r="A7806" s="951"/>
      <c r="B7806" s="951"/>
    </row>
    <row r="7807" spans="1:2">
      <c r="A7807" s="951"/>
      <c r="B7807" s="951"/>
    </row>
    <row r="7808" spans="1:2">
      <c r="A7808" s="951"/>
      <c r="B7808" s="951"/>
    </row>
    <row r="7809" spans="1:2">
      <c r="A7809" s="951"/>
      <c r="B7809" s="951"/>
    </row>
    <row r="7810" spans="1:2">
      <c r="A7810" s="951"/>
      <c r="B7810" s="951"/>
    </row>
    <row r="7811" spans="1:2">
      <c r="A7811" s="951"/>
      <c r="B7811" s="951"/>
    </row>
    <row r="7812" spans="1:2">
      <c r="A7812" s="951"/>
      <c r="B7812" s="951"/>
    </row>
    <row r="7813" spans="1:2">
      <c r="A7813" s="951"/>
      <c r="B7813" s="951"/>
    </row>
    <row r="7814" spans="1:2">
      <c r="A7814" s="951"/>
      <c r="B7814" s="951"/>
    </row>
    <row r="7815" spans="1:2">
      <c r="A7815" s="951"/>
      <c r="B7815" s="951"/>
    </row>
    <row r="7816" spans="1:2">
      <c r="A7816" s="951"/>
      <c r="B7816" s="951"/>
    </row>
    <row r="7817" spans="1:2">
      <c r="A7817" s="951"/>
      <c r="B7817" s="951"/>
    </row>
    <row r="7818" spans="1:2">
      <c r="A7818" s="951"/>
      <c r="B7818" s="951"/>
    </row>
    <row r="7819" spans="1:2">
      <c r="A7819" s="951"/>
      <c r="B7819" s="951"/>
    </row>
    <row r="7820" spans="1:2">
      <c r="A7820" s="951"/>
      <c r="B7820" s="951"/>
    </row>
    <row r="7821" spans="1:2">
      <c r="A7821" s="951"/>
      <c r="B7821" s="951"/>
    </row>
    <row r="7822" spans="1:2">
      <c r="A7822" s="951"/>
      <c r="B7822" s="951"/>
    </row>
    <row r="7823" spans="1:2">
      <c r="A7823" s="951"/>
      <c r="B7823" s="951"/>
    </row>
    <row r="7824" spans="1:2">
      <c r="A7824" s="951"/>
      <c r="B7824" s="951"/>
    </row>
    <row r="7825" spans="1:2">
      <c r="A7825" s="951"/>
      <c r="B7825" s="951"/>
    </row>
    <row r="7826" spans="1:2">
      <c r="A7826" s="951"/>
      <c r="B7826" s="951"/>
    </row>
    <row r="7827" spans="1:2">
      <c r="A7827" s="951"/>
      <c r="B7827" s="951"/>
    </row>
    <row r="7828" spans="1:2">
      <c r="A7828" s="951"/>
      <c r="B7828" s="951"/>
    </row>
    <row r="7829" spans="1:2">
      <c r="A7829" s="951"/>
      <c r="B7829" s="951"/>
    </row>
    <row r="7830" spans="1:2">
      <c r="A7830" s="951"/>
      <c r="B7830" s="951"/>
    </row>
    <row r="7831" spans="1:2">
      <c r="A7831" s="951"/>
      <c r="B7831" s="951"/>
    </row>
    <row r="7832" spans="1:2">
      <c r="A7832" s="951"/>
      <c r="B7832" s="951"/>
    </row>
    <row r="7833" spans="1:2">
      <c r="A7833" s="951"/>
      <c r="B7833" s="951"/>
    </row>
    <row r="7834" spans="1:2">
      <c r="A7834" s="951"/>
      <c r="B7834" s="951"/>
    </row>
    <row r="7835" spans="1:2">
      <c r="A7835" s="951"/>
      <c r="B7835" s="951"/>
    </row>
    <row r="7836" spans="1:2">
      <c r="A7836" s="951"/>
      <c r="B7836" s="951"/>
    </row>
    <row r="7837" spans="1:2">
      <c r="A7837" s="951"/>
      <c r="B7837" s="951"/>
    </row>
    <row r="7838" spans="1:2">
      <c r="A7838" s="951"/>
      <c r="B7838" s="951"/>
    </row>
    <row r="7839" spans="1:2">
      <c r="A7839" s="951"/>
      <c r="B7839" s="951"/>
    </row>
    <row r="7840" spans="1:2">
      <c r="A7840" s="951"/>
      <c r="B7840" s="951"/>
    </row>
    <row r="7841" spans="1:2">
      <c r="A7841" s="951"/>
      <c r="B7841" s="951"/>
    </row>
    <row r="7842" spans="1:2">
      <c r="A7842" s="951"/>
      <c r="B7842" s="951"/>
    </row>
    <row r="7843" spans="1:2">
      <c r="A7843" s="951"/>
      <c r="B7843" s="951"/>
    </row>
    <row r="7844" spans="1:2">
      <c r="A7844" s="951"/>
      <c r="B7844" s="951"/>
    </row>
    <row r="7845" spans="1:2">
      <c r="A7845" s="951"/>
      <c r="B7845" s="951"/>
    </row>
    <row r="7846" spans="1:2">
      <c r="A7846" s="951"/>
      <c r="B7846" s="951"/>
    </row>
    <row r="7847" spans="1:2">
      <c r="A7847" s="951"/>
      <c r="B7847" s="951"/>
    </row>
    <row r="7848" spans="1:2">
      <c r="A7848" s="951"/>
      <c r="B7848" s="951"/>
    </row>
    <row r="7849" spans="1:2">
      <c r="A7849" s="951"/>
      <c r="B7849" s="951"/>
    </row>
    <row r="7850" spans="1:2">
      <c r="A7850" s="951"/>
      <c r="B7850" s="951"/>
    </row>
    <row r="7851" spans="1:2">
      <c r="A7851" s="951"/>
      <c r="B7851" s="951"/>
    </row>
    <row r="7852" spans="1:2">
      <c r="A7852" s="951"/>
      <c r="B7852" s="951"/>
    </row>
    <row r="7853" spans="1:2">
      <c r="A7853" s="951"/>
      <c r="B7853" s="951"/>
    </row>
    <row r="7854" spans="1:2">
      <c r="A7854" s="951"/>
      <c r="B7854" s="951"/>
    </row>
    <row r="7855" spans="1:2">
      <c r="A7855" s="951"/>
      <c r="B7855" s="951"/>
    </row>
    <row r="7856" spans="1:2">
      <c r="A7856" s="951"/>
      <c r="B7856" s="951"/>
    </row>
    <row r="7857" spans="1:2">
      <c r="A7857" s="951"/>
      <c r="B7857" s="951"/>
    </row>
    <row r="7858" spans="1:2">
      <c r="A7858" s="951"/>
      <c r="B7858" s="951"/>
    </row>
    <row r="7859" spans="1:2">
      <c r="A7859" s="951"/>
      <c r="B7859" s="951"/>
    </row>
    <row r="7860" spans="1:2">
      <c r="A7860" s="951"/>
      <c r="B7860" s="951"/>
    </row>
    <row r="7861" spans="1:2">
      <c r="A7861" s="951"/>
      <c r="B7861" s="951"/>
    </row>
    <row r="7862" spans="1:2">
      <c r="A7862" s="951"/>
      <c r="B7862" s="951"/>
    </row>
    <row r="7863" spans="1:2">
      <c r="A7863" s="951"/>
      <c r="B7863" s="951"/>
    </row>
    <row r="7864" spans="1:2">
      <c r="A7864" s="951"/>
      <c r="B7864" s="951"/>
    </row>
    <row r="7865" spans="1:2">
      <c r="A7865" s="951"/>
      <c r="B7865" s="951"/>
    </row>
    <row r="7866" spans="1:2">
      <c r="A7866" s="951"/>
      <c r="B7866" s="951"/>
    </row>
    <row r="7867" spans="1:2">
      <c r="A7867" s="951"/>
      <c r="B7867" s="951"/>
    </row>
    <row r="7868" spans="1:2">
      <c r="A7868" s="951"/>
      <c r="B7868" s="951"/>
    </row>
    <row r="7869" spans="1:2">
      <c r="A7869" s="951"/>
      <c r="B7869" s="951"/>
    </row>
    <row r="7870" spans="1:2">
      <c r="A7870" s="951"/>
      <c r="B7870" s="951"/>
    </row>
    <row r="7871" spans="1:2">
      <c r="A7871" s="951"/>
      <c r="B7871" s="951"/>
    </row>
    <row r="7872" spans="1:2">
      <c r="A7872" s="951"/>
      <c r="B7872" s="951"/>
    </row>
    <row r="7873" spans="1:2">
      <c r="A7873" s="951"/>
      <c r="B7873" s="951"/>
    </row>
    <row r="7874" spans="1:2">
      <c r="A7874" s="951"/>
      <c r="B7874" s="951"/>
    </row>
    <row r="7875" spans="1:2">
      <c r="A7875" s="951"/>
      <c r="B7875" s="951"/>
    </row>
    <row r="7876" spans="1:2">
      <c r="A7876" s="951"/>
      <c r="B7876" s="951"/>
    </row>
    <row r="7877" spans="1:2">
      <c r="A7877" s="951"/>
      <c r="B7877" s="951"/>
    </row>
    <row r="7878" spans="1:2">
      <c r="A7878" s="951"/>
      <c r="B7878" s="951"/>
    </row>
    <row r="7879" spans="1:2">
      <c r="A7879" s="951"/>
      <c r="B7879" s="951"/>
    </row>
    <row r="7880" spans="1:2">
      <c r="A7880" s="951"/>
      <c r="B7880" s="951"/>
    </row>
    <row r="7881" spans="1:2">
      <c r="A7881" s="951"/>
      <c r="B7881" s="951"/>
    </row>
    <row r="7882" spans="1:2">
      <c r="A7882" s="951"/>
      <c r="B7882" s="951"/>
    </row>
    <row r="7883" spans="1:2">
      <c r="A7883" s="951"/>
      <c r="B7883" s="951"/>
    </row>
    <row r="7884" spans="1:2">
      <c r="A7884" s="951"/>
      <c r="B7884" s="951"/>
    </row>
    <row r="7885" spans="1:2">
      <c r="A7885" s="951"/>
      <c r="B7885" s="951"/>
    </row>
    <row r="7886" spans="1:2">
      <c r="A7886" s="951"/>
      <c r="B7886" s="951"/>
    </row>
    <row r="7887" spans="1:2">
      <c r="A7887" s="951"/>
      <c r="B7887" s="951"/>
    </row>
    <row r="7888" spans="1:2">
      <c r="A7888" s="951"/>
      <c r="B7888" s="951"/>
    </row>
    <row r="7889" spans="1:2">
      <c r="A7889" s="951"/>
      <c r="B7889" s="951"/>
    </row>
    <row r="7890" spans="1:2">
      <c r="A7890" s="951"/>
      <c r="B7890" s="951"/>
    </row>
    <row r="7891" spans="1:2">
      <c r="A7891" s="951"/>
      <c r="B7891" s="951"/>
    </row>
    <row r="7892" spans="1:2">
      <c r="A7892" s="951"/>
      <c r="B7892" s="951"/>
    </row>
    <row r="7893" spans="1:2">
      <c r="A7893" s="951"/>
      <c r="B7893" s="951"/>
    </row>
    <row r="7894" spans="1:2">
      <c r="A7894" s="951"/>
      <c r="B7894" s="951"/>
    </row>
    <row r="7895" spans="1:2">
      <c r="A7895" s="951"/>
      <c r="B7895" s="951"/>
    </row>
    <row r="7896" spans="1:2">
      <c r="A7896" s="951"/>
      <c r="B7896" s="951"/>
    </row>
    <row r="7897" spans="1:2">
      <c r="A7897" s="951"/>
      <c r="B7897" s="951"/>
    </row>
    <row r="7898" spans="1:2">
      <c r="A7898" s="951"/>
      <c r="B7898" s="951"/>
    </row>
    <row r="7899" spans="1:2">
      <c r="A7899" s="951"/>
      <c r="B7899" s="951"/>
    </row>
    <row r="7900" spans="1:2">
      <c r="A7900" s="951"/>
      <c r="B7900" s="951"/>
    </row>
    <row r="7901" spans="1:2">
      <c r="A7901" s="951"/>
      <c r="B7901" s="951"/>
    </row>
    <row r="7902" spans="1:2">
      <c r="A7902" s="951"/>
      <c r="B7902" s="951"/>
    </row>
    <row r="7903" spans="1:2">
      <c r="A7903" s="951"/>
      <c r="B7903" s="951"/>
    </row>
    <row r="7904" spans="1:2">
      <c r="A7904" s="951"/>
      <c r="B7904" s="951"/>
    </row>
    <row r="7905" spans="1:2">
      <c r="A7905" s="951"/>
      <c r="B7905" s="951"/>
    </row>
    <row r="7906" spans="1:2">
      <c r="A7906" s="951"/>
      <c r="B7906" s="951"/>
    </row>
    <row r="7907" spans="1:2">
      <c r="A7907" s="951"/>
      <c r="B7907" s="951"/>
    </row>
    <row r="7908" spans="1:2">
      <c r="A7908" s="951"/>
      <c r="B7908" s="951"/>
    </row>
    <row r="7909" spans="1:2">
      <c r="A7909" s="951"/>
      <c r="B7909" s="951"/>
    </row>
    <row r="7910" spans="1:2">
      <c r="A7910" s="951"/>
      <c r="B7910" s="951"/>
    </row>
    <row r="7911" spans="1:2">
      <c r="A7911" s="951"/>
      <c r="B7911" s="951"/>
    </row>
    <row r="7912" spans="1:2">
      <c r="A7912" s="951"/>
      <c r="B7912" s="951"/>
    </row>
    <row r="7913" spans="1:2">
      <c r="A7913" s="951"/>
      <c r="B7913" s="951"/>
    </row>
    <row r="7914" spans="1:2">
      <c r="A7914" s="951"/>
      <c r="B7914" s="951"/>
    </row>
    <row r="7915" spans="1:2">
      <c r="A7915" s="951"/>
      <c r="B7915" s="951"/>
    </row>
    <row r="7916" spans="1:2">
      <c r="A7916" s="951"/>
      <c r="B7916" s="951"/>
    </row>
    <row r="7917" spans="1:2">
      <c r="A7917" s="951"/>
      <c r="B7917" s="951"/>
    </row>
    <row r="7918" spans="1:2">
      <c r="A7918" s="951"/>
      <c r="B7918" s="951"/>
    </row>
    <row r="7919" spans="1:2">
      <c r="A7919" s="951"/>
      <c r="B7919" s="951"/>
    </row>
    <row r="7920" spans="1:2">
      <c r="A7920" s="951"/>
      <c r="B7920" s="951"/>
    </row>
    <row r="7921" spans="1:2">
      <c r="A7921" s="951"/>
      <c r="B7921" s="951"/>
    </row>
    <row r="7922" spans="1:2">
      <c r="A7922" s="951"/>
      <c r="B7922" s="951"/>
    </row>
    <row r="7923" spans="1:2">
      <c r="A7923" s="951"/>
      <c r="B7923" s="951"/>
    </row>
    <row r="7924" spans="1:2">
      <c r="A7924" s="951"/>
      <c r="B7924" s="951"/>
    </row>
    <row r="7925" spans="1:2">
      <c r="A7925" s="951"/>
      <c r="B7925" s="951"/>
    </row>
    <row r="7926" spans="1:2">
      <c r="A7926" s="951"/>
      <c r="B7926" s="951"/>
    </row>
    <row r="7927" spans="1:2">
      <c r="A7927" s="951"/>
      <c r="B7927" s="951"/>
    </row>
    <row r="7928" spans="1:2">
      <c r="A7928" s="951"/>
      <c r="B7928" s="951"/>
    </row>
    <row r="7929" spans="1:2">
      <c r="A7929" s="951"/>
      <c r="B7929" s="951"/>
    </row>
    <row r="7930" spans="1:2">
      <c r="A7930" s="951"/>
      <c r="B7930" s="951"/>
    </row>
    <row r="7931" spans="1:2">
      <c r="A7931" s="951"/>
      <c r="B7931" s="951"/>
    </row>
    <row r="7932" spans="1:2">
      <c r="A7932" s="951"/>
      <c r="B7932" s="951"/>
    </row>
    <row r="7933" spans="1:2">
      <c r="A7933" s="951"/>
      <c r="B7933" s="951"/>
    </row>
    <row r="7934" spans="1:2">
      <c r="A7934" s="951"/>
      <c r="B7934" s="951"/>
    </row>
    <row r="7935" spans="1:2">
      <c r="A7935" s="951"/>
      <c r="B7935" s="951"/>
    </row>
    <row r="7936" spans="1:2">
      <c r="A7936" s="951"/>
      <c r="B7936" s="951"/>
    </row>
    <row r="7937" spans="1:2">
      <c r="A7937" s="951"/>
      <c r="B7937" s="951"/>
    </row>
    <row r="7938" spans="1:2">
      <c r="A7938" s="951"/>
      <c r="B7938" s="951"/>
    </row>
    <row r="7939" spans="1:2">
      <c r="A7939" s="951"/>
      <c r="B7939" s="951"/>
    </row>
    <row r="7940" spans="1:2">
      <c r="A7940" s="951"/>
      <c r="B7940" s="951"/>
    </row>
    <row r="7941" spans="1:2">
      <c r="A7941" s="951"/>
      <c r="B7941" s="951"/>
    </row>
    <row r="7942" spans="1:2">
      <c r="A7942" s="951"/>
      <c r="B7942" s="951"/>
    </row>
    <row r="7943" spans="1:2">
      <c r="A7943" s="951"/>
      <c r="B7943" s="951"/>
    </row>
    <row r="7944" spans="1:2">
      <c r="A7944" s="951"/>
      <c r="B7944" s="951"/>
    </row>
    <row r="7945" spans="1:2">
      <c r="A7945" s="951"/>
      <c r="B7945" s="951"/>
    </row>
    <row r="7946" spans="1:2">
      <c r="A7946" s="951"/>
      <c r="B7946" s="951"/>
    </row>
    <row r="7947" spans="1:2">
      <c r="A7947" s="951"/>
      <c r="B7947" s="951"/>
    </row>
    <row r="7948" spans="1:2">
      <c r="A7948" s="951"/>
      <c r="B7948" s="951"/>
    </row>
    <row r="7949" spans="1:2">
      <c r="A7949" s="951"/>
      <c r="B7949" s="951"/>
    </row>
    <row r="7950" spans="1:2">
      <c r="A7950" s="951"/>
      <c r="B7950" s="951"/>
    </row>
    <row r="7951" spans="1:2">
      <c r="A7951" s="951"/>
      <c r="B7951" s="951"/>
    </row>
    <row r="7952" spans="1:2">
      <c r="A7952" s="951"/>
      <c r="B7952" s="951"/>
    </row>
    <row r="7953" spans="1:2">
      <c r="A7953" s="951"/>
      <c r="B7953" s="951"/>
    </row>
    <row r="7954" spans="1:2">
      <c r="A7954" s="951"/>
      <c r="B7954" s="951"/>
    </row>
    <row r="7955" spans="1:2">
      <c r="A7955" s="951"/>
      <c r="B7955" s="951"/>
    </row>
    <row r="7956" spans="1:2">
      <c r="A7956" s="951"/>
      <c r="B7956" s="951"/>
    </row>
    <row r="7957" spans="1:2">
      <c r="A7957" s="951"/>
      <c r="B7957" s="951"/>
    </row>
    <row r="7958" spans="1:2">
      <c r="A7958" s="951"/>
      <c r="B7958" s="951"/>
    </row>
    <row r="7959" spans="1:2">
      <c r="A7959" s="951"/>
      <c r="B7959" s="951"/>
    </row>
    <row r="7960" spans="1:2">
      <c r="A7960" s="951"/>
      <c r="B7960" s="951"/>
    </row>
    <row r="7961" spans="1:2">
      <c r="A7961" s="951"/>
      <c r="B7961" s="951"/>
    </row>
    <row r="7962" spans="1:2">
      <c r="A7962" s="951"/>
      <c r="B7962" s="951"/>
    </row>
    <row r="7963" spans="1:2">
      <c r="A7963" s="951"/>
      <c r="B7963" s="951"/>
    </row>
    <row r="7964" spans="1:2">
      <c r="A7964" s="951"/>
      <c r="B7964" s="951"/>
    </row>
    <row r="7965" spans="1:2">
      <c r="A7965" s="951"/>
      <c r="B7965" s="951"/>
    </row>
    <row r="7966" spans="1:2">
      <c r="A7966" s="951"/>
      <c r="B7966" s="951"/>
    </row>
    <row r="7967" spans="1:2">
      <c r="A7967" s="951"/>
      <c r="B7967" s="951"/>
    </row>
    <row r="7968" spans="1:2">
      <c r="A7968" s="951"/>
      <c r="B7968" s="951"/>
    </row>
    <row r="7969" spans="1:2">
      <c r="A7969" s="951"/>
      <c r="B7969" s="951"/>
    </row>
    <row r="7970" spans="1:2">
      <c r="A7970" s="951"/>
      <c r="B7970" s="951"/>
    </row>
    <row r="7971" spans="1:2">
      <c r="A7971" s="951"/>
      <c r="B7971" s="951"/>
    </row>
    <row r="7972" spans="1:2">
      <c r="A7972" s="951"/>
      <c r="B7972" s="951"/>
    </row>
    <row r="7973" spans="1:2">
      <c r="A7973" s="951"/>
      <c r="B7973" s="951"/>
    </row>
    <row r="7974" spans="1:2">
      <c r="A7974" s="951"/>
      <c r="B7974" s="951"/>
    </row>
    <row r="7975" spans="1:2">
      <c r="A7975" s="951"/>
      <c r="B7975" s="951"/>
    </row>
    <row r="7976" spans="1:2">
      <c r="A7976" s="951"/>
      <c r="B7976" s="951"/>
    </row>
    <row r="7977" spans="1:2">
      <c r="A7977" s="951"/>
      <c r="B7977" s="951"/>
    </row>
    <row r="7978" spans="1:2">
      <c r="A7978" s="951"/>
      <c r="B7978" s="951"/>
    </row>
    <row r="7979" spans="1:2">
      <c r="A7979" s="951"/>
      <c r="B7979" s="951"/>
    </row>
    <row r="7980" spans="1:2">
      <c r="A7980" s="951"/>
      <c r="B7980" s="951"/>
    </row>
    <row r="7981" spans="1:2">
      <c r="A7981" s="951"/>
      <c r="B7981" s="951"/>
    </row>
    <row r="7982" spans="1:2">
      <c r="A7982" s="951"/>
      <c r="B7982" s="951"/>
    </row>
    <row r="7983" spans="1:2">
      <c r="A7983" s="951"/>
      <c r="B7983" s="951"/>
    </row>
    <row r="7984" spans="1:2">
      <c r="A7984" s="951"/>
      <c r="B7984" s="951"/>
    </row>
    <row r="7985" spans="1:2">
      <c r="A7985" s="951"/>
      <c r="B7985" s="951"/>
    </row>
    <row r="7986" spans="1:2">
      <c r="A7986" s="951"/>
      <c r="B7986" s="951"/>
    </row>
    <row r="7987" spans="1:2">
      <c r="A7987" s="951"/>
      <c r="B7987" s="951"/>
    </row>
    <row r="7988" spans="1:2">
      <c r="A7988" s="951"/>
      <c r="B7988" s="951"/>
    </row>
    <row r="7989" spans="1:2">
      <c r="A7989" s="951"/>
      <c r="B7989" s="951"/>
    </row>
    <row r="7990" spans="1:2">
      <c r="A7990" s="951"/>
      <c r="B7990" s="951"/>
    </row>
    <row r="7991" spans="1:2">
      <c r="A7991" s="951"/>
      <c r="B7991" s="951"/>
    </row>
    <row r="7992" spans="1:2">
      <c r="A7992" s="951"/>
      <c r="B7992" s="951"/>
    </row>
    <row r="7993" spans="1:2">
      <c r="A7993" s="951"/>
      <c r="B7993" s="951"/>
    </row>
    <row r="7994" spans="1:2">
      <c r="A7994" s="951"/>
      <c r="B7994" s="951"/>
    </row>
    <row r="7995" spans="1:2">
      <c r="A7995" s="951"/>
      <c r="B7995" s="951"/>
    </row>
    <row r="7996" spans="1:2">
      <c r="A7996" s="951"/>
      <c r="B7996" s="951"/>
    </row>
    <row r="7997" spans="1:2">
      <c r="A7997" s="951"/>
      <c r="B7997" s="951"/>
    </row>
    <row r="7998" spans="1:2">
      <c r="A7998" s="951"/>
      <c r="B7998" s="951"/>
    </row>
    <row r="7999" spans="1:2">
      <c r="A7999" s="951"/>
      <c r="B7999" s="951"/>
    </row>
    <row r="8000" spans="1:2">
      <c r="A8000" s="951"/>
      <c r="B8000" s="951"/>
    </row>
    <row r="8001" spans="1:2">
      <c r="A8001" s="951"/>
      <c r="B8001" s="951"/>
    </row>
    <row r="8002" spans="1:2">
      <c r="A8002" s="951"/>
      <c r="B8002" s="951"/>
    </row>
    <row r="8003" spans="1:2">
      <c r="A8003" s="951"/>
      <c r="B8003" s="951"/>
    </row>
    <row r="8004" spans="1:2">
      <c r="A8004" s="951"/>
      <c r="B8004" s="951"/>
    </row>
    <row r="8005" spans="1:2">
      <c r="A8005" s="951"/>
      <c r="B8005" s="951"/>
    </row>
    <row r="8006" spans="1:2">
      <c r="A8006" s="951"/>
      <c r="B8006" s="951"/>
    </row>
    <row r="8007" spans="1:2">
      <c r="A8007" s="951"/>
      <c r="B8007" s="951"/>
    </row>
    <row r="8008" spans="1:2">
      <c r="A8008" s="951"/>
      <c r="B8008" s="951"/>
    </row>
    <row r="8009" spans="1:2">
      <c r="A8009" s="951"/>
      <c r="B8009" s="951"/>
    </row>
    <row r="8010" spans="1:2">
      <c r="A8010" s="951"/>
      <c r="B8010" s="951"/>
    </row>
    <row r="8011" spans="1:2">
      <c r="A8011" s="951"/>
      <c r="B8011" s="951"/>
    </row>
    <row r="8012" spans="1:2">
      <c r="A8012" s="951"/>
      <c r="B8012" s="951"/>
    </row>
    <row r="8013" spans="1:2">
      <c r="A8013" s="951"/>
      <c r="B8013" s="951"/>
    </row>
    <row r="8014" spans="1:2">
      <c r="A8014" s="951"/>
      <c r="B8014" s="951"/>
    </row>
    <row r="8015" spans="1:2">
      <c r="A8015" s="951"/>
      <c r="B8015" s="951"/>
    </row>
    <row r="8016" spans="1:2">
      <c r="A8016" s="951"/>
      <c r="B8016" s="951"/>
    </row>
    <row r="8017" spans="1:2">
      <c r="A8017" s="951"/>
      <c r="B8017" s="951"/>
    </row>
    <row r="8018" spans="1:2">
      <c r="A8018" s="951"/>
      <c r="B8018" s="951"/>
    </row>
    <row r="8019" spans="1:2">
      <c r="A8019" s="951"/>
      <c r="B8019" s="951"/>
    </row>
    <row r="8020" spans="1:2">
      <c r="A8020" s="951"/>
      <c r="B8020" s="951"/>
    </row>
    <row r="8021" spans="1:2">
      <c r="A8021" s="951"/>
      <c r="B8021" s="951"/>
    </row>
    <row r="8022" spans="1:2">
      <c r="A8022" s="951"/>
      <c r="B8022" s="951"/>
    </row>
    <row r="8023" spans="1:2">
      <c r="A8023" s="951"/>
      <c r="B8023" s="951"/>
    </row>
    <row r="8024" spans="1:2">
      <c r="A8024" s="951"/>
      <c r="B8024" s="951"/>
    </row>
    <row r="8025" spans="1:2">
      <c r="A8025" s="951"/>
      <c r="B8025" s="951"/>
    </row>
    <row r="8026" spans="1:2">
      <c r="A8026" s="951"/>
      <c r="B8026" s="951"/>
    </row>
    <row r="8027" spans="1:2">
      <c r="A8027" s="951"/>
      <c r="B8027" s="951"/>
    </row>
    <row r="8028" spans="1:2">
      <c r="A8028" s="951"/>
      <c r="B8028" s="951"/>
    </row>
    <row r="8029" spans="1:2">
      <c r="A8029" s="951"/>
      <c r="B8029" s="951"/>
    </row>
    <row r="8030" spans="1:2">
      <c r="A8030" s="951"/>
      <c r="B8030" s="951"/>
    </row>
    <row r="8031" spans="1:2">
      <c r="A8031" s="951"/>
      <c r="B8031" s="951"/>
    </row>
    <row r="8032" spans="1:2">
      <c r="A8032" s="951"/>
      <c r="B8032" s="951"/>
    </row>
    <row r="8033" spans="1:2">
      <c r="A8033" s="951"/>
      <c r="B8033" s="951"/>
    </row>
    <row r="8034" spans="1:2">
      <c r="A8034" s="951"/>
      <c r="B8034" s="951"/>
    </row>
    <row r="8035" spans="1:2">
      <c r="A8035" s="951"/>
      <c r="B8035" s="951"/>
    </row>
    <row r="8036" spans="1:2">
      <c r="A8036" s="951"/>
      <c r="B8036" s="951"/>
    </row>
    <row r="8037" spans="1:2">
      <c r="A8037" s="951"/>
      <c r="B8037" s="951"/>
    </row>
    <row r="8038" spans="1:2">
      <c r="A8038" s="951"/>
      <c r="B8038" s="951"/>
    </row>
    <row r="8039" spans="1:2">
      <c r="A8039" s="951"/>
      <c r="B8039" s="951"/>
    </row>
    <row r="8040" spans="1:2">
      <c r="A8040" s="951"/>
      <c r="B8040" s="951"/>
    </row>
    <row r="8041" spans="1:2">
      <c r="A8041" s="951"/>
      <c r="B8041" s="951"/>
    </row>
    <row r="8042" spans="1:2">
      <c r="A8042" s="951"/>
      <c r="B8042" s="951"/>
    </row>
    <row r="8043" spans="1:2">
      <c r="A8043" s="951"/>
      <c r="B8043" s="951"/>
    </row>
    <row r="8044" spans="1:2">
      <c r="A8044" s="951"/>
      <c r="B8044" s="951"/>
    </row>
    <row r="8045" spans="1:2">
      <c r="A8045" s="951"/>
      <c r="B8045" s="951"/>
    </row>
    <row r="8046" spans="1:2">
      <c r="A8046" s="951"/>
      <c r="B8046" s="951"/>
    </row>
    <row r="8047" spans="1:2">
      <c r="A8047" s="951"/>
      <c r="B8047" s="951"/>
    </row>
    <row r="8048" spans="1:2">
      <c r="A8048" s="951"/>
      <c r="B8048" s="951"/>
    </row>
    <row r="8049" spans="1:2">
      <c r="A8049" s="951"/>
      <c r="B8049" s="951"/>
    </row>
    <row r="8050" spans="1:2">
      <c r="A8050" s="951"/>
      <c r="B8050" s="951"/>
    </row>
    <row r="8051" spans="1:2">
      <c r="A8051" s="951"/>
      <c r="B8051" s="951"/>
    </row>
    <row r="8052" spans="1:2">
      <c r="A8052" s="951"/>
      <c r="B8052" s="951"/>
    </row>
    <row r="8053" spans="1:2">
      <c r="A8053" s="951"/>
      <c r="B8053" s="951"/>
    </row>
    <row r="8054" spans="1:2">
      <c r="A8054" s="951"/>
      <c r="B8054" s="951"/>
    </row>
    <row r="8055" spans="1:2">
      <c r="A8055" s="951"/>
      <c r="B8055" s="951"/>
    </row>
    <row r="8056" spans="1:2">
      <c r="A8056" s="951"/>
      <c r="B8056" s="951"/>
    </row>
    <row r="8057" spans="1:2">
      <c r="A8057" s="951"/>
      <c r="B8057" s="951"/>
    </row>
    <row r="8058" spans="1:2">
      <c r="A8058" s="951"/>
      <c r="B8058" s="951"/>
    </row>
    <row r="8059" spans="1:2">
      <c r="A8059" s="951"/>
      <c r="B8059" s="951"/>
    </row>
    <row r="8060" spans="1:2">
      <c r="A8060" s="951"/>
      <c r="B8060" s="951"/>
    </row>
    <row r="8061" spans="1:2">
      <c r="A8061" s="951"/>
      <c r="B8061" s="951"/>
    </row>
    <row r="8062" spans="1:2">
      <c r="A8062" s="951"/>
      <c r="B8062" s="951"/>
    </row>
    <row r="8063" spans="1:2">
      <c r="A8063" s="951"/>
      <c r="B8063" s="951"/>
    </row>
    <row r="8064" spans="1:2">
      <c r="A8064" s="951"/>
      <c r="B8064" s="951"/>
    </row>
    <row r="8065" spans="1:2">
      <c r="A8065" s="951"/>
      <c r="B8065" s="951"/>
    </row>
    <row r="8066" spans="1:2">
      <c r="A8066" s="951"/>
      <c r="B8066" s="951"/>
    </row>
    <row r="8067" spans="1:2">
      <c r="A8067" s="951"/>
      <c r="B8067" s="951"/>
    </row>
    <row r="8068" spans="1:2">
      <c r="A8068" s="951"/>
      <c r="B8068" s="951"/>
    </row>
    <row r="8069" spans="1:2">
      <c r="A8069" s="951"/>
      <c r="B8069" s="951"/>
    </row>
    <row r="8070" spans="1:2">
      <c r="A8070" s="951"/>
      <c r="B8070" s="951"/>
    </row>
    <row r="8071" spans="1:2">
      <c r="A8071" s="951"/>
      <c r="B8071" s="951"/>
    </row>
    <row r="8072" spans="1:2">
      <c r="A8072" s="951"/>
      <c r="B8072" s="951"/>
    </row>
    <row r="8073" spans="1:2">
      <c r="A8073" s="951"/>
      <c r="B8073" s="951"/>
    </row>
    <row r="8074" spans="1:2">
      <c r="A8074" s="951"/>
      <c r="B8074" s="951"/>
    </row>
    <row r="8075" spans="1:2">
      <c r="A8075" s="951"/>
      <c r="B8075" s="951"/>
    </row>
    <row r="8076" spans="1:2">
      <c r="A8076" s="951"/>
      <c r="B8076" s="951"/>
    </row>
    <row r="8077" spans="1:2">
      <c r="A8077" s="951"/>
      <c r="B8077" s="951"/>
    </row>
    <row r="8078" spans="1:2">
      <c r="A8078" s="951"/>
      <c r="B8078" s="951"/>
    </row>
    <row r="8079" spans="1:2">
      <c r="A8079" s="951"/>
      <c r="B8079" s="951"/>
    </row>
    <row r="8080" spans="1:2">
      <c r="A8080" s="951"/>
      <c r="B8080" s="951"/>
    </row>
    <row r="8081" spans="1:2">
      <c r="A8081" s="951"/>
      <c r="B8081" s="951"/>
    </row>
    <row r="8082" spans="1:2">
      <c r="A8082" s="951"/>
      <c r="B8082" s="951"/>
    </row>
    <row r="8083" spans="1:2">
      <c r="A8083" s="951"/>
      <c r="B8083" s="951"/>
    </row>
    <row r="8084" spans="1:2">
      <c r="A8084" s="951"/>
      <c r="B8084" s="951"/>
    </row>
    <row r="8085" spans="1:2">
      <c r="A8085" s="951"/>
      <c r="B8085" s="951"/>
    </row>
    <row r="8086" spans="1:2">
      <c r="A8086" s="951"/>
      <c r="B8086" s="951"/>
    </row>
    <row r="8087" spans="1:2">
      <c r="A8087" s="951"/>
      <c r="B8087" s="951"/>
    </row>
    <row r="8088" spans="1:2">
      <c r="A8088" s="951"/>
      <c r="B8088" s="951"/>
    </row>
    <row r="8089" spans="1:2">
      <c r="A8089" s="951"/>
      <c r="B8089" s="951"/>
    </row>
    <row r="8090" spans="1:2">
      <c r="A8090" s="951"/>
      <c r="B8090" s="951"/>
    </row>
    <row r="8091" spans="1:2">
      <c r="A8091" s="951"/>
      <c r="B8091" s="951"/>
    </row>
    <row r="8092" spans="1:2">
      <c r="A8092" s="951"/>
      <c r="B8092" s="951"/>
    </row>
    <row r="8093" spans="1:2">
      <c r="A8093" s="951"/>
      <c r="B8093" s="951"/>
    </row>
    <row r="8094" spans="1:2">
      <c r="A8094" s="951"/>
      <c r="B8094" s="951"/>
    </row>
    <row r="8095" spans="1:2">
      <c r="A8095" s="951"/>
      <c r="B8095" s="951"/>
    </row>
    <row r="8096" spans="1:2">
      <c r="A8096" s="951"/>
      <c r="B8096" s="951"/>
    </row>
    <row r="8097" spans="1:2">
      <c r="A8097" s="951"/>
      <c r="B8097" s="951"/>
    </row>
    <row r="8098" spans="1:2">
      <c r="A8098" s="951"/>
      <c r="B8098" s="951"/>
    </row>
    <row r="8099" spans="1:2">
      <c r="A8099" s="951"/>
      <c r="B8099" s="951"/>
    </row>
    <row r="8100" spans="1:2">
      <c r="A8100" s="951"/>
      <c r="B8100" s="951"/>
    </row>
    <row r="8101" spans="1:2">
      <c r="A8101" s="951"/>
      <c r="B8101" s="951"/>
    </row>
    <row r="8102" spans="1:2">
      <c r="A8102" s="951"/>
      <c r="B8102" s="951"/>
    </row>
    <row r="8103" spans="1:2">
      <c r="A8103" s="951"/>
      <c r="B8103" s="951"/>
    </row>
    <row r="8104" spans="1:2">
      <c r="A8104" s="951"/>
      <c r="B8104" s="951"/>
    </row>
    <row r="8105" spans="1:2">
      <c r="A8105" s="951"/>
      <c r="B8105" s="951"/>
    </row>
    <row r="8106" spans="1:2">
      <c r="A8106" s="951"/>
      <c r="B8106" s="951"/>
    </row>
    <row r="8107" spans="1:2">
      <c r="A8107" s="951"/>
      <c r="B8107" s="951"/>
    </row>
    <row r="8108" spans="1:2">
      <c r="A8108" s="951"/>
      <c r="B8108" s="951"/>
    </row>
    <row r="8109" spans="1:2">
      <c r="A8109" s="951"/>
      <c r="B8109" s="951"/>
    </row>
    <row r="8110" spans="1:2">
      <c r="A8110" s="951"/>
      <c r="B8110" s="951"/>
    </row>
    <row r="8111" spans="1:2">
      <c r="A8111" s="951"/>
      <c r="B8111" s="951"/>
    </row>
    <row r="8112" spans="1:2">
      <c r="A8112" s="951"/>
      <c r="B8112" s="951"/>
    </row>
    <row r="8113" spans="1:2">
      <c r="A8113" s="951"/>
      <c r="B8113" s="951"/>
    </row>
    <row r="8114" spans="1:2">
      <c r="A8114" s="951"/>
      <c r="B8114" s="951"/>
    </row>
    <row r="8115" spans="1:2">
      <c r="A8115" s="951"/>
      <c r="B8115" s="951"/>
    </row>
    <row r="8116" spans="1:2">
      <c r="A8116" s="951"/>
      <c r="B8116" s="951"/>
    </row>
    <row r="8117" spans="1:2">
      <c r="A8117" s="951"/>
      <c r="B8117" s="951"/>
    </row>
    <row r="8118" spans="1:2">
      <c r="A8118" s="951"/>
      <c r="B8118" s="951"/>
    </row>
    <row r="8119" spans="1:2">
      <c r="A8119" s="951"/>
      <c r="B8119" s="951"/>
    </row>
    <row r="8120" spans="1:2">
      <c r="A8120" s="951"/>
      <c r="B8120" s="951"/>
    </row>
    <row r="8121" spans="1:2">
      <c r="A8121" s="951"/>
      <c r="B8121" s="951"/>
    </row>
    <row r="8122" spans="1:2">
      <c r="A8122" s="951"/>
      <c r="B8122" s="951"/>
    </row>
    <row r="8123" spans="1:2">
      <c r="A8123" s="951"/>
      <c r="B8123" s="951"/>
    </row>
    <row r="8124" spans="1:2">
      <c r="A8124" s="951"/>
      <c r="B8124" s="951"/>
    </row>
    <row r="8125" spans="1:2">
      <c r="A8125" s="951"/>
      <c r="B8125" s="951"/>
    </row>
    <row r="8126" spans="1:2">
      <c r="A8126" s="951"/>
      <c r="B8126" s="951"/>
    </row>
    <row r="8127" spans="1:2">
      <c r="A8127" s="951"/>
      <c r="B8127" s="951"/>
    </row>
    <row r="8128" spans="1:2">
      <c r="A8128" s="951"/>
      <c r="B8128" s="951"/>
    </row>
    <row r="8129" spans="1:2">
      <c r="A8129" s="951"/>
      <c r="B8129" s="951"/>
    </row>
    <row r="8130" spans="1:2">
      <c r="A8130" s="951"/>
      <c r="B8130" s="951"/>
    </row>
    <row r="8131" spans="1:2">
      <c r="A8131" s="951"/>
      <c r="B8131" s="951"/>
    </row>
    <row r="8132" spans="1:2">
      <c r="A8132" s="951"/>
      <c r="B8132" s="951"/>
    </row>
    <row r="8133" spans="1:2">
      <c r="A8133" s="951"/>
      <c r="B8133" s="951"/>
    </row>
    <row r="8134" spans="1:2">
      <c r="A8134" s="951"/>
      <c r="B8134" s="951"/>
    </row>
    <row r="8135" spans="1:2">
      <c r="A8135" s="951"/>
      <c r="B8135" s="951"/>
    </row>
    <row r="8136" spans="1:2">
      <c r="A8136" s="951"/>
      <c r="B8136" s="951"/>
    </row>
    <row r="8137" spans="1:2">
      <c r="A8137" s="951"/>
      <c r="B8137" s="951"/>
    </row>
    <row r="8138" spans="1:2">
      <c r="A8138" s="951"/>
      <c r="B8138" s="951"/>
    </row>
    <row r="8139" spans="1:2">
      <c r="A8139" s="951"/>
      <c r="B8139" s="951"/>
    </row>
    <row r="8140" spans="1:2">
      <c r="A8140" s="951"/>
      <c r="B8140" s="951"/>
    </row>
    <row r="8141" spans="1:2">
      <c r="A8141" s="951"/>
      <c r="B8141" s="951"/>
    </row>
    <row r="8142" spans="1:2">
      <c r="A8142" s="951"/>
      <c r="B8142" s="951"/>
    </row>
    <row r="8143" spans="1:2">
      <c r="A8143" s="951"/>
      <c r="B8143" s="951"/>
    </row>
    <row r="8144" spans="1:2">
      <c r="A8144" s="951"/>
      <c r="B8144" s="951"/>
    </row>
    <row r="8145" spans="1:2">
      <c r="A8145" s="951"/>
      <c r="B8145" s="951"/>
    </row>
    <row r="8146" spans="1:2">
      <c r="A8146" s="951"/>
      <c r="B8146" s="951"/>
    </row>
    <row r="8147" spans="1:2">
      <c r="A8147" s="951"/>
      <c r="B8147" s="951"/>
    </row>
    <row r="8148" spans="1:2">
      <c r="A8148" s="951"/>
      <c r="B8148" s="951"/>
    </row>
    <row r="8149" spans="1:2">
      <c r="A8149" s="951"/>
      <c r="B8149" s="951"/>
    </row>
    <row r="8150" spans="1:2">
      <c r="A8150" s="951"/>
      <c r="B8150" s="951"/>
    </row>
    <row r="8151" spans="1:2">
      <c r="A8151" s="951"/>
      <c r="B8151" s="951"/>
    </row>
    <row r="8152" spans="1:2">
      <c r="A8152" s="951"/>
      <c r="B8152" s="951"/>
    </row>
    <row r="8153" spans="1:2">
      <c r="A8153" s="951"/>
      <c r="B8153" s="951"/>
    </row>
    <row r="8154" spans="1:2">
      <c r="A8154" s="951"/>
      <c r="B8154" s="951"/>
    </row>
    <row r="8155" spans="1:2">
      <c r="A8155" s="951"/>
      <c r="B8155" s="951"/>
    </row>
    <row r="8156" spans="1:2">
      <c r="A8156" s="951"/>
      <c r="B8156" s="951"/>
    </row>
    <row r="8157" spans="1:2">
      <c r="A8157" s="951"/>
      <c r="B8157" s="951"/>
    </row>
    <row r="8158" spans="1:2">
      <c r="A8158" s="951"/>
      <c r="B8158" s="951"/>
    </row>
    <row r="8159" spans="1:2">
      <c r="A8159" s="951"/>
      <c r="B8159" s="951"/>
    </row>
    <row r="8160" spans="1:2">
      <c r="A8160" s="951"/>
      <c r="B8160" s="951"/>
    </row>
    <row r="8161" spans="1:2">
      <c r="A8161" s="951"/>
      <c r="B8161" s="951"/>
    </row>
    <row r="8162" spans="1:2">
      <c r="A8162" s="951"/>
      <c r="B8162" s="951"/>
    </row>
    <row r="8163" spans="1:2">
      <c r="A8163" s="951"/>
      <c r="B8163" s="951"/>
    </row>
    <row r="8164" spans="1:2">
      <c r="A8164" s="951"/>
      <c r="B8164" s="951"/>
    </row>
    <row r="8165" spans="1:2">
      <c r="A8165" s="951"/>
      <c r="B8165" s="951"/>
    </row>
    <row r="8166" spans="1:2">
      <c r="A8166" s="951"/>
      <c r="B8166" s="951"/>
    </row>
    <row r="8167" spans="1:2">
      <c r="A8167" s="951"/>
      <c r="B8167" s="951"/>
    </row>
    <row r="8168" spans="1:2">
      <c r="A8168" s="951"/>
      <c r="B8168" s="951"/>
    </row>
    <row r="8169" spans="1:2">
      <c r="A8169" s="951"/>
      <c r="B8169" s="951"/>
    </row>
    <row r="8170" spans="1:2">
      <c r="A8170" s="951"/>
      <c r="B8170" s="951"/>
    </row>
    <row r="8171" spans="1:2">
      <c r="A8171" s="951"/>
      <c r="B8171" s="951"/>
    </row>
    <row r="8172" spans="1:2">
      <c r="A8172" s="951"/>
      <c r="B8172" s="951"/>
    </row>
    <row r="8173" spans="1:2">
      <c r="A8173" s="951"/>
      <c r="B8173" s="951"/>
    </row>
    <row r="8174" spans="1:2">
      <c r="A8174" s="951"/>
      <c r="B8174" s="951"/>
    </row>
    <row r="8175" spans="1:2">
      <c r="A8175" s="951"/>
      <c r="B8175" s="951"/>
    </row>
    <row r="8176" spans="1:2">
      <c r="A8176" s="951"/>
      <c r="B8176" s="951"/>
    </row>
    <row r="8177" spans="1:2">
      <c r="A8177" s="951"/>
      <c r="B8177" s="951"/>
    </row>
    <row r="8178" spans="1:2">
      <c r="A8178" s="951"/>
      <c r="B8178" s="951"/>
    </row>
    <row r="8179" spans="1:2">
      <c r="A8179" s="951"/>
      <c r="B8179" s="951"/>
    </row>
    <row r="8180" spans="1:2">
      <c r="A8180" s="951"/>
      <c r="B8180" s="951"/>
    </row>
    <row r="8181" spans="1:2">
      <c r="A8181" s="951"/>
      <c r="B8181" s="951"/>
    </row>
    <row r="8182" spans="1:2">
      <c r="A8182" s="951"/>
      <c r="B8182" s="951"/>
    </row>
    <row r="8183" spans="1:2">
      <c r="A8183" s="951"/>
      <c r="B8183" s="951"/>
    </row>
    <row r="8184" spans="1:2">
      <c r="A8184" s="951"/>
      <c r="B8184" s="951"/>
    </row>
    <row r="8185" spans="1:2">
      <c r="A8185" s="951"/>
      <c r="B8185" s="951"/>
    </row>
    <row r="8186" spans="1:2">
      <c r="A8186" s="951"/>
      <c r="B8186" s="951"/>
    </row>
    <row r="8187" spans="1:2">
      <c r="A8187" s="951"/>
      <c r="B8187" s="951"/>
    </row>
    <row r="8188" spans="1:2">
      <c r="A8188" s="951"/>
      <c r="B8188" s="951"/>
    </row>
    <row r="8189" spans="1:2">
      <c r="A8189" s="951"/>
      <c r="B8189" s="951"/>
    </row>
    <row r="8190" spans="1:2">
      <c r="A8190" s="951"/>
      <c r="B8190" s="951"/>
    </row>
    <row r="8191" spans="1:2">
      <c r="A8191" s="951"/>
      <c r="B8191" s="951"/>
    </row>
    <row r="8192" spans="1:2">
      <c r="A8192" s="951"/>
      <c r="B8192" s="951"/>
    </row>
    <row r="8193" spans="1:2">
      <c r="A8193" s="951"/>
      <c r="B8193" s="951"/>
    </row>
    <row r="8194" spans="1:2">
      <c r="A8194" s="951"/>
      <c r="B8194" s="951"/>
    </row>
    <row r="8195" spans="1:2">
      <c r="A8195" s="951"/>
      <c r="B8195" s="951"/>
    </row>
    <row r="8196" spans="1:2">
      <c r="A8196" s="951"/>
      <c r="B8196" s="951"/>
    </row>
    <row r="8197" spans="1:2">
      <c r="A8197" s="951"/>
      <c r="B8197" s="951"/>
    </row>
    <row r="8198" spans="1:2">
      <c r="A8198" s="951"/>
      <c r="B8198" s="951"/>
    </row>
    <row r="8199" spans="1:2">
      <c r="A8199" s="951"/>
      <c r="B8199" s="951"/>
    </row>
    <row r="8200" spans="1:2">
      <c r="A8200" s="951"/>
      <c r="B8200" s="951"/>
    </row>
    <row r="8201" spans="1:2">
      <c r="A8201" s="951"/>
      <c r="B8201" s="951"/>
    </row>
    <row r="8202" spans="1:2">
      <c r="A8202" s="951"/>
      <c r="B8202" s="951"/>
    </row>
    <row r="8203" spans="1:2">
      <c r="A8203" s="951"/>
      <c r="B8203" s="951"/>
    </row>
    <row r="8204" spans="1:2">
      <c r="A8204" s="951"/>
      <c r="B8204" s="951"/>
    </row>
    <row r="8205" spans="1:2">
      <c r="A8205" s="951"/>
      <c r="B8205" s="951"/>
    </row>
    <row r="8206" spans="1:2">
      <c r="A8206" s="951"/>
      <c r="B8206" s="951"/>
    </row>
    <row r="8207" spans="1:2">
      <c r="A8207" s="951"/>
      <c r="B8207" s="951"/>
    </row>
    <row r="8208" spans="1:2">
      <c r="A8208" s="951"/>
      <c r="B8208" s="951"/>
    </row>
    <row r="8209" spans="1:2">
      <c r="A8209" s="951"/>
      <c r="B8209" s="951"/>
    </row>
    <row r="8210" spans="1:2">
      <c r="A8210" s="951"/>
      <c r="B8210" s="951"/>
    </row>
    <row r="8211" spans="1:2">
      <c r="A8211" s="951"/>
      <c r="B8211" s="951"/>
    </row>
    <row r="8212" spans="1:2">
      <c r="A8212" s="951"/>
      <c r="B8212" s="951"/>
    </row>
    <row r="8213" spans="1:2">
      <c r="A8213" s="951"/>
      <c r="B8213" s="951"/>
    </row>
    <row r="8214" spans="1:2">
      <c r="A8214" s="951"/>
      <c r="B8214" s="951"/>
    </row>
    <row r="8215" spans="1:2">
      <c r="A8215" s="951"/>
      <c r="B8215" s="951"/>
    </row>
    <row r="8216" spans="1:2">
      <c r="A8216" s="951"/>
      <c r="B8216" s="951"/>
    </row>
    <row r="8217" spans="1:2">
      <c r="A8217" s="951"/>
      <c r="B8217" s="951"/>
    </row>
    <row r="8218" spans="1:2">
      <c r="A8218" s="951"/>
      <c r="B8218" s="951"/>
    </row>
    <row r="8219" spans="1:2">
      <c r="A8219" s="951"/>
      <c r="B8219" s="951"/>
    </row>
    <row r="8220" spans="1:2">
      <c r="A8220" s="951"/>
      <c r="B8220" s="951"/>
    </row>
    <row r="8221" spans="1:2">
      <c r="A8221" s="951"/>
      <c r="B8221" s="951"/>
    </row>
    <row r="8222" spans="1:2">
      <c r="A8222" s="951"/>
      <c r="B8222" s="951"/>
    </row>
    <row r="8223" spans="1:2">
      <c r="A8223" s="951"/>
      <c r="B8223" s="951"/>
    </row>
    <row r="8224" spans="1:2">
      <c r="A8224" s="951"/>
      <c r="B8224" s="951"/>
    </row>
    <row r="8225" spans="1:2">
      <c r="A8225" s="951"/>
      <c r="B8225" s="951"/>
    </row>
    <row r="8226" spans="1:2">
      <c r="A8226" s="951"/>
      <c r="B8226" s="951"/>
    </row>
    <row r="8227" spans="1:2">
      <c r="A8227" s="951"/>
      <c r="B8227" s="951"/>
    </row>
    <row r="8228" spans="1:2">
      <c r="A8228" s="951"/>
      <c r="B8228" s="951"/>
    </row>
    <row r="8229" spans="1:2">
      <c r="A8229" s="951"/>
      <c r="B8229" s="951"/>
    </row>
    <row r="8230" spans="1:2">
      <c r="A8230" s="951"/>
      <c r="B8230" s="951"/>
    </row>
    <row r="8231" spans="1:2">
      <c r="A8231" s="951"/>
      <c r="B8231" s="951"/>
    </row>
    <row r="8232" spans="1:2">
      <c r="A8232" s="951"/>
      <c r="B8232" s="951"/>
    </row>
    <row r="8233" spans="1:2">
      <c r="A8233" s="951"/>
      <c r="B8233" s="951"/>
    </row>
    <row r="8234" spans="1:2">
      <c r="A8234" s="951"/>
      <c r="B8234" s="951"/>
    </row>
    <row r="8235" spans="1:2">
      <c r="A8235" s="951"/>
      <c r="B8235" s="951"/>
    </row>
    <row r="8236" spans="1:2">
      <c r="A8236" s="951"/>
      <c r="B8236" s="951"/>
    </row>
    <row r="8237" spans="1:2">
      <c r="A8237" s="951"/>
      <c r="B8237" s="951"/>
    </row>
    <row r="8238" spans="1:2">
      <c r="A8238" s="951"/>
      <c r="B8238" s="951"/>
    </row>
    <row r="8239" spans="1:2">
      <c r="A8239" s="951"/>
      <c r="B8239" s="951"/>
    </row>
    <row r="8240" spans="1:2">
      <c r="A8240" s="951"/>
      <c r="B8240" s="951"/>
    </row>
    <row r="8241" spans="1:2">
      <c r="A8241" s="951"/>
      <c r="B8241" s="951"/>
    </row>
    <row r="8242" spans="1:2">
      <c r="A8242" s="951"/>
      <c r="B8242" s="951"/>
    </row>
    <row r="8243" spans="1:2">
      <c r="A8243" s="951"/>
      <c r="B8243" s="951"/>
    </row>
    <row r="8244" spans="1:2">
      <c r="A8244" s="951"/>
      <c r="B8244" s="951"/>
    </row>
    <row r="8245" spans="1:2">
      <c r="A8245" s="951"/>
      <c r="B8245" s="951"/>
    </row>
    <row r="8246" spans="1:2">
      <c r="A8246" s="951"/>
      <c r="B8246" s="951"/>
    </row>
    <row r="8247" spans="1:2">
      <c r="A8247" s="951"/>
      <c r="B8247" s="951"/>
    </row>
    <row r="8248" spans="1:2">
      <c r="A8248" s="951"/>
      <c r="B8248" s="951"/>
    </row>
    <row r="8249" spans="1:2">
      <c r="A8249" s="951"/>
      <c r="B8249" s="951"/>
    </row>
    <row r="8250" spans="1:2">
      <c r="A8250" s="951"/>
      <c r="B8250" s="951"/>
    </row>
    <row r="8251" spans="1:2">
      <c r="A8251" s="951"/>
      <c r="B8251" s="951"/>
    </row>
    <row r="8252" spans="1:2">
      <c r="A8252" s="951"/>
      <c r="B8252" s="951"/>
    </row>
    <row r="8253" spans="1:2">
      <c r="A8253" s="951"/>
      <c r="B8253" s="951"/>
    </row>
    <row r="8254" spans="1:2">
      <c r="A8254" s="951"/>
      <c r="B8254" s="951"/>
    </row>
    <row r="8255" spans="1:2">
      <c r="A8255" s="951"/>
      <c r="B8255" s="951"/>
    </row>
    <row r="8256" spans="1:2">
      <c r="A8256" s="951"/>
      <c r="B8256" s="951"/>
    </row>
    <row r="8257" spans="1:2">
      <c r="A8257" s="951"/>
      <c r="B8257" s="951"/>
    </row>
    <row r="8258" spans="1:2">
      <c r="A8258" s="951"/>
      <c r="B8258" s="951"/>
    </row>
    <row r="8259" spans="1:2">
      <c r="A8259" s="951"/>
      <c r="B8259" s="951"/>
    </row>
    <row r="8260" spans="1:2">
      <c r="A8260" s="951"/>
      <c r="B8260" s="951"/>
    </row>
    <row r="8261" spans="1:2">
      <c r="A8261" s="951"/>
      <c r="B8261" s="951"/>
    </row>
    <row r="8262" spans="1:2">
      <c r="A8262" s="951"/>
      <c r="B8262" s="951"/>
    </row>
    <row r="8263" spans="1:2">
      <c r="A8263" s="951"/>
      <c r="B8263" s="951"/>
    </row>
    <row r="8264" spans="1:2">
      <c r="A8264" s="951"/>
      <c r="B8264" s="951"/>
    </row>
    <row r="8265" spans="1:2">
      <c r="A8265" s="951"/>
      <c r="B8265" s="951"/>
    </row>
    <row r="8266" spans="1:2">
      <c r="A8266" s="951"/>
      <c r="B8266" s="951"/>
    </row>
    <row r="8267" spans="1:2">
      <c r="A8267" s="951"/>
      <c r="B8267" s="951"/>
    </row>
    <row r="8268" spans="1:2">
      <c r="A8268" s="951"/>
      <c r="B8268" s="951"/>
    </row>
    <row r="8269" spans="1:2">
      <c r="A8269" s="951"/>
      <c r="B8269" s="951"/>
    </row>
    <row r="8270" spans="1:2">
      <c r="A8270" s="951"/>
      <c r="B8270" s="951"/>
    </row>
    <row r="8271" spans="1:2">
      <c r="A8271" s="951"/>
      <c r="B8271" s="951"/>
    </row>
    <row r="8272" spans="1:2">
      <c r="A8272" s="951"/>
      <c r="B8272" s="951"/>
    </row>
    <row r="8273" spans="1:2">
      <c r="A8273" s="951"/>
      <c r="B8273" s="951"/>
    </row>
    <row r="8274" spans="1:2">
      <c r="A8274" s="951"/>
      <c r="B8274" s="951"/>
    </row>
    <row r="8275" spans="1:2">
      <c r="A8275" s="951"/>
      <c r="B8275" s="951"/>
    </row>
    <row r="8276" spans="1:2">
      <c r="A8276" s="951"/>
      <c r="B8276" s="951"/>
    </row>
    <row r="8277" spans="1:2">
      <c r="A8277" s="951"/>
      <c r="B8277" s="951"/>
    </row>
    <row r="8278" spans="1:2">
      <c r="A8278" s="951"/>
      <c r="B8278" s="951"/>
    </row>
    <row r="8279" spans="1:2">
      <c r="A8279" s="951"/>
      <c r="B8279" s="951"/>
    </row>
    <row r="8280" spans="1:2">
      <c r="A8280" s="951"/>
      <c r="B8280" s="951"/>
    </row>
    <row r="8281" spans="1:2">
      <c r="A8281" s="951"/>
      <c r="B8281" s="951"/>
    </row>
    <row r="8282" spans="1:2">
      <c r="A8282" s="951"/>
      <c r="B8282" s="951"/>
    </row>
    <row r="8283" spans="1:2">
      <c r="A8283" s="951"/>
      <c r="B8283" s="951"/>
    </row>
    <row r="8284" spans="1:2">
      <c r="A8284" s="951"/>
      <c r="B8284" s="951"/>
    </row>
    <row r="8285" spans="1:2">
      <c r="A8285" s="951"/>
      <c r="B8285" s="951"/>
    </row>
    <row r="8286" spans="1:2">
      <c r="A8286" s="951"/>
      <c r="B8286" s="951"/>
    </row>
    <row r="8287" spans="1:2">
      <c r="A8287" s="951"/>
      <c r="B8287" s="951"/>
    </row>
    <row r="8288" spans="1:2">
      <c r="A8288" s="951"/>
      <c r="B8288" s="951"/>
    </row>
    <row r="8289" spans="1:2">
      <c r="A8289" s="951"/>
      <c r="B8289" s="951"/>
    </row>
    <row r="8290" spans="1:2">
      <c r="A8290" s="951"/>
      <c r="B8290" s="951"/>
    </row>
    <row r="8291" spans="1:2">
      <c r="A8291" s="951"/>
      <c r="B8291" s="951"/>
    </row>
    <row r="8292" spans="1:2">
      <c r="A8292" s="951"/>
      <c r="B8292" s="951"/>
    </row>
    <row r="8293" spans="1:2">
      <c r="A8293" s="951"/>
      <c r="B8293" s="951"/>
    </row>
    <row r="8294" spans="1:2">
      <c r="A8294" s="951"/>
      <c r="B8294" s="951"/>
    </row>
    <row r="8295" spans="1:2">
      <c r="A8295" s="951"/>
      <c r="B8295" s="951"/>
    </row>
    <row r="8296" spans="1:2">
      <c r="A8296" s="951"/>
      <c r="B8296" s="951"/>
    </row>
    <row r="8297" spans="1:2">
      <c r="A8297" s="951"/>
      <c r="B8297" s="951"/>
    </row>
    <row r="8298" spans="1:2">
      <c r="A8298" s="951"/>
      <c r="B8298" s="951"/>
    </row>
    <row r="8299" spans="1:2">
      <c r="A8299" s="951"/>
      <c r="B8299" s="951"/>
    </row>
    <row r="8300" spans="1:2">
      <c r="A8300" s="951"/>
      <c r="B8300" s="951"/>
    </row>
    <row r="8301" spans="1:2">
      <c r="A8301" s="951"/>
      <c r="B8301" s="951"/>
    </row>
    <row r="8302" spans="1:2">
      <c r="A8302" s="951"/>
      <c r="B8302" s="951"/>
    </row>
    <row r="8303" spans="1:2">
      <c r="A8303" s="951"/>
      <c r="B8303" s="951"/>
    </row>
    <row r="8304" spans="1:2">
      <c r="A8304" s="951"/>
      <c r="B8304" s="951"/>
    </row>
    <row r="8305" spans="1:2">
      <c r="A8305" s="951"/>
      <c r="B8305" s="951"/>
    </row>
    <row r="8306" spans="1:2">
      <c r="A8306" s="951"/>
      <c r="B8306" s="951"/>
    </row>
    <row r="8307" spans="1:2">
      <c r="A8307" s="951"/>
      <c r="B8307" s="951"/>
    </row>
    <row r="8308" spans="1:2">
      <c r="A8308" s="951"/>
      <c r="B8308" s="951"/>
    </row>
    <row r="8309" spans="1:2">
      <c r="A8309" s="951"/>
      <c r="B8309" s="951"/>
    </row>
    <row r="8310" spans="1:2">
      <c r="A8310" s="951"/>
      <c r="B8310" s="951"/>
    </row>
    <row r="8311" spans="1:2">
      <c r="A8311" s="951"/>
      <c r="B8311" s="951"/>
    </row>
    <row r="8312" spans="1:2">
      <c r="A8312" s="951"/>
      <c r="B8312" s="951"/>
    </row>
    <row r="8313" spans="1:2">
      <c r="A8313" s="951"/>
      <c r="B8313" s="951"/>
    </row>
    <row r="8314" spans="1:2">
      <c r="A8314" s="951"/>
      <c r="B8314" s="951"/>
    </row>
    <row r="8315" spans="1:2">
      <c r="A8315" s="951"/>
      <c r="B8315" s="951"/>
    </row>
    <row r="8316" spans="1:2">
      <c r="A8316" s="951"/>
      <c r="B8316" s="951"/>
    </row>
    <row r="8317" spans="1:2">
      <c r="A8317" s="951"/>
      <c r="B8317" s="951"/>
    </row>
    <row r="8318" spans="1:2">
      <c r="A8318" s="951"/>
      <c r="B8318" s="951"/>
    </row>
    <row r="8319" spans="1:2">
      <c r="A8319" s="951"/>
      <c r="B8319" s="951"/>
    </row>
    <row r="8320" spans="1:2">
      <c r="A8320" s="951"/>
      <c r="B8320" s="951"/>
    </row>
    <row r="8321" spans="1:2">
      <c r="A8321" s="951"/>
      <c r="B8321" s="951"/>
    </row>
    <row r="8322" spans="1:2">
      <c r="A8322" s="951"/>
      <c r="B8322" s="951"/>
    </row>
    <row r="8323" spans="1:2">
      <c r="A8323" s="951"/>
      <c r="B8323" s="951"/>
    </row>
    <row r="8324" spans="1:2">
      <c r="A8324" s="951"/>
      <c r="B8324" s="951"/>
    </row>
    <row r="8325" spans="1:2">
      <c r="A8325" s="951"/>
      <c r="B8325" s="951"/>
    </row>
    <row r="8326" spans="1:2">
      <c r="A8326" s="951"/>
      <c r="B8326" s="951"/>
    </row>
    <row r="8327" spans="1:2">
      <c r="A8327" s="951"/>
      <c r="B8327" s="951"/>
    </row>
    <row r="8328" spans="1:2">
      <c r="A8328" s="951"/>
      <c r="B8328" s="951"/>
    </row>
    <row r="8329" spans="1:2">
      <c r="A8329" s="951"/>
      <c r="B8329" s="951"/>
    </row>
    <row r="8330" spans="1:2">
      <c r="A8330" s="951"/>
      <c r="B8330" s="951"/>
    </row>
    <row r="8331" spans="1:2">
      <c r="A8331" s="951"/>
      <c r="B8331" s="951"/>
    </row>
    <row r="8332" spans="1:2">
      <c r="A8332" s="951"/>
      <c r="B8332" s="951"/>
    </row>
    <row r="8333" spans="1:2">
      <c r="A8333" s="951"/>
      <c r="B8333" s="951"/>
    </row>
    <row r="8334" spans="1:2">
      <c r="A8334" s="951"/>
      <c r="B8334" s="951"/>
    </row>
    <row r="8335" spans="1:2">
      <c r="A8335" s="951"/>
      <c r="B8335" s="951"/>
    </row>
    <row r="8336" spans="1:2">
      <c r="A8336" s="951"/>
      <c r="B8336" s="951"/>
    </row>
    <row r="8337" spans="1:2">
      <c r="A8337" s="951"/>
      <c r="B8337" s="951"/>
    </row>
    <row r="8338" spans="1:2">
      <c r="A8338" s="951"/>
      <c r="B8338" s="951"/>
    </row>
    <row r="8339" spans="1:2">
      <c r="A8339" s="951"/>
      <c r="B8339" s="951"/>
    </row>
    <row r="8340" spans="1:2">
      <c r="A8340" s="951"/>
      <c r="B8340" s="951"/>
    </row>
    <row r="8341" spans="1:2">
      <c r="A8341" s="951"/>
      <c r="B8341" s="951"/>
    </row>
    <row r="8342" spans="1:2">
      <c r="A8342" s="951"/>
      <c r="B8342" s="951"/>
    </row>
    <row r="8343" spans="1:2">
      <c r="A8343" s="951"/>
      <c r="B8343" s="951"/>
    </row>
    <row r="8344" spans="1:2">
      <c r="A8344" s="951"/>
      <c r="B8344" s="951"/>
    </row>
    <row r="8345" spans="1:2">
      <c r="A8345" s="951"/>
      <c r="B8345" s="951"/>
    </row>
    <row r="8346" spans="1:2">
      <c r="A8346" s="951"/>
      <c r="B8346" s="951"/>
    </row>
    <row r="8347" spans="1:2">
      <c r="A8347" s="951"/>
      <c r="B8347" s="951"/>
    </row>
    <row r="8348" spans="1:2">
      <c r="A8348" s="951"/>
      <c r="B8348" s="951"/>
    </row>
    <row r="8349" spans="1:2">
      <c r="A8349" s="951"/>
      <c r="B8349" s="951"/>
    </row>
    <row r="8350" spans="1:2">
      <c r="A8350" s="951"/>
      <c r="B8350" s="951"/>
    </row>
    <row r="8351" spans="1:2">
      <c r="A8351" s="951"/>
      <c r="B8351" s="951"/>
    </row>
    <row r="8352" spans="1:2">
      <c r="A8352" s="951"/>
      <c r="B8352" s="951"/>
    </row>
    <row r="8353" spans="1:2">
      <c r="A8353" s="951"/>
      <c r="B8353" s="951"/>
    </row>
    <row r="8354" spans="1:2">
      <c r="A8354" s="951"/>
      <c r="B8354" s="951"/>
    </row>
    <row r="8355" spans="1:2">
      <c r="A8355" s="951"/>
      <c r="B8355" s="951"/>
    </row>
    <row r="8356" spans="1:2">
      <c r="A8356" s="951"/>
      <c r="B8356" s="951"/>
    </row>
    <row r="8357" spans="1:2">
      <c r="A8357" s="951"/>
      <c r="B8357" s="951"/>
    </row>
    <row r="8358" spans="1:2">
      <c r="A8358" s="951"/>
      <c r="B8358" s="951"/>
    </row>
    <row r="8359" spans="1:2">
      <c r="A8359" s="951"/>
      <c r="B8359" s="951"/>
    </row>
    <row r="8360" spans="1:2">
      <c r="A8360" s="951"/>
      <c r="B8360" s="951"/>
    </row>
    <row r="8361" spans="1:2">
      <c r="A8361" s="951"/>
      <c r="B8361" s="951"/>
    </row>
    <row r="8362" spans="1:2">
      <c r="A8362" s="951"/>
      <c r="B8362" s="951"/>
    </row>
    <row r="8363" spans="1:2">
      <c r="A8363" s="951"/>
      <c r="B8363" s="951"/>
    </row>
    <row r="8364" spans="1:2">
      <c r="A8364" s="951"/>
      <c r="B8364" s="951"/>
    </row>
    <row r="8365" spans="1:2">
      <c r="A8365" s="951"/>
      <c r="B8365" s="951"/>
    </row>
    <row r="8366" spans="1:2">
      <c r="A8366" s="951"/>
      <c r="B8366" s="951"/>
    </row>
    <row r="8367" spans="1:2">
      <c r="A8367" s="951"/>
      <c r="B8367" s="951"/>
    </row>
    <row r="8368" spans="1:2">
      <c r="A8368" s="951"/>
      <c r="B8368" s="951"/>
    </row>
    <row r="8369" spans="1:2">
      <c r="A8369" s="951"/>
      <c r="B8369" s="951"/>
    </row>
    <row r="8370" spans="1:2">
      <c r="A8370" s="951"/>
      <c r="B8370" s="951"/>
    </row>
    <row r="8371" spans="1:2">
      <c r="A8371" s="951"/>
      <c r="B8371" s="951"/>
    </row>
    <row r="8372" spans="1:2">
      <c r="A8372" s="951"/>
      <c r="B8372" s="951"/>
    </row>
    <row r="8373" spans="1:2">
      <c r="A8373" s="951"/>
      <c r="B8373" s="951"/>
    </row>
    <row r="8374" spans="1:2">
      <c r="A8374" s="951"/>
      <c r="B8374" s="951"/>
    </row>
    <row r="8375" spans="1:2">
      <c r="A8375" s="951"/>
      <c r="B8375" s="951"/>
    </row>
    <row r="8376" spans="1:2">
      <c r="A8376" s="951"/>
      <c r="B8376" s="951"/>
    </row>
    <row r="8377" spans="1:2">
      <c r="A8377" s="951"/>
      <c r="B8377" s="951"/>
    </row>
    <row r="8378" spans="1:2">
      <c r="A8378" s="951"/>
      <c r="B8378" s="951"/>
    </row>
    <row r="8379" spans="1:2">
      <c r="A8379" s="951"/>
      <c r="B8379" s="951"/>
    </row>
    <row r="8380" spans="1:2">
      <c r="A8380" s="951"/>
      <c r="B8380" s="951"/>
    </row>
    <row r="8381" spans="1:2">
      <c r="A8381" s="951"/>
      <c r="B8381" s="951"/>
    </row>
    <row r="8382" spans="1:2">
      <c r="A8382" s="951"/>
      <c r="B8382" s="951"/>
    </row>
    <row r="8383" spans="1:2">
      <c r="A8383" s="951"/>
      <c r="B8383" s="951"/>
    </row>
    <row r="8384" spans="1:2">
      <c r="A8384" s="951"/>
      <c r="B8384" s="951"/>
    </row>
    <row r="8385" spans="1:2">
      <c r="A8385" s="951"/>
      <c r="B8385" s="951"/>
    </row>
    <row r="8386" spans="1:2">
      <c r="A8386" s="951"/>
      <c r="B8386" s="951"/>
    </row>
    <row r="8387" spans="1:2">
      <c r="A8387" s="951"/>
      <c r="B8387" s="951"/>
    </row>
    <row r="8388" spans="1:2">
      <c r="A8388" s="951"/>
      <c r="B8388" s="951"/>
    </row>
    <row r="8389" spans="1:2">
      <c r="A8389" s="951"/>
      <c r="B8389" s="951"/>
    </row>
    <row r="8390" spans="1:2">
      <c r="A8390" s="951"/>
      <c r="B8390" s="951"/>
    </row>
    <row r="8391" spans="1:2">
      <c r="A8391" s="951"/>
      <c r="B8391" s="951"/>
    </row>
    <row r="8392" spans="1:2">
      <c r="A8392" s="951"/>
      <c r="B8392" s="951"/>
    </row>
    <row r="8393" spans="1:2">
      <c r="A8393" s="951"/>
      <c r="B8393" s="951"/>
    </row>
    <row r="8394" spans="1:2">
      <c r="A8394" s="951"/>
      <c r="B8394" s="951"/>
    </row>
    <row r="8395" spans="1:2">
      <c r="A8395" s="951"/>
      <c r="B8395" s="951"/>
    </row>
    <row r="8396" spans="1:2">
      <c r="A8396" s="951"/>
      <c r="B8396" s="951"/>
    </row>
    <row r="8397" spans="1:2">
      <c r="A8397" s="951"/>
      <c r="B8397" s="951"/>
    </row>
    <row r="8398" spans="1:2">
      <c r="A8398" s="951"/>
      <c r="B8398" s="951"/>
    </row>
    <row r="8399" spans="1:2">
      <c r="A8399" s="951"/>
      <c r="B8399" s="951"/>
    </row>
    <row r="8400" spans="1:2">
      <c r="A8400" s="951"/>
      <c r="B8400" s="951"/>
    </row>
    <row r="8401" spans="1:2">
      <c r="A8401" s="951"/>
      <c r="B8401" s="951"/>
    </row>
    <row r="8402" spans="1:2">
      <c r="A8402" s="951"/>
      <c r="B8402" s="951"/>
    </row>
    <row r="8403" spans="1:2">
      <c r="A8403" s="951"/>
      <c r="B8403" s="951"/>
    </row>
    <row r="8404" spans="1:2">
      <c r="A8404" s="951"/>
      <c r="B8404" s="951"/>
    </row>
    <row r="8405" spans="1:2">
      <c r="A8405" s="951"/>
      <c r="B8405" s="951"/>
    </row>
    <row r="8406" spans="1:2">
      <c r="A8406" s="951"/>
      <c r="B8406" s="951"/>
    </row>
    <row r="8407" spans="1:2">
      <c r="A8407" s="951"/>
      <c r="B8407" s="951"/>
    </row>
    <row r="8408" spans="1:2">
      <c r="A8408" s="951"/>
      <c r="B8408" s="951"/>
    </row>
    <row r="8409" spans="1:2">
      <c r="A8409" s="951"/>
      <c r="B8409" s="951"/>
    </row>
    <row r="8410" spans="1:2">
      <c r="A8410" s="951"/>
      <c r="B8410" s="951"/>
    </row>
    <row r="8411" spans="1:2">
      <c r="A8411" s="951"/>
      <c r="B8411" s="951"/>
    </row>
    <row r="8412" spans="1:2">
      <c r="A8412" s="951"/>
      <c r="B8412" s="951"/>
    </row>
    <row r="8413" spans="1:2">
      <c r="A8413" s="951"/>
      <c r="B8413" s="951"/>
    </row>
    <row r="8414" spans="1:2">
      <c r="A8414" s="951"/>
      <c r="B8414" s="951"/>
    </row>
    <row r="8415" spans="1:2">
      <c r="A8415" s="951"/>
      <c r="B8415" s="951"/>
    </row>
    <row r="8416" spans="1:2">
      <c r="A8416" s="951"/>
      <c r="B8416" s="951"/>
    </row>
    <row r="8417" spans="1:2">
      <c r="A8417" s="951"/>
      <c r="B8417" s="951"/>
    </row>
    <row r="8418" spans="1:2">
      <c r="A8418" s="951"/>
      <c r="B8418" s="951"/>
    </row>
    <row r="8419" spans="1:2">
      <c r="A8419" s="951"/>
      <c r="B8419" s="951"/>
    </row>
    <row r="8420" spans="1:2">
      <c r="A8420" s="951"/>
      <c r="B8420" s="951"/>
    </row>
    <row r="8421" spans="1:2">
      <c r="A8421" s="951"/>
      <c r="B8421" s="951"/>
    </row>
    <row r="8422" spans="1:2">
      <c r="A8422" s="951"/>
      <c r="B8422" s="951"/>
    </row>
    <row r="8423" spans="1:2">
      <c r="A8423" s="951"/>
      <c r="B8423" s="951"/>
    </row>
    <row r="8424" spans="1:2">
      <c r="A8424" s="951"/>
      <c r="B8424" s="951"/>
    </row>
    <row r="8425" spans="1:2">
      <c r="A8425" s="951"/>
      <c r="B8425" s="951"/>
    </row>
    <row r="8426" spans="1:2">
      <c r="A8426" s="951"/>
      <c r="B8426" s="951"/>
    </row>
    <row r="8427" spans="1:2">
      <c r="A8427" s="951"/>
      <c r="B8427" s="951"/>
    </row>
    <row r="8428" spans="1:2">
      <c r="A8428" s="951"/>
      <c r="B8428" s="951"/>
    </row>
    <row r="8429" spans="1:2">
      <c r="A8429" s="951"/>
      <c r="B8429" s="951"/>
    </row>
    <row r="8430" spans="1:2">
      <c r="A8430" s="951"/>
      <c r="B8430" s="951"/>
    </row>
    <row r="8431" spans="1:2">
      <c r="A8431" s="951"/>
      <c r="B8431" s="951"/>
    </row>
    <row r="8432" spans="1:2">
      <c r="A8432" s="951"/>
      <c r="B8432" s="951"/>
    </row>
    <row r="8433" spans="1:2">
      <c r="A8433" s="951"/>
      <c r="B8433" s="951"/>
    </row>
    <row r="8434" spans="1:2">
      <c r="A8434" s="951"/>
      <c r="B8434" s="951"/>
    </row>
    <row r="8435" spans="1:2">
      <c r="A8435" s="951"/>
      <c r="B8435" s="951"/>
    </row>
    <row r="8436" spans="1:2">
      <c r="A8436" s="951"/>
      <c r="B8436" s="951"/>
    </row>
    <row r="8437" spans="1:2">
      <c r="A8437" s="951"/>
      <c r="B8437" s="951"/>
    </row>
    <row r="8438" spans="1:2">
      <c r="A8438" s="951"/>
      <c r="B8438" s="951"/>
    </row>
    <row r="8439" spans="1:2">
      <c r="A8439" s="951"/>
      <c r="B8439" s="951"/>
    </row>
    <row r="8440" spans="1:2">
      <c r="A8440" s="951"/>
      <c r="B8440" s="951"/>
    </row>
    <row r="8441" spans="1:2">
      <c r="A8441" s="951"/>
      <c r="B8441" s="951"/>
    </row>
    <row r="8442" spans="1:2">
      <c r="A8442" s="951"/>
      <c r="B8442" s="951"/>
    </row>
    <row r="8443" spans="1:2">
      <c r="A8443" s="951"/>
      <c r="B8443" s="951"/>
    </row>
    <row r="8444" spans="1:2">
      <c r="A8444" s="951"/>
      <c r="B8444" s="951"/>
    </row>
    <row r="8445" spans="1:2">
      <c r="A8445" s="951"/>
      <c r="B8445" s="951"/>
    </row>
    <row r="8446" spans="1:2">
      <c r="A8446" s="951"/>
      <c r="B8446" s="951"/>
    </row>
    <row r="8447" spans="1:2">
      <c r="A8447" s="951"/>
      <c r="B8447" s="951"/>
    </row>
    <row r="8448" spans="1:2">
      <c r="A8448" s="951"/>
      <c r="B8448" s="951"/>
    </row>
    <row r="8449" spans="1:2">
      <c r="A8449" s="951"/>
      <c r="B8449" s="951"/>
    </row>
    <row r="8450" spans="1:2">
      <c r="A8450" s="951"/>
      <c r="B8450" s="951"/>
    </row>
    <row r="8451" spans="1:2">
      <c r="A8451" s="951"/>
      <c r="B8451" s="951"/>
    </row>
    <row r="8452" spans="1:2">
      <c r="A8452" s="951"/>
      <c r="B8452" s="951"/>
    </row>
    <row r="8453" spans="1:2">
      <c r="A8453" s="951"/>
      <c r="B8453" s="951"/>
    </row>
    <row r="8454" spans="1:2">
      <c r="A8454" s="951"/>
      <c r="B8454" s="951"/>
    </row>
    <row r="8455" spans="1:2">
      <c r="A8455" s="951"/>
      <c r="B8455" s="951"/>
    </row>
    <row r="8456" spans="1:2">
      <c r="A8456" s="951"/>
      <c r="B8456" s="951"/>
    </row>
    <row r="8457" spans="1:2">
      <c r="A8457" s="951"/>
      <c r="B8457" s="951"/>
    </row>
    <row r="8458" spans="1:2">
      <c r="A8458" s="951"/>
      <c r="B8458" s="951"/>
    </row>
    <row r="8459" spans="1:2">
      <c r="A8459" s="951"/>
      <c r="B8459" s="951"/>
    </row>
    <row r="8460" spans="1:2">
      <c r="A8460" s="951"/>
      <c r="B8460" s="951"/>
    </row>
    <row r="8461" spans="1:2">
      <c r="A8461" s="951"/>
      <c r="B8461" s="951"/>
    </row>
    <row r="8462" spans="1:2">
      <c r="A8462" s="951"/>
      <c r="B8462" s="951"/>
    </row>
    <row r="8463" spans="1:2">
      <c r="A8463" s="951"/>
      <c r="B8463" s="951"/>
    </row>
    <row r="8464" spans="1:2">
      <c r="A8464" s="951"/>
      <c r="B8464" s="951"/>
    </row>
    <row r="8465" spans="1:2">
      <c r="A8465" s="951"/>
      <c r="B8465" s="951"/>
    </row>
    <row r="8466" spans="1:2">
      <c r="A8466" s="951"/>
      <c r="B8466" s="951"/>
    </row>
    <row r="8467" spans="1:2">
      <c r="A8467" s="951"/>
      <c r="B8467" s="951"/>
    </row>
    <row r="8468" spans="1:2">
      <c r="A8468" s="951"/>
      <c r="B8468" s="951"/>
    </row>
    <row r="8469" spans="1:2">
      <c r="A8469" s="951"/>
      <c r="B8469" s="951"/>
    </row>
    <row r="8470" spans="1:2">
      <c r="A8470" s="951"/>
      <c r="B8470" s="951"/>
    </row>
    <row r="8471" spans="1:2">
      <c r="A8471" s="951"/>
      <c r="B8471" s="951"/>
    </row>
    <row r="8472" spans="1:2">
      <c r="A8472" s="951"/>
      <c r="B8472" s="951"/>
    </row>
    <row r="8473" spans="1:2">
      <c r="A8473" s="951"/>
      <c r="B8473" s="951"/>
    </row>
    <row r="8474" spans="1:2">
      <c r="A8474" s="951"/>
      <c r="B8474" s="951"/>
    </row>
    <row r="8475" spans="1:2">
      <c r="A8475" s="951"/>
      <c r="B8475" s="951"/>
    </row>
    <row r="8476" spans="1:2">
      <c r="A8476" s="951"/>
      <c r="B8476" s="951"/>
    </row>
    <row r="8477" spans="1:2">
      <c r="A8477" s="951"/>
      <c r="B8477" s="951"/>
    </row>
    <row r="8478" spans="1:2">
      <c r="A8478" s="951"/>
      <c r="B8478" s="951"/>
    </row>
    <row r="8479" spans="1:2">
      <c r="A8479" s="951"/>
      <c r="B8479" s="951"/>
    </row>
    <row r="8480" spans="1:2">
      <c r="A8480" s="951"/>
      <c r="B8480" s="951"/>
    </row>
    <row r="8481" spans="1:2">
      <c r="A8481" s="951"/>
      <c r="B8481" s="951"/>
    </row>
    <row r="8482" spans="1:2">
      <c r="A8482" s="951"/>
      <c r="B8482" s="951"/>
    </row>
    <row r="8483" spans="1:2">
      <c r="A8483" s="951"/>
      <c r="B8483" s="951"/>
    </row>
    <row r="8484" spans="1:2">
      <c r="A8484" s="951"/>
      <c r="B8484" s="951"/>
    </row>
    <row r="8485" spans="1:2">
      <c r="A8485" s="951"/>
      <c r="B8485" s="951"/>
    </row>
    <row r="8486" spans="1:2">
      <c r="A8486" s="951"/>
      <c r="B8486" s="951"/>
    </row>
    <row r="8487" spans="1:2">
      <c r="A8487" s="951"/>
      <c r="B8487" s="951"/>
    </row>
    <row r="8488" spans="1:2">
      <c r="A8488" s="951"/>
      <c r="B8488" s="951"/>
    </row>
    <row r="8489" spans="1:2">
      <c r="A8489" s="951"/>
      <c r="B8489" s="951"/>
    </row>
    <row r="8490" spans="1:2">
      <c r="A8490" s="951"/>
      <c r="B8490" s="951"/>
    </row>
    <row r="8491" spans="1:2">
      <c r="A8491" s="951"/>
      <c r="B8491" s="951"/>
    </row>
    <row r="8492" spans="1:2">
      <c r="A8492" s="951"/>
      <c r="B8492" s="951"/>
    </row>
    <row r="8493" spans="1:2">
      <c r="A8493" s="951"/>
      <c r="B8493" s="951"/>
    </row>
    <row r="8494" spans="1:2">
      <c r="A8494" s="951"/>
      <c r="B8494" s="951"/>
    </row>
    <row r="8495" spans="1:2">
      <c r="A8495" s="951"/>
      <c r="B8495" s="951"/>
    </row>
    <row r="8496" spans="1:2">
      <c r="A8496" s="951"/>
      <c r="B8496" s="951"/>
    </row>
    <row r="8497" spans="1:2">
      <c r="A8497" s="951"/>
      <c r="B8497" s="951"/>
    </row>
    <row r="8498" spans="1:2">
      <c r="A8498" s="951"/>
      <c r="B8498" s="951"/>
    </row>
    <row r="8499" spans="1:2">
      <c r="A8499" s="951"/>
      <c r="B8499" s="951"/>
    </row>
    <row r="8500" spans="1:2">
      <c r="A8500" s="951"/>
      <c r="B8500" s="951"/>
    </row>
    <row r="8501" spans="1:2">
      <c r="A8501" s="951"/>
      <c r="B8501" s="951"/>
    </row>
    <row r="8502" spans="1:2">
      <c r="A8502" s="951"/>
      <c r="B8502" s="951"/>
    </row>
    <row r="8503" spans="1:2">
      <c r="A8503" s="951"/>
      <c r="B8503" s="951"/>
    </row>
    <row r="8504" spans="1:2">
      <c r="A8504" s="951"/>
      <c r="B8504" s="951"/>
    </row>
    <row r="8505" spans="1:2">
      <c r="A8505" s="951"/>
      <c r="B8505" s="951"/>
    </row>
    <row r="8506" spans="1:2">
      <c r="A8506" s="951"/>
      <c r="B8506" s="951"/>
    </row>
    <row r="8507" spans="1:2">
      <c r="A8507" s="951"/>
      <c r="B8507" s="951"/>
    </row>
    <row r="8508" spans="1:2">
      <c r="A8508" s="951"/>
      <c r="B8508" s="951"/>
    </row>
    <row r="8509" spans="1:2">
      <c r="A8509" s="951"/>
      <c r="B8509" s="951"/>
    </row>
    <row r="8510" spans="1:2">
      <c r="A8510" s="951"/>
      <c r="B8510" s="951"/>
    </row>
    <row r="8511" spans="1:2">
      <c r="A8511" s="951"/>
      <c r="B8511" s="951"/>
    </row>
    <row r="8512" spans="1:2">
      <c r="A8512" s="951"/>
      <c r="B8512" s="951"/>
    </row>
    <row r="8513" spans="1:2">
      <c r="A8513" s="951"/>
      <c r="B8513" s="951"/>
    </row>
    <row r="8514" spans="1:2">
      <c r="A8514" s="951"/>
      <c r="B8514" s="951"/>
    </row>
    <row r="8515" spans="1:2">
      <c r="A8515" s="951"/>
      <c r="B8515" s="951"/>
    </row>
    <row r="8516" spans="1:2">
      <c r="A8516" s="951"/>
      <c r="B8516" s="951"/>
    </row>
    <row r="8517" spans="1:2">
      <c r="A8517" s="951"/>
      <c r="B8517" s="951"/>
    </row>
    <row r="8518" spans="1:2">
      <c r="A8518" s="951"/>
      <c r="B8518" s="951"/>
    </row>
    <row r="8519" spans="1:2">
      <c r="A8519" s="951"/>
      <c r="B8519" s="951"/>
    </row>
    <row r="8520" spans="1:2">
      <c r="A8520" s="951"/>
      <c r="B8520" s="951"/>
    </row>
    <row r="8521" spans="1:2">
      <c r="A8521" s="951"/>
      <c r="B8521" s="951"/>
    </row>
    <row r="8522" spans="1:2">
      <c r="A8522" s="951"/>
      <c r="B8522" s="951"/>
    </row>
    <row r="8523" spans="1:2">
      <c r="A8523" s="951"/>
      <c r="B8523" s="951"/>
    </row>
    <row r="8524" spans="1:2">
      <c r="A8524" s="951"/>
      <c r="B8524" s="951"/>
    </row>
    <row r="8525" spans="1:2">
      <c r="A8525" s="951"/>
      <c r="B8525" s="951"/>
    </row>
    <row r="8526" spans="1:2">
      <c r="A8526" s="951"/>
      <c r="B8526" s="951"/>
    </row>
    <row r="8527" spans="1:2">
      <c r="A8527" s="951"/>
      <c r="B8527" s="951"/>
    </row>
    <row r="8528" spans="1:2">
      <c r="A8528" s="951"/>
      <c r="B8528" s="951"/>
    </row>
    <row r="8529" spans="1:2">
      <c r="A8529" s="951"/>
      <c r="B8529" s="951"/>
    </row>
    <row r="8530" spans="1:2">
      <c r="A8530" s="951"/>
      <c r="B8530" s="951"/>
    </row>
    <row r="8531" spans="1:2">
      <c r="A8531" s="951"/>
      <c r="B8531" s="951"/>
    </row>
    <row r="8532" spans="1:2">
      <c r="A8532" s="951"/>
      <c r="B8532" s="951"/>
    </row>
    <row r="8533" spans="1:2">
      <c r="A8533" s="951"/>
      <c r="B8533" s="951"/>
    </row>
    <row r="8534" spans="1:2">
      <c r="A8534" s="951"/>
      <c r="B8534" s="951"/>
    </row>
    <row r="8535" spans="1:2">
      <c r="A8535" s="951"/>
      <c r="B8535" s="951"/>
    </row>
    <row r="8536" spans="1:2">
      <c r="A8536" s="951"/>
      <c r="B8536" s="951"/>
    </row>
    <row r="8537" spans="1:2">
      <c r="A8537" s="951"/>
      <c r="B8537" s="951"/>
    </row>
    <row r="8538" spans="1:2">
      <c r="A8538" s="951"/>
      <c r="B8538" s="951"/>
    </row>
    <row r="8539" spans="1:2">
      <c r="A8539" s="951"/>
      <c r="B8539" s="951"/>
    </row>
    <row r="8540" spans="1:2">
      <c r="A8540" s="951"/>
      <c r="B8540" s="951"/>
    </row>
    <row r="8541" spans="1:2">
      <c r="A8541" s="951"/>
      <c r="B8541" s="951"/>
    </row>
    <row r="8542" spans="1:2">
      <c r="A8542" s="951"/>
      <c r="B8542" s="951"/>
    </row>
    <row r="8543" spans="1:2">
      <c r="A8543" s="951"/>
      <c r="B8543" s="951"/>
    </row>
    <row r="8544" spans="1:2">
      <c r="A8544" s="951"/>
      <c r="B8544" s="951"/>
    </row>
    <row r="8545" spans="1:2">
      <c r="A8545" s="951"/>
      <c r="B8545" s="951"/>
    </row>
    <row r="8546" spans="1:2">
      <c r="A8546" s="951"/>
      <c r="B8546" s="951"/>
    </row>
    <row r="8547" spans="1:2">
      <c r="A8547" s="951"/>
      <c r="B8547" s="951"/>
    </row>
    <row r="8548" spans="1:2">
      <c r="A8548" s="951"/>
      <c r="B8548" s="951"/>
    </row>
    <row r="8549" spans="1:2">
      <c r="A8549" s="951"/>
      <c r="B8549" s="951"/>
    </row>
    <row r="8550" spans="1:2">
      <c r="A8550" s="951"/>
      <c r="B8550" s="951"/>
    </row>
    <row r="8551" spans="1:2">
      <c r="A8551" s="951"/>
      <c r="B8551" s="951"/>
    </row>
    <row r="8552" spans="1:2">
      <c r="A8552" s="951"/>
      <c r="B8552" s="951"/>
    </row>
    <row r="8553" spans="1:2">
      <c r="A8553" s="951"/>
      <c r="B8553" s="951"/>
    </row>
    <row r="8554" spans="1:2">
      <c r="A8554" s="951"/>
      <c r="B8554" s="951"/>
    </row>
    <row r="8555" spans="1:2">
      <c r="A8555" s="951"/>
      <c r="B8555" s="951"/>
    </row>
    <row r="8556" spans="1:2">
      <c r="A8556" s="951"/>
      <c r="B8556" s="951"/>
    </row>
    <row r="8557" spans="1:2">
      <c r="A8557" s="951"/>
      <c r="B8557" s="951"/>
    </row>
    <row r="8558" spans="1:2">
      <c r="A8558" s="951"/>
      <c r="B8558" s="951"/>
    </row>
    <row r="8559" spans="1:2">
      <c r="A8559" s="951"/>
      <c r="B8559" s="951"/>
    </row>
    <row r="8560" spans="1:2">
      <c r="A8560" s="951"/>
      <c r="B8560" s="951"/>
    </row>
    <row r="8561" spans="1:2">
      <c r="A8561" s="951"/>
      <c r="B8561" s="951"/>
    </row>
    <row r="8562" spans="1:2">
      <c r="A8562" s="951"/>
      <c r="B8562" s="951"/>
    </row>
    <row r="8563" spans="1:2">
      <c r="A8563" s="951"/>
      <c r="B8563" s="951"/>
    </row>
    <row r="8564" spans="1:2">
      <c r="A8564" s="951"/>
      <c r="B8564" s="951"/>
    </row>
    <row r="8565" spans="1:2">
      <c r="A8565" s="951"/>
      <c r="B8565" s="951"/>
    </row>
    <row r="8566" spans="1:2">
      <c r="A8566" s="951"/>
      <c r="B8566" s="951"/>
    </row>
    <row r="8567" spans="1:2">
      <c r="A8567" s="951"/>
      <c r="B8567" s="951"/>
    </row>
    <row r="8568" spans="1:2">
      <c r="A8568" s="951"/>
      <c r="B8568" s="951"/>
    </row>
    <row r="8569" spans="1:2">
      <c r="A8569" s="951"/>
      <c r="B8569" s="951"/>
    </row>
    <row r="8570" spans="1:2">
      <c r="A8570" s="951"/>
      <c r="B8570" s="951"/>
    </row>
    <row r="8571" spans="1:2">
      <c r="A8571" s="951"/>
      <c r="B8571" s="951"/>
    </row>
    <row r="8572" spans="1:2">
      <c r="A8572" s="951"/>
      <c r="B8572" s="951"/>
    </row>
    <row r="8573" spans="1:2">
      <c r="A8573" s="951"/>
      <c r="B8573" s="951"/>
    </row>
    <row r="8574" spans="1:2">
      <c r="A8574" s="951"/>
      <c r="B8574" s="951"/>
    </row>
    <row r="8575" spans="1:2">
      <c r="A8575" s="951"/>
      <c r="B8575" s="951"/>
    </row>
    <row r="8576" spans="1:2">
      <c r="A8576" s="951"/>
      <c r="B8576" s="951"/>
    </row>
    <row r="8577" spans="1:2">
      <c r="A8577" s="951"/>
      <c r="B8577" s="951"/>
    </row>
    <row r="8578" spans="1:2">
      <c r="A8578" s="951"/>
      <c r="B8578" s="951"/>
    </row>
    <row r="8579" spans="1:2">
      <c r="A8579" s="951"/>
      <c r="B8579" s="951"/>
    </row>
    <row r="8580" spans="1:2">
      <c r="A8580" s="951"/>
      <c r="B8580" s="951"/>
    </row>
    <row r="8581" spans="1:2">
      <c r="A8581" s="951"/>
      <c r="B8581" s="951"/>
    </row>
    <row r="8582" spans="1:2">
      <c r="A8582" s="951"/>
      <c r="B8582" s="951"/>
    </row>
    <row r="8583" spans="1:2">
      <c r="A8583" s="951"/>
      <c r="B8583" s="951"/>
    </row>
    <row r="8584" spans="1:2">
      <c r="A8584" s="951"/>
      <c r="B8584" s="951"/>
    </row>
    <row r="8585" spans="1:2">
      <c r="A8585" s="951"/>
      <c r="B8585" s="951"/>
    </row>
    <row r="8586" spans="1:2">
      <c r="A8586" s="951"/>
      <c r="B8586" s="951"/>
    </row>
    <row r="8587" spans="1:2">
      <c r="A8587" s="951"/>
      <c r="B8587" s="951"/>
    </row>
    <row r="8588" spans="1:2">
      <c r="A8588" s="951"/>
      <c r="B8588" s="951"/>
    </row>
    <row r="8589" spans="1:2">
      <c r="A8589" s="951"/>
      <c r="B8589" s="951"/>
    </row>
    <row r="8590" spans="1:2">
      <c r="A8590" s="951"/>
      <c r="B8590" s="951"/>
    </row>
    <row r="8591" spans="1:2">
      <c r="A8591" s="951"/>
      <c r="B8591" s="951"/>
    </row>
    <row r="8592" spans="1:2">
      <c r="A8592" s="951"/>
      <c r="B8592" s="951"/>
    </row>
    <row r="8593" spans="1:2">
      <c r="A8593" s="951"/>
      <c r="B8593" s="951"/>
    </row>
    <row r="8594" spans="1:2">
      <c r="A8594" s="951"/>
      <c r="B8594" s="951"/>
    </row>
    <row r="8595" spans="1:2">
      <c r="A8595" s="951"/>
      <c r="B8595" s="951"/>
    </row>
    <row r="8596" spans="1:2">
      <c r="A8596" s="951"/>
      <c r="B8596" s="951"/>
    </row>
    <row r="8597" spans="1:2">
      <c r="A8597" s="951"/>
      <c r="B8597" s="951"/>
    </row>
    <row r="8598" spans="1:2">
      <c r="A8598" s="951"/>
      <c r="B8598" s="951"/>
    </row>
    <row r="8599" spans="1:2">
      <c r="A8599" s="951"/>
      <c r="B8599" s="951"/>
    </row>
    <row r="8600" spans="1:2">
      <c r="A8600" s="951"/>
      <c r="B8600" s="951"/>
    </row>
    <row r="8601" spans="1:2">
      <c r="A8601" s="951"/>
      <c r="B8601" s="951"/>
    </row>
    <row r="8602" spans="1:2">
      <c r="A8602" s="951"/>
      <c r="B8602" s="951"/>
    </row>
    <row r="8603" spans="1:2">
      <c r="A8603" s="951"/>
      <c r="B8603" s="951"/>
    </row>
    <row r="8604" spans="1:2">
      <c r="A8604" s="951"/>
      <c r="B8604" s="951"/>
    </row>
    <row r="8605" spans="1:2">
      <c r="A8605" s="951"/>
      <c r="B8605" s="951"/>
    </row>
    <row r="8606" spans="1:2">
      <c r="A8606" s="951"/>
      <c r="B8606" s="951"/>
    </row>
    <row r="8607" spans="1:2">
      <c r="A8607" s="951"/>
      <c r="B8607" s="951"/>
    </row>
    <row r="8608" spans="1:2">
      <c r="A8608" s="951"/>
      <c r="B8608" s="951"/>
    </row>
    <row r="8609" spans="1:2">
      <c r="A8609" s="951"/>
      <c r="B8609" s="951"/>
    </row>
    <row r="8610" spans="1:2">
      <c r="A8610" s="951"/>
      <c r="B8610" s="951"/>
    </row>
    <row r="8611" spans="1:2">
      <c r="A8611" s="951"/>
      <c r="B8611" s="951"/>
    </row>
    <row r="8612" spans="1:2">
      <c r="A8612" s="951"/>
      <c r="B8612" s="951"/>
    </row>
    <row r="8613" spans="1:2">
      <c r="A8613" s="951"/>
      <c r="B8613" s="951"/>
    </row>
    <row r="8614" spans="1:2">
      <c r="A8614" s="951"/>
      <c r="B8614" s="951"/>
    </row>
    <row r="8615" spans="1:2">
      <c r="A8615" s="951"/>
      <c r="B8615" s="951"/>
    </row>
    <row r="8616" spans="1:2">
      <c r="A8616" s="951"/>
      <c r="B8616" s="951"/>
    </row>
    <row r="8617" spans="1:2">
      <c r="A8617" s="951"/>
      <c r="B8617" s="951"/>
    </row>
    <row r="8618" spans="1:2">
      <c r="A8618" s="951"/>
      <c r="B8618" s="951"/>
    </row>
    <row r="8619" spans="1:2">
      <c r="A8619" s="951"/>
      <c r="B8619" s="951"/>
    </row>
    <row r="8620" spans="1:2">
      <c r="A8620" s="951"/>
      <c r="B8620" s="951"/>
    </row>
    <row r="8621" spans="1:2">
      <c r="A8621" s="951"/>
      <c r="B8621" s="951"/>
    </row>
    <row r="8622" spans="1:2">
      <c r="A8622" s="951"/>
      <c r="B8622" s="951"/>
    </row>
    <row r="8623" spans="1:2">
      <c r="A8623" s="951"/>
      <c r="B8623" s="951"/>
    </row>
    <row r="8624" spans="1:2">
      <c r="A8624" s="951"/>
      <c r="B8624" s="951"/>
    </row>
    <row r="8625" spans="1:2">
      <c r="A8625" s="951"/>
      <c r="B8625" s="951"/>
    </row>
    <row r="8626" spans="1:2">
      <c r="A8626" s="951"/>
      <c r="B8626" s="951"/>
    </row>
    <row r="8627" spans="1:2">
      <c r="A8627" s="951"/>
      <c r="B8627" s="951"/>
    </row>
    <row r="8628" spans="1:2">
      <c r="A8628" s="951"/>
      <c r="B8628" s="951"/>
    </row>
    <row r="8629" spans="1:2">
      <c r="A8629" s="951"/>
      <c r="B8629" s="951"/>
    </row>
    <row r="8630" spans="1:2">
      <c r="A8630" s="951"/>
      <c r="B8630" s="951"/>
    </row>
    <row r="8631" spans="1:2">
      <c r="A8631" s="951"/>
      <c r="B8631" s="951"/>
    </row>
    <row r="8632" spans="1:2">
      <c r="A8632" s="951"/>
      <c r="B8632" s="951"/>
    </row>
    <row r="8633" spans="1:2">
      <c r="A8633" s="951"/>
      <c r="B8633" s="951"/>
    </row>
    <row r="8634" spans="1:2">
      <c r="A8634" s="951"/>
      <c r="B8634" s="951"/>
    </row>
    <row r="8635" spans="1:2">
      <c r="A8635" s="951"/>
      <c r="B8635" s="951"/>
    </row>
    <row r="8636" spans="1:2">
      <c r="A8636" s="951"/>
      <c r="B8636" s="951"/>
    </row>
    <row r="8637" spans="1:2">
      <c r="A8637" s="951"/>
      <c r="B8637" s="951"/>
    </row>
    <row r="8638" spans="1:2">
      <c r="A8638" s="951"/>
      <c r="B8638" s="951"/>
    </row>
    <row r="8639" spans="1:2">
      <c r="A8639" s="951"/>
      <c r="B8639" s="951"/>
    </row>
    <row r="8640" spans="1:2">
      <c r="A8640" s="951"/>
      <c r="B8640" s="951"/>
    </row>
    <row r="8641" spans="1:2">
      <c r="A8641" s="951"/>
      <c r="B8641" s="951"/>
    </row>
    <row r="8642" spans="1:2">
      <c r="A8642" s="951"/>
      <c r="B8642" s="951"/>
    </row>
    <row r="8643" spans="1:2">
      <c r="A8643" s="951"/>
      <c r="B8643" s="951"/>
    </row>
    <row r="8644" spans="1:2">
      <c r="A8644" s="951"/>
      <c r="B8644" s="951"/>
    </row>
    <row r="8645" spans="1:2">
      <c r="A8645" s="951"/>
      <c r="B8645" s="951"/>
    </row>
    <row r="8646" spans="1:2">
      <c r="A8646" s="951"/>
      <c r="B8646" s="951"/>
    </row>
    <row r="8647" spans="1:2">
      <c r="A8647" s="951"/>
      <c r="B8647" s="951"/>
    </row>
    <row r="8648" spans="1:2">
      <c r="A8648" s="951"/>
      <c r="B8648" s="951"/>
    </row>
    <row r="8649" spans="1:2">
      <c r="A8649" s="951"/>
      <c r="B8649" s="951"/>
    </row>
    <row r="8650" spans="1:2">
      <c r="A8650" s="951"/>
      <c r="B8650" s="951"/>
    </row>
    <row r="8651" spans="1:2">
      <c r="A8651" s="951"/>
      <c r="B8651" s="951"/>
    </row>
    <row r="8652" spans="1:2">
      <c r="A8652" s="951"/>
      <c r="B8652" s="951"/>
    </row>
    <row r="8653" spans="1:2">
      <c r="A8653" s="951"/>
      <c r="B8653" s="951"/>
    </row>
    <row r="8654" spans="1:2">
      <c r="A8654" s="951"/>
      <c r="B8654" s="951"/>
    </row>
    <row r="8655" spans="1:2">
      <c r="A8655" s="951"/>
      <c r="B8655" s="951"/>
    </row>
    <row r="8656" spans="1:2">
      <c r="A8656" s="951"/>
      <c r="B8656" s="951"/>
    </row>
    <row r="8657" spans="1:2">
      <c r="A8657" s="951"/>
      <c r="B8657" s="951"/>
    </row>
    <row r="8658" spans="1:2">
      <c r="A8658" s="951"/>
      <c r="B8658" s="951"/>
    </row>
    <row r="8659" spans="1:2">
      <c r="A8659" s="951"/>
      <c r="B8659" s="951"/>
    </row>
    <row r="8660" spans="1:2">
      <c r="A8660" s="951"/>
      <c r="B8660" s="951"/>
    </row>
    <row r="8661" spans="1:2">
      <c r="A8661" s="951"/>
      <c r="B8661" s="951"/>
    </row>
    <row r="8662" spans="1:2">
      <c r="A8662" s="951"/>
      <c r="B8662" s="951"/>
    </row>
    <row r="8663" spans="1:2">
      <c r="A8663" s="951"/>
      <c r="B8663" s="951"/>
    </row>
    <row r="8664" spans="1:2">
      <c r="A8664" s="951"/>
      <c r="B8664" s="951"/>
    </row>
    <row r="8665" spans="1:2">
      <c r="A8665" s="951"/>
      <c r="B8665" s="951"/>
    </row>
    <row r="8666" spans="1:2">
      <c r="A8666" s="951"/>
      <c r="B8666" s="951"/>
    </row>
    <row r="8667" spans="1:2">
      <c r="A8667" s="951"/>
      <c r="B8667" s="951"/>
    </row>
    <row r="8668" spans="1:2">
      <c r="A8668" s="951"/>
      <c r="B8668" s="951"/>
    </row>
    <row r="8669" spans="1:2">
      <c r="A8669" s="951"/>
      <c r="B8669" s="951"/>
    </row>
    <row r="8670" spans="1:2">
      <c r="A8670" s="951"/>
      <c r="B8670" s="951"/>
    </row>
    <row r="8671" spans="1:2">
      <c r="A8671" s="951"/>
      <c r="B8671" s="951"/>
    </row>
    <row r="8672" spans="1:2">
      <c r="A8672" s="951"/>
      <c r="B8672" s="951"/>
    </row>
    <row r="8673" spans="1:2">
      <c r="A8673" s="951"/>
      <c r="B8673" s="951"/>
    </row>
    <row r="8674" spans="1:2">
      <c r="A8674" s="951"/>
      <c r="B8674" s="951"/>
    </row>
    <row r="8675" spans="1:2">
      <c r="A8675" s="951"/>
      <c r="B8675" s="951"/>
    </row>
    <row r="8676" spans="1:2">
      <c r="A8676" s="951"/>
      <c r="B8676" s="951"/>
    </row>
    <row r="8677" spans="1:2">
      <c r="A8677" s="951"/>
      <c r="B8677" s="951"/>
    </row>
    <row r="8678" spans="1:2">
      <c r="A8678" s="951"/>
      <c r="B8678" s="951"/>
    </row>
    <row r="8679" spans="1:2">
      <c r="A8679" s="951"/>
      <c r="B8679" s="951"/>
    </row>
    <row r="8680" spans="1:2">
      <c r="A8680" s="951"/>
      <c r="B8680" s="951"/>
    </row>
    <row r="8681" spans="1:2">
      <c r="A8681" s="951"/>
      <c r="B8681" s="951"/>
    </row>
    <row r="8682" spans="1:2">
      <c r="A8682" s="951"/>
      <c r="B8682" s="951"/>
    </row>
    <row r="8683" spans="1:2">
      <c r="A8683" s="951"/>
      <c r="B8683" s="951"/>
    </row>
    <row r="8684" spans="1:2">
      <c r="A8684" s="951"/>
      <c r="B8684" s="951"/>
    </row>
    <row r="8685" spans="1:2">
      <c r="A8685" s="951"/>
      <c r="B8685" s="951"/>
    </row>
    <row r="8686" spans="1:2">
      <c r="A8686" s="951"/>
      <c r="B8686" s="951"/>
    </row>
    <row r="8687" spans="1:2">
      <c r="A8687" s="951"/>
      <c r="B8687" s="951"/>
    </row>
    <row r="8688" spans="1:2">
      <c r="A8688" s="951"/>
      <c r="B8688" s="951"/>
    </row>
    <row r="8689" spans="1:2">
      <c r="A8689" s="951"/>
      <c r="B8689" s="951"/>
    </row>
    <row r="8690" spans="1:2">
      <c r="A8690" s="951"/>
      <c r="B8690" s="951"/>
    </row>
    <row r="8691" spans="1:2">
      <c r="A8691" s="951"/>
      <c r="B8691" s="951"/>
    </row>
    <row r="8692" spans="1:2">
      <c r="A8692" s="951"/>
      <c r="B8692" s="951"/>
    </row>
    <row r="8693" spans="1:2">
      <c r="A8693" s="951"/>
      <c r="B8693" s="951"/>
    </row>
    <row r="8694" spans="1:2">
      <c r="A8694" s="951"/>
      <c r="B8694" s="951"/>
    </row>
    <row r="8695" spans="1:2">
      <c r="A8695" s="951"/>
      <c r="B8695" s="951"/>
    </row>
    <row r="8696" spans="1:2">
      <c r="A8696" s="951"/>
      <c r="B8696" s="951"/>
    </row>
    <row r="8697" spans="1:2">
      <c r="A8697" s="951"/>
      <c r="B8697" s="951"/>
    </row>
    <row r="8698" spans="1:2">
      <c r="A8698" s="951"/>
      <c r="B8698" s="951"/>
    </row>
    <row r="8699" spans="1:2">
      <c r="A8699" s="951"/>
      <c r="B8699" s="951"/>
    </row>
    <row r="8700" spans="1:2">
      <c r="A8700" s="951"/>
      <c r="B8700" s="951"/>
    </row>
    <row r="8701" spans="1:2">
      <c r="A8701" s="951"/>
      <c r="B8701" s="951"/>
    </row>
    <row r="8702" spans="1:2">
      <c r="A8702" s="951"/>
      <c r="B8702" s="951"/>
    </row>
    <row r="8703" spans="1:2">
      <c r="A8703" s="951"/>
      <c r="B8703" s="951"/>
    </row>
    <row r="8704" spans="1:2">
      <c r="A8704" s="951"/>
      <c r="B8704" s="951"/>
    </row>
    <row r="8705" spans="1:2">
      <c r="A8705" s="951"/>
      <c r="B8705" s="951"/>
    </row>
    <row r="8706" spans="1:2">
      <c r="A8706" s="951"/>
      <c r="B8706" s="951"/>
    </row>
    <row r="8707" spans="1:2">
      <c r="A8707" s="951"/>
      <c r="B8707" s="951"/>
    </row>
    <row r="8708" spans="1:2">
      <c r="A8708" s="951"/>
      <c r="B8708" s="951"/>
    </row>
    <row r="8709" spans="1:2">
      <c r="A8709" s="951"/>
      <c r="B8709" s="951"/>
    </row>
    <row r="8710" spans="1:2">
      <c r="A8710" s="951"/>
      <c r="B8710" s="951"/>
    </row>
    <row r="8711" spans="1:2">
      <c r="A8711" s="951"/>
      <c r="B8711" s="951"/>
    </row>
    <row r="8712" spans="1:2">
      <c r="A8712" s="951"/>
      <c r="B8712" s="951"/>
    </row>
    <row r="8713" spans="1:2">
      <c r="A8713" s="951"/>
      <c r="B8713" s="951"/>
    </row>
    <row r="8714" spans="1:2">
      <c r="A8714" s="951"/>
      <c r="B8714" s="951"/>
    </row>
    <row r="8715" spans="1:2">
      <c r="A8715" s="951"/>
      <c r="B8715" s="951"/>
    </row>
    <row r="8716" spans="1:2">
      <c r="A8716" s="951"/>
      <c r="B8716" s="951"/>
    </row>
    <row r="8717" spans="1:2">
      <c r="A8717" s="951"/>
      <c r="B8717" s="951"/>
    </row>
    <row r="8718" spans="1:2">
      <c r="A8718" s="951"/>
      <c r="B8718" s="951"/>
    </row>
    <row r="8719" spans="1:2">
      <c r="A8719" s="951"/>
      <c r="B8719" s="951"/>
    </row>
    <row r="8720" spans="1:2">
      <c r="A8720" s="951"/>
      <c r="B8720" s="951"/>
    </row>
    <row r="8721" spans="1:2">
      <c r="A8721" s="951"/>
      <c r="B8721" s="951"/>
    </row>
    <row r="8722" spans="1:2">
      <c r="A8722" s="951"/>
      <c r="B8722" s="951"/>
    </row>
    <row r="8723" spans="1:2">
      <c r="A8723" s="951"/>
      <c r="B8723" s="951"/>
    </row>
    <row r="8724" spans="1:2">
      <c r="A8724" s="951"/>
      <c r="B8724" s="951"/>
    </row>
    <row r="8725" spans="1:2">
      <c r="A8725" s="951"/>
      <c r="B8725" s="951"/>
    </row>
    <row r="8726" spans="1:2">
      <c r="A8726" s="951"/>
      <c r="B8726" s="951"/>
    </row>
    <row r="8727" spans="1:2">
      <c r="A8727" s="951"/>
      <c r="B8727" s="951"/>
    </row>
    <row r="8728" spans="1:2">
      <c r="A8728" s="951"/>
      <c r="B8728" s="951"/>
    </row>
    <row r="8729" spans="1:2">
      <c r="A8729" s="951"/>
      <c r="B8729" s="951"/>
    </row>
    <row r="8730" spans="1:2">
      <c r="A8730" s="951"/>
      <c r="B8730" s="951"/>
    </row>
    <row r="8731" spans="1:2">
      <c r="A8731" s="951"/>
      <c r="B8731" s="951"/>
    </row>
    <row r="8732" spans="1:2">
      <c r="A8732" s="951"/>
      <c r="B8732" s="951"/>
    </row>
    <row r="8733" spans="1:2">
      <c r="A8733" s="951"/>
      <c r="B8733" s="951"/>
    </row>
    <row r="8734" spans="1:2">
      <c r="A8734" s="951"/>
      <c r="B8734" s="951"/>
    </row>
    <row r="8735" spans="1:2">
      <c r="A8735" s="951"/>
      <c r="B8735" s="951"/>
    </row>
    <row r="8736" spans="1:2">
      <c r="A8736" s="951"/>
      <c r="B8736" s="951"/>
    </row>
    <row r="8737" spans="1:2">
      <c r="A8737" s="951"/>
      <c r="B8737" s="951"/>
    </row>
    <row r="8738" spans="1:2">
      <c r="A8738" s="951"/>
      <c r="B8738" s="951"/>
    </row>
    <row r="8739" spans="1:2">
      <c r="A8739" s="951"/>
      <c r="B8739" s="951"/>
    </row>
    <row r="8740" spans="1:2">
      <c r="A8740" s="951"/>
      <c r="B8740" s="951"/>
    </row>
    <row r="8741" spans="1:2">
      <c r="A8741" s="951"/>
      <c r="B8741" s="951"/>
    </row>
    <row r="8742" spans="1:2">
      <c r="A8742" s="951"/>
      <c r="B8742" s="951"/>
    </row>
    <row r="8743" spans="1:2">
      <c r="A8743" s="951"/>
      <c r="B8743" s="951"/>
    </row>
    <row r="8744" spans="1:2">
      <c r="A8744" s="951"/>
      <c r="B8744" s="951"/>
    </row>
    <row r="8745" spans="1:2">
      <c r="A8745" s="951"/>
      <c r="B8745" s="951"/>
    </row>
    <row r="8746" spans="1:2">
      <c r="A8746" s="951"/>
      <c r="B8746" s="951"/>
    </row>
    <row r="8747" spans="1:2">
      <c r="A8747" s="951"/>
      <c r="B8747" s="951"/>
    </row>
    <row r="8748" spans="1:2">
      <c r="A8748" s="951"/>
      <c r="B8748" s="951"/>
    </row>
    <row r="8749" spans="1:2">
      <c r="A8749" s="951"/>
      <c r="B8749" s="951"/>
    </row>
    <row r="8750" spans="1:2">
      <c r="A8750" s="951"/>
      <c r="B8750" s="951"/>
    </row>
    <row r="8751" spans="1:2">
      <c r="A8751" s="951"/>
      <c r="B8751" s="951"/>
    </row>
    <row r="8752" spans="1:2">
      <c r="A8752" s="951"/>
      <c r="B8752" s="951"/>
    </row>
    <row r="8753" spans="1:2">
      <c r="A8753" s="951"/>
      <c r="B8753" s="951"/>
    </row>
    <row r="8754" spans="1:2">
      <c r="A8754" s="951"/>
      <c r="B8754" s="951"/>
    </row>
    <row r="8755" spans="1:2">
      <c r="A8755" s="951"/>
      <c r="B8755" s="951"/>
    </row>
    <row r="8756" spans="1:2">
      <c r="A8756" s="951"/>
      <c r="B8756" s="951"/>
    </row>
    <row r="8757" spans="1:2">
      <c r="A8757" s="951"/>
      <c r="B8757" s="951"/>
    </row>
    <row r="8758" spans="1:2">
      <c r="A8758" s="951"/>
      <c r="B8758" s="951"/>
    </row>
    <row r="8759" spans="1:2">
      <c r="A8759" s="951"/>
      <c r="B8759" s="951"/>
    </row>
    <row r="8760" spans="1:2">
      <c r="A8760" s="951"/>
      <c r="B8760" s="951"/>
    </row>
    <row r="8761" spans="1:2">
      <c r="A8761" s="951"/>
      <c r="B8761" s="951"/>
    </row>
    <row r="8762" spans="1:2">
      <c r="A8762" s="951"/>
      <c r="B8762" s="951"/>
    </row>
    <row r="8763" spans="1:2">
      <c r="A8763" s="951"/>
      <c r="B8763" s="951"/>
    </row>
    <row r="8764" spans="1:2">
      <c r="A8764" s="951"/>
      <c r="B8764" s="951"/>
    </row>
    <row r="8765" spans="1:2">
      <c r="A8765" s="951"/>
      <c r="B8765" s="951"/>
    </row>
    <row r="8766" spans="1:2">
      <c r="A8766" s="951"/>
      <c r="B8766" s="951"/>
    </row>
    <row r="8767" spans="1:2">
      <c r="A8767" s="951"/>
      <c r="B8767" s="951"/>
    </row>
    <row r="8768" spans="1:2">
      <c r="A8768" s="951"/>
      <c r="B8768" s="951"/>
    </row>
    <row r="8769" spans="1:2">
      <c r="A8769" s="951"/>
      <c r="B8769" s="951"/>
    </row>
    <row r="8770" spans="1:2">
      <c r="A8770" s="951"/>
      <c r="B8770" s="951"/>
    </row>
    <row r="8771" spans="1:2">
      <c r="A8771" s="951"/>
      <c r="B8771" s="951"/>
    </row>
    <row r="8772" spans="1:2">
      <c r="A8772" s="951"/>
      <c r="B8772" s="951"/>
    </row>
    <row r="8773" spans="1:2">
      <c r="A8773" s="951"/>
      <c r="B8773" s="951"/>
    </row>
    <row r="8774" spans="1:2">
      <c r="A8774" s="951"/>
      <c r="B8774" s="951"/>
    </row>
    <row r="8775" spans="1:2">
      <c r="A8775" s="951"/>
      <c r="B8775" s="951"/>
    </row>
    <row r="8776" spans="1:2">
      <c r="A8776" s="951"/>
      <c r="B8776" s="951"/>
    </row>
    <row r="8777" spans="1:2">
      <c r="A8777" s="951"/>
      <c r="B8777" s="951"/>
    </row>
    <row r="8778" spans="1:2">
      <c r="A8778" s="951"/>
      <c r="B8778" s="951"/>
    </row>
    <row r="8779" spans="1:2">
      <c r="A8779" s="951"/>
      <c r="B8779" s="951"/>
    </row>
    <row r="8780" spans="1:2">
      <c r="A8780" s="951"/>
      <c r="B8780" s="951"/>
    </row>
    <row r="8781" spans="1:2">
      <c r="A8781" s="951"/>
      <c r="B8781" s="951"/>
    </row>
    <row r="8782" spans="1:2">
      <c r="A8782" s="951"/>
      <c r="B8782" s="951"/>
    </row>
    <row r="8783" spans="1:2">
      <c r="A8783" s="951"/>
      <c r="B8783" s="951"/>
    </row>
    <row r="8784" spans="1:2">
      <c r="A8784" s="951"/>
      <c r="B8784" s="951"/>
    </row>
    <row r="8785" spans="1:2">
      <c r="A8785" s="951"/>
      <c r="B8785" s="951"/>
    </row>
    <row r="8786" spans="1:2">
      <c r="A8786" s="951"/>
      <c r="B8786" s="951"/>
    </row>
    <row r="8787" spans="1:2">
      <c r="A8787" s="951"/>
      <c r="B8787" s="951"/>
    </row>
    <row r="8788" spans="1:2">
      <c r="A8788" s="951"/>
      <c r="B8788" s="951"/>
    </row>
    <row r="8789" spans="1:2">
      <c r="A8789" s="951"/>
      <c r="B8789" s="951"/>
    </row>
    <row r="8790" spans="1:2">
      <c r="A8790" s="951"/>
      <c r="B8790" s="951"/>
    </row>
    <row r="8791" spans="1:2">
      <c r="A8791" s="951"/>
      <c r="B8791" s="951"/>
    </row>
    <row r="8792" spans="1:2">
      <c r="A8792" s="951"/>
      <c r="B8792" s="951"/>
    </row>
    <row r="8793" spans="1:2">
      <c r="A8793" s="951"/>
      <c r="B8793" s="951"/>
    </row>
    <row r="8794" spans="1:2">
      <c r="A8794" s="951"/>
      <c r="B8794" s="951"/>
    </row>
    <row r="8795" spans="1:2">
      <c r="A8795" s="951"/>
      <c r="B8795" s="951"/>
    </row>
    <row r="8796" spans="1:2">
      <c r="A8796" s="951"/>
      <c r="B8796" s="951"/>
    </row>
    <row r="8797" spans="1:2">
      <c r="A8797" s="951"/>
      <c r="B8797" s="951"/>
    </row>
    <row r="8798" spans="1:2">
      <c r="A8798" s="951"/>
      <c r="B8798" s="951"/>
    </row>
    <row r="8799" spans="1:2">
      <c r="A8799" s="951"/>
      <c r="B8799" s="951"/>
    </row>
    <row r="8800" spans="1:2">
      <c r="A8800" s="951"/>
      <c r="B8800" s="951"/>
    </row>
    <row r="8801" spans="1:2">
      <c r="A8801" s="951"/>
      <c r="B8801" s="951"/>
    </row>
    <row r="8802" spans="1:2">
      <c r="A8802" s="951"/>
      <c r="B8802" s="951"/>
    </row>
    <row r="8803" spans="1:2">
      <c r="A8803" s="951"/>
      <c r="B8803" s="951"/>
    </row>
    <row r="8804" spans="1:2">
      <c r="A8804" s="951"/>
      <c r="B8804" s="951"/>
    </row>
    <row r="8805" spans="1:2">
      <c r="A8805" s="951"/>
      <c r="B8805" s="951"/>
    </row>
    <row r="8806" spans="1:2">
      <c r="A8806" s="951"/>
      <c r="B8806" s="951"/>
    </row>
    <row r="8807" spans="1:2">
      <c r="A8807" s="951"/>
      <c r="B8807" s="951"/>
    </row>
    <row r="8808" spans="1:2">
      <c r="A8808" s="951"/>
      <c r="B8808" s="951"/>
    </row>
    <row r="8809" spans="1:2">
      <c r="A8809" s="951"/>
      <c r="B8809" s="951"/>
    </row>
    <row r="8810" spans="1:2">
      <c r="A8810" s="951"/>
      <c r="B8810" s="951"/>
    </row>
    <row r="8811" spans="1:2">
      <c r="A8811" s="951"/>
      <c r="B8811" s="951"/>
    </row>
    <row r="8812" spans="1:2">
      <c r="A8812" s="951"/>
      <c r="B8812" s="951"/>
    </row>
    <row r="8813" spans="1:2">
      <c r="A8813" s="951"/>
      <c r="B8813" s="951"/>
    </row>
    <row r="8814" spans="1:2">
      <c r="A8814" s="951"/>
      <c r="B8814" s="951"/>
    </row>
    <row r="8815" spans="1:2">
      <c r="A8815" s="951"/>
      <c r="B8815" s="951"/>
    </row>
    <row r="8816" spans="1:2">
      <c r="A8816" s="951"/>
      <c r="B8816" s="951"/>
    </row>
    <row r="8817" spans="1:2">
      <c r="A8817" s="951"/>
      <c r="B8817" s="951"/>
    </row>
    <row r="8818" spans="1:2">
      <c r="A8818" s="951"/>
      <c r="B8818" s="951"/>
    </row>
    <row r="8819" spans="1:2">
      <c r="A8819" s="951"/>
      <c r="B8819" s="951"/>
    </row>
    <row r="8820" spans="1:2">
      <c r="A8820" s="951"/>
      <c r="B8820" s="951"/>
    </row>
    <row r="8821" spans="1:2">
      <c r="A8821" s="951"/>
      <c r="B8821" s="951"/>
    </row>
    <row r="8822" spans="1:2">
      <c r="A8822" s="951"/>
      <c r="B8822" s="951"/>
    </row>
    <row r="8823" spans="1:2">
      <c r="A8823" s="951"/>
      <c r="B8823" s="951"/>
    </row>
    <row r="8824" spans="1:2">
      <c r="A8824" s="951"/>
      <c r="B8824" s="951"/>
    </row>
    <row r="8825" spans="1:2">
      <c r="A8825" s="951"/>
      <c r="B8825" s="951"/>
    </row>
    <row r="8826" spans="1:2">
      <c r="A8826" s="951"/>
      <c r="B8826" s="951"/>
    </row>
    <row r="8827" spans="1:2">
      <c r="A8827" s="951"/>
      <c r="B8827" s="951"/>
    </row>
    <row r="8828" spans="1:2">
      <c r="A8828" s="951"/>
      <c r="B8828" s="951"/>
    </row>
    <row r="8829" spans="1:2">
      <c r="A8829" s="951"/>
      <c r="B8829" s="951"/>
    </row>
    <row r="8830" spans="1:2">
      <c r="A8830" s="951"/>
      <c r="B8830" s="951"/>
    </row>
    <row r="8831" spans="1:2">
      <c r="A8831" s="951"/>
      <c r="B8831" s="951"/>
    </row>
    <row r="8832" spans="1:2">
      <c r="A8832" s="951"/>
      <c r="B8832" s="951"/>
    </row>
    <row r="8833" spans="1:2">
      <c r="A8833" s="951"/>
      <c r="B8833" s="951"/>
    </row>
    <row r="8834" spans="1:2">
      <c r="A8834" s="951"/>
      <c r="B8834" s="951"/>
    </row>
    <row r="8835" spans="1:2">
      <c r="A8835" s="951"/>
      <c r="B8835" s="951"/>
    </row>
    <row r="8836" spans="1:2">
      <c r="A8836" s="951"/>
      <c r="B8836" s="951"/>
    </row>
    <row r="8837" spans="1:2">
      <c r="A8837" s="951"/>
      <c r="B8837" s="951"/>
    </row>
    <row r="8838" spans="1:2">
      <c r="A8838" s="951"/>
      <c r="B8838" s="951"/>
    </row>
    <row r="8839" spans="1:2">
      <c r="A8839" s="951"/>
      <c r="B8839" s="951"/>
    </row>
    <row r="8840" spans="1:2">
      <c r="A8840" s="951"/>
      <c r="B8840" s="951"/>
    </row>
    <row r="8841" spans="1:2">
      <c r="A8841" s="951"/>
      <c r="B8841" s="951"/>
    </row>
    <row r="8842" spans="1:2">
      <c r="A8842" s="951"/>
      <c r="B8842" s="951"/>
    </row>
    <row r="8843" spans="1:2">
      <c r="A8843" s="951"/>
      <c r="B8843" s="951"/>
    </row>
    <row r="8844" spans="1:2">
      <c r="A8844" s="951"/>
      <c r="B8844" s="951"/>
    </row>
    <row r="8845" spans="1:2">
      <c r="A8845" s="951"/>
      <c r="B8845" s="951"/>
    </row>
    <row r="8846" spans="1:2">
      <c r="A8846" s="951"/>
      <c r="B8846" s="951"/>
    </row>
    <row r="8847" spans="1:2">
      <c r="A8847" s="951"/>
      <c r="B8847" s="951"/>
    </row>
    <row r="8848" spans="1:2">
      <c r="A8848" s="951"/>
      <c r="B8848" s="951"/>
    </row>
    <row r="8849" spans="1:2">
      <c r="A8849" s="951"/>
      <c r="B8849" s="951"/>
    </row>
    <row r="8850" spans="1:2">
      <c r="A8850" s="951"/>
      <c r="B8850" s="951"/>
    </row>
    <row r="8851" spans="1:2">
      <c r="A8851" s="951"/>
      <c r="B8851" s="951"/>
    </row>
    <row r="8852" spans="1:2">
      <c r="A8852" s="951"/>
      <c r="B8852" s="951"/>
    </row>
    <row r="8853" spans="1:2">
      <c r="A8853" s="951"/>
      <c r="B8853" s="951"/>
    </row>
    <row r="8854" spans="1:2">
      <c r="A8854" s="951"/>
      <c r="B8854" s="951"/>
    </row>
    <row r="8855" spans="1:2">
      <c r="A8855" s="951"/>
      <c r="B8855" s="951"/>
    </row>
    <row r="8856" spans="1:2">
      <c r="A8856" s="951"/>
      <c r="B8856" s="951"/>
    </row>
    <row r="8857" spans="1:2">
      <c r="A8857" s="951"/>
      <c r="B8857" s="951"/>
    </row>
    <row r="8858" spans="1:2">
      <c r="A8858" s="951"/>
      <c r="B8858" s="951"/>
    </row>
    <row r="8859" spans="1:2">
      <c r="A8859" s="951"/>
      <c r="B8859" s="951"/>
    </row>
    <row r="8860" spans="1:2">
      <c r="A8860" s="951"/>
      <c r="B8860" s="951"/>
    </row>
    <row r="8861" spans="1:2">
      <c r="A8861" s="951"/>
      <c r="B8861" s="951"/>
    </row>
    <row r="8862" spans="1:2">
      <c r="A8862" s="951"/>
      <c r="B8862" s="951"/>
    </row>
    <row r="8863" spans="1:2">
      <c r="A8863" s="951"/>
      <c r="B8863" s="951"/>
    </row>
    <row r="8864" spans="1:2">
      <c r="A8864" s="951"/>
      <c r="B8864" s="951"/>
    </row>
    <row r="8865" spans="1:2">
      <c r="A8865" s="951"/>
      <c r="B8865" s="951"/>
    </row>
    <row r="8866" spans="1:2">
      <c r="A8866" s="951"/>
      <c r="B8866" s="951"/>
    </row>
    <row r="8867" spans="1:2">
      <c r="A8867" s="951"/>
      <c r="B8867" s="951"/>
    </row>
    <row r="8868" spans="1:2">
      <c r="A8868" s="951"/>
      <c r="B8868" s="951"/>
    </row>
    <row r="8869" spans="1:2">
      <c r="A8869" s="951"/>
      <c r="B8869" s="951"/>
    </row>
    <row r="8870" spans="1:2">
      <c r="A8870" s="951"/>
      <c r="B8870" s="951"/>
    </row>
    <row r="8871" spans="1:2">
      <c r="A8871" s="951"/>
      <c r="B8871" s="951"/>
    </row>
    <row r="8872" spans="1:2">
      <c r="A8872" s="951"/>
      <c r="B8872" s="951"/>
    </row>
    <row r="8873" spans="1:2">
      <c r="A8873" s="951"/>
      <c r="B8873" s="951"/>
    </row>
    <row r="8874" spans="1:2">
      <c r="A8874" s="951"/>
      <c r="B8874" s="951"/>
    </row>
    <row r="8875" spans="1:2">
      <c r="A8875" s="951"/>
      <c r="B8875" s="951"/>
    </row>
    <row r="8876" spans="1:2">
      <c r="A8876" s="951"/>
      <c r="B8876" s="951"/>
    </row>
    <row r="8877" spans="1:2">
      <c r="A8877" s="951"/>
      <c r="B8877" s="951"/>
    </row>
    <row r="8878" spans="1:2">
      <c r="A8878" s="951"/>
      <c r="B8878" s="951"/>
    </row>
    <row r="8879" spans="1:2">
      <c r="A8879" s="951"/>
      <c r="B8879" s="951"/>
    </row>
    <row r="8880" spans="1:2">
      <c r="A8880" s="951"/>
      <c r="B8880" s="951"/>
    </row>
    <row r="8881" spans="1:2">
      <c r="A8881" s="951"/>
      <c r="B8881" s="951"/>
    </row>
    <row r="8882" spans="1:2">
      <c r="A8882" s="951"/>
      <c r="B8882" s="951"/>
    </row>
    <row r="8883" spans="1:2">
      <c r="A8883" s="951"/>
      <c r="B8883" s="951"/>
    </row>
    <row r="8884" spans="1:2">
      <c r="A8884" s="951"/>
      <c r="B8884" s="951"/>
    </row>
    <row r="8885" spans="1:2">
      <c r="A8885" s="951"/>
      <c r="B8885" s="951"/>
    </row>
    <row r="8886" spans="1:2">
      <c r="A8886" s="951"/>
      <c r="B8886" s="951"/>
    </row>
    <row r="8887" spans="1:2">
      <c r="A8887" s="951"/>
      <c r="B8887" s="951"/>
    </row>
    <row r="8888" spans="1:2">
      <c r="A8888" s="951"/>
      <c r="B8888" s="951"/>
    </row>
    <row r="8889" spans="1:2">
      <c r="A8889" s="951"/>
      <c r="B8889" s="951"/>
    </row>
    <row r="8890" spans="1:2">
      <c r="A8890" s="951"/>
      <c r="B8890" s="951"/>
    </row>
    <row r="8891" spans="1:2">
      <c r="A8891" s="951"/>
      <c r="B8891" s="951"/>
    </row>
    <row r="8892" spans="1:2">
      <c r="A8892" s="951"/>
      <c r="B8892" s="951"/>
    </row>
    <row r="8893" spans="1:2">
      <c r="A8893" s="951"/>
      <c r="B8893" s="951"/>
    </row>
    <row r="8894" spans="1:2">
      <c r="A8894" s="951"/>
      <c r="B8894" s="951"/>
    </row>
    <row r="8895" spans="1:2">
      <c r="A8895" s="951"/>
      <c r="B8895" s="951"/>
    </row>
    <row r="8896" spans="1:2">
      <c r="A8896" s="951"/>
      <c r="B8896" s="951"/>
    </row>
    <row r="8897" spans="1:2">
      <c r="A8897" s="951"/>
      <c r="B8897" s="951"/>
    </row>
    <row r="8898" spans="1:2">
      <c r="A8898" s="951"/>
      <c r="B8898" s="951"/>
    </row>
    <row r="8899" spans="1:2">
      <c r="A8899" s="951"/>
      <c r="B8899" s="951"/>
    </row>
    <row r="8900" spans="1:2">
      <c r="A8900" s="951"/>
      <c r="B8900" s="951"/>
    </row>
    <row r="8901" spans="1:2">
      <c r="A8901" s="951"/>
      <c r="B8901" s="951"/>
    </row>
    <row r="8902" spans="1:2">
      <c r="A8902" s="951"/>
      <c r="B8902" s="951"/>
    </row>
    <row r="8903" spans="1:2">
      <c r="A8903" s="951"/>
      <c r="B8903" s="951"/>
    </row>
    <row r="8904" spans="1:2">
      <c r="A8904" s="951"/>
      <c r="B8904" s="951"/>
    </row>
    <row r="8905" spans="1:2">
      <c r="A8905" s="951"/>
      <c r="B8905" s="951"/>
    </row>
    <row r="8906" spans="1:2">
      <c r="A8906" s="951"/>
      <c r="B8906" s="951"/>
    </row>
    <row r="8907" spans="1:2">
      <c r="A8907" s="951"/>
      <c r="B8907" s="951"/>
    </row>
    <row r="8908" spans="1:2">
      <c r="A8908" s="951"/>
      <c r="B8908" s="951"/>
    </row>
    <row r="8909" spans="1:2">
      <c r="A8909" s="951"/>
      <c r="B8909" s="951"/>
    </row>
    <row r="8910" spans="1:2">
      <c r="A8910" s="951"/>
      <c r="B8910" s="951"/>
    </row>
    <row r="8911" spans="1:2">
      <c r="A8911" s="951"/>
      <c r="B8911" s="951"/>
    </row>
    <row r="8912" spans="1:2">
      <c r="A8912" s="951"/>
      <c r="B8912" s="951"/>
    </row>
    <row r="8913" spans="1:2">
      <c r="A8913" s="951"/>
      <c r="B8913" s="951"/>
    </row>
    <row r="8914" spans="1:2">
      <c r="A8914" s="951"/>
      <c r="B8914" s="951"/>
    </row>
    <row r="8915" spans="1:2">
      <c r="A8915" s="951"/>
      <c r="B8915" s="951"/>
    </row>
    <row r="8916" spans="1:2">
      <c r="A8916" s="951"/>
      <c r="B8916" s="951"/>
    </row>
    <row r="8917" spans="1:2">
      <c r="A8917" s="951"/>
      <c r="B8917" s="951"/>
    </row>
    <row r="8918" spans="1:2">
      <c r="A8918" s="951"/>
      <c r="B8918" s="951"/>
    </row>
    <row r="8919" spans="1:2">
      <c r="A8919" s="951"/>
      <c r="B8919" s="951"/>
    </row>
    <row r="8920" spans="1:2">
      <c r="A8920" s="951"/>
      <c r="B8920" s="951"/>
    </row>
    <row r="8921" spans="1:2">
      <c r="A8921" s="951"/>
      <c r="B8921" s="951"/>
    </row>
    <row r="8922" spans="1:2">
      <c r="A8922" s="951"/>
      <c r="B8922" s="951"/>
    </row>
    <row r="8923" spans="1:2">
      <c r="A8923" s="951"/>
      <c r="B8923" s="951"/>
    </row>
    <row r="8924" spans="1:2">
      <c r="A8924" s="951"/>
      <c r="B8924" s="951"/>
    </row>
    <row r="8925" spans="1:2">
      <c r="A8925" s="951"/>
      <c r="B8925" s="951"/>
    </row>
    <row r="8926" spans="1:2">
      <c r="A8926" s="951"/>
      <c r="B8926" s="951"/>
    </row>
    <row r="8927" spans="1:2">
      <c r="A8927" s="951"/>
      <c r="B8927" s="951"/>
    </row>
    <row r="8928" spans="1:2">
      <c r="A8928" s="951"/>
      <c r="B8928" s="951"/>
    </row>
    <row r="8929" spans="1:2">
      <c r="A8929" s="951"/>
      <c r="B8929" s="951"/>
    </row>
    <row r="8930" spans="1:2">
      <c r="A8930" s="951"/>
      <c r="B8930" s="951"/>
    </row>
    <row r="8931" spans="1:2">
      <c r="A8931" s="951"/>
      <c r="B8931" s="951"/>
    </row>
    <row r="8932" spans="1:2">
      <c r="A8932" s="951"/>
      <c r="B8932" s="951"/>
    </row>
    <row r="8933" spans="1:2">
      <c r="A8933" s="951"/>
      <c r="B8933" s="951"/>
    </row>
    <row r="8934" spans="1:2">
      <c r="A8934" s="951"/>
      <c r="B8934" s="951"/>
    </row>
    <row r="8935" spans="1:2">
      <c r="A8935" s="951"/>
      <c r="B8935" s="951"/>
    </row>
    <row r="8936" spans="1:2">
      <c r="A8936" s="951"/>
      <c r="B8936" s="951"/>
    </row>
    <row r="8937" spans="1:2">
      <c r="A8937" s="951"/>
      <c r="B8937" s="951"/>
    </row>
    <row r="8938" spans="1:2">
      <c r="A8938" s="951"/>
      <c r="B8938" s="951"/>
    </row>
    <row r="8939" spans="1:2">
      <c r="A8939" s="951"/>
      <c r="B8939" s="951"/>
    </row>
    <row r="8940" spans="1:2">
      <c r="A8940" s="951"/>
      <c r="B8940" s="951"/>
    </row>
    <row r="8941" spans="1:2">
      <c r="A8941" s="951"/>
      <c r="B8941" s="951"/>
    </row>
    <row r="8942" spans="1:2">
      <c r="A8942" s="951"/>
      <c r="B8942" s="951"/>
    </row>
    <row r="8943" spans="1:2">
      <c r="A8943" s="951"/>
      <c r="B8943" s="951"/>
    </row>
    <row r="8944" spans="1:2">
      <c r="A8944" s="951"/>
      <c r="B8944" s="951"/>
    </row>
    <row r="8945" spans="1:2">
      <c r="A8945" s="951"/>
      <c r="B8945" s="951"/>
    </row>
    <row r="8946" spans="1:2">
      <c r="A8946" s="951"/>
      <c r="B8946" s="951"/>
    </row>
    <row r="8947" spans="1:2">
      <c r="A8947" s="951"/>
      <c r="B8947" s="951"/>
    </row>
    <row r="8948" spans="1:2">
      <c r="A8948" s="951"/>
      <c r="B8948" s="951"/>
    </row>
    <row r="8949" spans="1:2">
      <c r="A8949" s="951"/>
      <c r="B8949" s="951"/>
    </row>
    <row r="8950" spans="1:2">
      <c r="A8950" s="951"/>
      <c r="B8950" s="951"/>
    </row>
    <row r="8951" spans="1:2">
      <c r="A8951" s="951"/>
      <c r="B8951" s="951"/>
    </row>
    <row r="8952" spans="1:2">
      <c r="A8952" s="951"/>
      <c r="B8952" s="951"/>
    </row>
    <row r="8953" spans="1:2">
      <c r="A8953" s="951"/>
      <c r="B8953" s="951"/>
    </row>
    <row r="8954" spans="1:2">
      <c r="A8954" s="951"/>
      <c r="B8954" s="951"/>
    </row>
    <row r="8955" spans="1:2">
      <c r="A8955" s="951"/>
      <c r="B8955" s="951"/>
    </row>
    <row r="8956" spans="1:2">
      <c r="A8956" s="951"/>
      <c r="B8956" s="951"/>
    </row>
    <row r="8957" spans="1:2">
      <c r="A8957" s="951"/>
      <c r="B8957" s="951"/>
    </row>
    <row r="8958" spans="1:2">
      <c r="A8958" s="951"/>
      <c r="B8958" s="951"/>
    </row>
    <row r="8959" spans="1:2">
      <c r="A8959" s="951"/>
      <c r="B8959" s="951"/>
    </row>
    <row r="8960" spans="1:2">
      <c r="A8960" s="951"/>
      <c r="B8960" s="951"/>
    </row>
    <row r="8961" spans="1:2">
      <c r="A8961" s="951"/>
      <c r="B8961" s="951"/>
    </row>
    <row r="8962" spans="1:2">
      <c r="A8962" s="951"/>
      <c r="B8962" s="951"/>
    </row>
    <row r="8963" spans="1:2">
      <c r="A8963" s="951"/>
      <c r="B8963" s="951"/>
    </row>
    <row r="8964" spans="1:2">
      <c r="A8964" s="951"/>
      <c r="B8964" s="951"/>
    </row>
    <row r="8965" spans="1:2">
      <c r="A8965" s="951"/>
      <c r="B8965" s="951"/>
    </row>
    <row r="8966" spans="1:2">
      <c r="A8966" s="951"/>
      <c r="B8966" s="951"/>
    </row>
    <row r="8967" spans="1:2">
      <c r="A8967" s="951"/>
      <c r="B8967" s="951"/>
    </row>
    <row r="8968" spans="1:2">
      <c r="A8968" s="951"/>
      <c r="B8968" s="951"/>
    </row>
    <row r="8969" spans="1:2">
      <c r="A8969" s="951"/>
      <c r="B8969" s="951"/>
    </row>
    <row r="8970" spans="1:2">
      <c r="A8970" s="951"/>
      <c r="B8970" s="951"/>
    </row>
    <row r="8971" spans="1:2">
      <c r="A8971" s="951"/>
      <c r="B8971" s="951"/>
    </row>
    <row r="8972" spans="1:2">
      <c r="A8972" s="951"/>
      <c r="B8972" s="951"/>
    </row>
    <row r="8973" spans="1:2">
      <c r="A8973" s="951"/>
      <c r="B8973" s="951"/>
    </row>
    <row r="8974" spans="1:2">
      <c r="A8974" s="951"/>
      <c r="B8974" s="951"/>
    </row>
    <row r="8975" spans="1:2">
      <c r="A8975" s="951"/>
      <c r="B8975" s="951"/>
    </row>
    <row r="8976" spans="1:2">
      <c r="A8976" s="951"/>
      <c r="B8976" s="951"/>
    </row>
    <row r="8977" spans="1:2">
      <c r="A8977" s="951"/>
      <c r="B8977" s="951"/>
    </row>
    <row r="8978" spans="1:2">
      <c r="A8978" s="951"/>
      <c r="B8978" s="951"/>
    </row>
    <row r="8979" spans="1:2">
      <c r="A8979" s="951"/>
      <c r="B8979" s="951"/>
    </row>
    <row r="8980" spans="1:2">
      <c r="A8980" s="951"/>
      <c r="B8980" s="951"/>
    </row>
    <row r="8981" spans="1:2">
      <c r="A8981" s="951"/>
      <c r="B8981" s="951"/>
    </row>
    <row r="8982" spans="1:2">
      <c r="A8982" s="951"/>
      <c r="B8982" s="951"/>
    </row>
    <row r="8983" spans="1:2">
      <c r="A8983" s="951"/>
      <c r="B8983" s="951"/>
    </row>
    <row r="8984" spans="1:2">
      <c r="A8984" s="951"/>
      <c r="B8984" s="951"/>
    </row>
    <row r="8985" spans="1:2">
      <c r="A8985" s="951"/>
      <c r="B8985" s="951"/>
    </row>
    <row r="8986" spans="1:2">
      <c r="A8986" s="951"/>
      <c r="B8986" s="951"/>
    </row>
    <row r="8987" spans="1:2">
      <c r="A8987" s="951"/>
      <c r="B8987" s="951"/>
    </row>
    <row r="8988" spans="1:2">
      <c r="A8988" s="951"/>
      <c r="B8988" s="951"/>
    </row>
    <row r="8989" spans="1:2">
      <c r="A8989" s="951"/>
      <c r="B8989" s="951"/>
    </row>
    <row r="8990" spans="1:2">
      <c r="A8990" s="951"/>
      <c r="B8990" s="951"/>
    </row>
    <row r="8991" spans="1:2">
      <c r="A8991" s="951"/>
      <c r="B8991" s="951"/>
    </row>
    <row r="8992" spans="1:2">
      <c r="A8992" s="951"/>
      <c r="B8992" s="951"/>
    </row>
    <row r="8993" spans="1:2">
      <c r="A8993" s="951"/>
      <c r="B8993" s="951"/>
    </row>
    <row r="8994" spans="1:2">
      <c r="A8994" s="951"/>
      <c r="B8994" s="951"/>
    </row>
    <row r="8995" spans="1:2">
      <c r="A8995" s="951"/>
      <c r="B8995" s="951"/>
    </row>
    <row r="8996" spans="1:2">
      <c r="A8996" s="951"/>
      <c r="B8996" s="951"/>
    </row>
    <row r="8997" spans="1:2">
      <c r="A8997" s="951"/>
      <c r="B8997" s="951"/>
    </row>
    <row r="8998" spans="1:2">
      <c r="A8998" s="951"/>
      <c r="B8998" s="951"/>
    </row>
    <row r="8999" spans="1:2">
      <c r="A8999" s="951"/>
      <c r="B8999" s="951"/>
    </row>
    <row r="9000" spans="1:2">
      <c r="A9000" s="951"/>
      <c r="B9000" s="951"/>
    </row>
    <row r="9001" spans="1:2">
      <c r="A9001" s="951"/>
      <c r="B9001" s="951"/>
    </row>
    <row r="9002" spans="1:2">
      <c r="A9002" s="951"/>
      <c r="B9002" s="951"/>
    </row>
    <row r="9003" spans="1:2">
      <c r="A9003" s="951"/>
      <c r="B9003" s="951"/>
    </row>
    <row r="9004" spans="1:2">
      <c r="A9004" s="951"/>
      <c r="B9004" s="951"/>
    </row>
    <row r="9005" spans="1:2">
      <c r="A9005" s="951"/>
      <c r="B9005" s="951"/>
    </row>
    <row r="9006" spans="1:2">
      <c r="A9006" s="951"/>
      <c r="B9006" s="951"/>
    </row>
    <row r="9007" spans="1:2">
      <c r="A9007" s="951"/>
      <c r="B9007" s="951"/>
    </row>
    <row r="9008" spans="1:2">
      <c r="A9008" s="951"/>
      <c r="B9008" s="951"/>
    </row>
    <row r="9009" spans="1:2">
      <c r="A9009" s="951"/>
      <c r="B9009" s="951"/>
    </row>
    <row r="9010" spans="1:2">
      <c r="A9010" s="951"/>
      <c r="B9010" s="951"/>
    </row>
    <row r="9011" spans="1:2">
      <c r="A9011" s="951"/>
      <c r="B9011" s="951"/>
    </row>
    <row r="9012" spans="1:2">
      <c r="A9012" s="951"/>
      <c r="B9012" s="951"/>
    </row>
    <row r="9013" spans="1:2">
      <c r="A9013" s="951"/>
      <c r="B9013" s="951"/>
    </row>
    <row r="9014" spans="1:2">
      <c r="A9014" s="951"/>
      <c r="B9014" s="951"/>
    </row>
    <row r="9015" spans="1:2">
      <c r="A9015" s="951"/>
      <c r="B9015" s="951"/>
    </row>
    <row r="9016" spans="1:2">
      <c r="A9016" s="951"/>
      <c r="B9016" s="951"/>
    </row>
    <row r="9017" spans="1:2">
      <c r="A9017" s="951"/>
      <c r="B9017" s="951"/>
    </row>
    <row r="9018" spans="1:2">
      <c r="A9018" s="951"/>
      <c r="B9018" s="951"/>
    </row>
    <row r="9019" spans="1:2">
      <c r="A9019" s="951"/>
      <c r="B9019" s="951"/>
    </row>
    <row r="9020" spans="1:2">
      <c r="A9020" s="951"/>
      <c r="B9020" s="951"/>
    </row>
    <row r="9021" spans="1:2">
      <c r="A9021" s="951"/>
      <c r="B9021" s="951"/>
    </row>
    <row r="9022" spans="1:2">
      <c r="A9022" s="951"/>
      <c r="B9022" s="951"/>
    </row>
    <row r="9023" spans="1:2">
      <c r="A9023" s="951"/>
      <c r="B9023" s="951"/>
    </row>
    <row r="9024" spans="1:2">
      <c r="A9024" s="951"/>
      <c r="B9024" s="951"/>
    </row>
    <row r="9025" spans="1:2">
      <c r="A9025" s="951"/>
      <c r="B9025" s="951"/>
    </row>
    <row r="9026" spans="1:2">
      <c r="A9026" s="951"/>
      <c r="B9026" s="951"/>
    </row>
    <row r="9027" spans="1:2">
      <c r="A9027" s="951"/>
      <c r="B9027" s="951"/>
    </row>
    <row r="9028" spans="1:2">
      <c r="A9028" s="951"/>
      <c r="B9028" s="951"/>
    </row>
    <row r="9029" spans="1:2">
      <c r="A9029" s="951"/>
      <c r="B9029" s="951"/>
    </row>
    <row r="9030" spans="1:2">
      <c r="A9030" s="951"/>
      <c r="B9030" s="951"/>
    </row>
    <row r="9031" spans="1:2">
      <c r="A9031" s="951"/>
      <c r="B9031" s="951"/>
    </row>
    <row r="9032" spans="1:2">
      <c r="A9032" s="951"/>
      <c r="B9032" s="951"/>
    </row>
    <row r="9033" spans="1:2">
      <c r="A9033" s="951"/>
      <c r="B9033" s="951"/>
    </row>
    <row r="9034" spans="1:2">
      <c r="A9034" s="951"/>
      <c r="B9034" s="951"/>
    </row>
    <row r="9035" spans="1:2">
      <c r="A9035" s="951"/>
      <c r="B9035" s="951"/>
    </row>
    <row r="9036" spans="1:2">
      <c r="A9036" s="951"/>
      <c r="B9036" s="951"/>
    </row>
    <row r="9037" spans="1:2">
      <c r="A9037" s="951"/>
      <c r="B9037" s="951"/>
    </row>
    <row r="9038" spans="1:2">
      <c r="A9038" s="951"/>
      <c r="B9038" s="951"/>
    </row>
    <row r="9039" spans="1:2">
      <c r="A9039" s="951"/>
      <c r="B9039" s="951"/>
    </row>
    <row r="9040" spans="1:2">
      <c r="A9040" s="951"/>
      <c r="B9040" s="951"/>
    </row>
    <row r="9041" spans="1:2">
      <c r="A9041" s="951"/>
      <c r="B9041" s="951"/>
    </row>
    <row r="9042" spans="1:2">
      <c r="A9042" s="951"/>
      <c r="B9042" s="951"/>
    </row>
    <row r="9043" spans="1:2">
      <c r="A9043" s="951"/>
      <c r="B9043" s="951"/>
    </row>
    <row r="9044" spans="1:2">
      <c r="A9044" s="951"/>
      <c r="B9044" s="951"/>
    </row>
    <row r="9045" spans="1:2">
      <c r="A9045" s="951"/>
      <c r="B9045" s="951"/>
    </row>
    <row r="9046" spans="1:2">
      <c r="A9046" s="951"/>
      <c r="B9046" s="951"/>
    </row>
    <row r="9047" spans="1:2">
      <c r="A9047" s="951"/>
      <c r="B9047" s="951"/>
    </row>
    <row r="9048" spans="1:2">
      <c r="A9048" s="951"/>
      <c r="B9048" s="951"/>
    </row>
    <row r="9049" spans="1:2">
      <c r="A9049" s="951"/>
      <c r="B9049" s="951"/>
    </row>
    <row r="9050" spans="1:2">
      <c r="A9050" s="951"/>
      <c r="B9050" s="951"/>
    </row>
    <row r="9051" spans="1:2">
      <c r="A9051" s="951"/>
      <c r="B9051" s="951"/>
    </row>
    <row r="9052" spans="1:2">
      <c r="A9052" s="951"/>
      <c r="B9052" s="951"/>
    </row>
    <row r="9053" spans="1:2">
      <c r="A9053" s="951"/>
      <c r="B9053" s="951"/>
    </row>
    <row r="9054" spans="1:2">
      <c r="A9054" s="951"/>
      <c r="B9054" s="951"/>
    </row>
    <row r="9055" spans="1:2">
      <c r="A9055" s="951"/>
      <c r="B9055" s="951"/>
    </row>
    <row r="9056" spans="1:2">
      <c r="A9056" s="951"/>
      <c r="B9056" s="951"/>
    </row>
    <row r="9057" spans="1:2">
      <c r="A9057" s="951"/>
      <c r="B9057" s="951"/>
    </row>
    <row r="9058" spans="1:2">
      <c r="A9058" s="951"/>
      <c r="B9058" s="951"/>
    </row>
    <row r="9059" spans="1:2">
      <c r="A9059" s="951"/>
      <c r="B9059" s="951"/>
    </row>
    <row r="9060" spans="1:2">
      <c r="A9060" s="951"/>
      <c r="B9060" s="951"/>
    </row>
    <row r="9061" spans="1:2">
      <c r="A9061" s="951"/>
      <c r="B9061" s="951"/>
    </row>
    <row r="9062" spans="1:2">
      <c r="A9062" s="951"/>
      <c r="B9062" s="951"/>
    </row>
    <row r="9063" spans="1:2">
      <c r="A9063" s="951"/>
      <c r="B9063" s="951"/>
    </row>
    <row r="9064" spans="1:2">
      <c r="A9064" s="951"/>
      <c r="B9064" s="951"/>
    </row>
    <row r="9065" spans="1:2">
      <c r="A9065" s="951"/>
      <c r="B9065" s="951"/>
    </row>
    <row r="9066" spans="1:2">
      <c r="A9066" s="951"/>
      <c r="B9066" s="951"/>
    </row>
    <row r="9067" spans="1:2">
      <c r="A9067" s="951"/>
      <c r="B9067" s="951"/>
    </row>
    <row r="9068" spans="1:2">
      <c r="A9068" s="951"/>
      <c r="B9068" s="951"/>
    </row>
    <row r="9069" spans="1:2">
      <c r="A9069" s="951"/>
      <c r="B9069" s="951"/>
    </row>
    <row r="9070" spans="1:2">
      <c r="A9070" s="951"/>
      <c r="B9070" s="951"/>
    </row>
    <row r="9071" spans="1:2">
      <c r="A9071" s="951"/>
      <c r="B9071" s="951"/>
    </row>
    <row r="9072" spans="1:2">
      <c r="A9072" s="951"/>
      <c r="B9072" s="951"/>
    </row>
    <row r="9073" spans="1:2">
      <c r="A9073" s="951"/>
      <c r="B9073" s="951"/>
    </row>
    <row r="9074" spans="1:2">
      <c r="A9074" s="951"/>
      <c r="B9074" s="951"/>
    </row>
    <row r="9075" spans="1:2">
      <c r="A9075" s="951"/>
      <c r="B9075" s="951"/>
    </row>
    <row r="9076" spans="1:2">
      <c r="A9076" s="951"/>
      <c r="B9076" s="951"/>
    </row>
    <row r="9077" spans="1:2">
      <c r="A9077" s="951"/>
      <c r="B9077" s="951"/>
    </row>
    <row r="9078" spans="1:2">
      <c r="A9078" s="951"/>
      <c r="B9078" s="951"/>
    </row>
    <row r="9079" spans="1:2">
      <c r="A9079" s="951"/>
      <c r="B9079" s="951"/>
    </row>
    <row r="9080" spans="1:2">
      <c r="A9080" s="951"/>
      <c r="B9080" s="951"/>
    </row>
    <row r="9081" spans="1:2">
      <c r="A9081" s="951"/>
      <c r="B9081" s="951"/>
    </row>
    <row r="9082" spans="1:2">
      <c r="A9082" s="951"/>
      <c r="B9082" s="951"/>
    </row>
    <row r="9083" spans="1:2">
      <c r="A9083" s="951"/>
      <c r="B9083" s="951"/>
    </row>
    <row r="9084" spans="1:2">
      <c r="A9084" s="951"/>
      <c r="B9084" s="951"/>
    </row>
    <row r="9085" spans="1:2">
      <c r="A9085" s="951"/>
      <c r="B9085" s="951"/>
    </row>
    <row r="9086" spans="1:2">
      <c r="A9086" s="951"/>
      <c r="B9086" s="951"/>
    </row>
    <row r="9087" spans="1:2">
      <c r="A9087" s="951"/>
      <c r="B9087" s="951"/>
    </row>
    <row r="9088" spans="1:2">
      <c r="A9088" s="951"/>
      <c r="B9088" s="951"/>
    </row>
    <row r="9089" spans="1:2">
      <c r="A9089" s="951"/>
      <c r="B9089" s="951"/>
    </row>
    <row r="9090" spans="1:2">
      <c r="A9090" s="951"/>
      <c r="B9090" s="951"/>
    </row>
    <row r="9091" spans="1:2">
      <c r="A9091" s="951"/>
      <c r="B9091" s="951"/>
    </row>
    <row r="9092" spans="1:2">
      <c r="A9092" s="951"/>
      <c r="B9092" s="951"/>
    </row>
    <row r="9093" spans="1:2">
      <c r="A9093" s="951"/>
      <c r="B9093" s="951"/>
    </row>
    <row r="9094" spans="1:2">
      <c r="A9094" s="951"/>
      <c r="B9094" s="951"/>
    </row>
    <row r="9095" spans="1:2">
      <c r="A9095" s="951"/>
      <c r="B9095" s="951"/>
    </row>
    <row r="9096" spans="1:2">
      <c r="A9096" s="951"/>
      <c r="B9096" s="951"/>
    </row>
    <row r="9097" spans="1:2">
      <c r="A9097" s="951"/>
      <c r="B9097" s="951"/>
    </row>
    <row r="9098" spans="1:2">
      <c r="A9098" s="951"/>
      <c r="B9098" s="951"/>
    </row>
    <row r="9099" spans="1:2">
      <c r="A9099" s="951"/>
      <c r="B9099" s="951"/>
    </row>
    <row r="9100" spans="1:2">
      <c r="A9100" s="951"/>
      <c r="B9100" s="951"/>
    </row>
    <row r="9101" spans="1:2">
      <c r="A9101" s="951"/>
      <c r="B9101" s="951"/>
    </row>
    <row r="9102" spans="1:2">
      <c r="A9102" s="951"/>
      <c r="B9102" s="951"/>
    </row>
    <row r="9103" spans="1:2">
      <c r="A9103" s="951"/>
      <c r="B9103" s="951"/>
    </row>
    <row r="9104" spans="1:2">
      <c r="A9104" s="951"/>
      <c r="B9104" s="951"/>
    </row>
    <row r="9105" spans="1:2">
      <c r="A9105" s="951"/>
      <c r="B9105" s="951"/>
    </row>
    <row r="9106" spans="1:2">
      <c r="A9106" s="951"/>
      <c r="B9106" s="951"/>
    </row>
    <row r="9107" spans="1:2">
      <c r="A9107" s="951"/>
      <c r="B9107" s="951"/>
    </row>
    <row r="9108" spans="1:2">
      <c r="A9108" s="951"/>
      <c r="B9108" s="951"/>
    </row>
    <row r="9109" spans="1:2">
      <c r="A9109" s="951"/>
      <c r="B9109" s="951"/>
    </row>
    <row r="9110" spans="1:2">
      <c r="A9110" s="951"/>
      <c r="B9110" s="951"/>
    </row>
    <row r="9111" spans="1:2">
      <c r="A9111" s="951"/>
      <c r="B9111" s="951"/>
    </row>
    <row r="9112" spans="1:2">
      <c r="A9112" s="951"/>
      <c r="B9112" s="951"/>
    </row>
    <row r="9113" spans="1:2">
      <c r="A9113" s="951"/>
      <c r="B9113" s="951"/>
    </row>
    <row r="9114" spans="1:2">
      <c r="A9114" s="951"/>
      <c r="B9114" s="951"/>
    </row>
    <row r="9115" spans="1:2">
      <c r="A9115" s="951"/>
      <c r="B9115" s="951"/>
    </row>
    <row r="9116" spans="1:2">
      <c r="A9116" s="951"/>
      <c r="B9116" s="951"/>
    </row>
    <row r="9117" spans="1:2">
      <c r="A9117" s="951"/>
      <c r="B9117" s="951"/>
    </row>
    <row r="9118" spans="1:2">
      <c r="A9118" s="951"/>
      <c r="B9118" s="951"/>
    </row>
    <row r="9119" spans="1:2">
      <c r="A9119" s="951"/>
      <c r="B9119" s="951"/>
    </row>
    <row r="9120" spans="1:2">
      <c r="A9120" s="951"/>
      <c r="B9120" s="951"/>
    </row>
    <row r="9121" spans="1:2">
      <c r="A9121" s="951"/>
      <c r="B9121" s="951"/>
    </row>
    <row r="9122" spans="1:2">
      <c r="A9122" s="951"/>
      <c r="B9122" s="951"/>
    </row>
    <row r="9123" spans="1:2">
      <c r="A9123" s="951"/>
      <c r="B9123" s="951"/>
    </row>
    <row r="9124" spans="1:2">
      <c r="A9124" s="951"/>
      <c r="B9124" s="951"/>
    </row>
    <row r="9125" spans="1:2">
      <c r="A9125" s="951"/>
      <c r="B9125" s="951"/>
    </row>
    <row r="9126" spans="1:2">
      <c r="A9126" s="951"/>
      <c r="B9126" s="951"/>
    </row>
    <row r="9127" spans="1:2">
      <c r="A9127" s="951"/>
      <c r="B9127" s="951"/>
    </row>
    <row r="9128" spans="1:2">
      <c r="A9128" s="951"/>
      <c r="B9128" s="951"/>
    </row>
    <row r="9129" spans="1:2">
      <c r="A9129" s="951"/>
      <c r="B9129" s="951"/>
    </row>
    <row r="9130" spans="1:2">
      <c r="A9130" s="951"/>
      <c r="B9130" s="951"/>
    </row>
    <row r="9131" spans="1:2">
      <c r="A9131" s="951"/>
      <c r="B9131" s="951"/>
    </row>
    <row r="9132" spans="1:2">
      <c r="A9132" s="951"/>
      <c r="B9132" s="951"/>
    </row>
    <row r="9133" spans="1:2">
      <c r="A9133" s="951"/>
      <c r="B9133" s="951"/>
    </row>
    <row r="9134" spans="1:2">
      <c r="A9134" s="951"/>
      <c r="B9134" s="951"/>
    </row>
    <row r="9135" spans="1:2">
      <c r="A9135" s="951"/>
      <c r="B9135" s="951"/>
    </row>
    <row r="9136" spans="1:2">
      <c r="A9136" s="951"/>
      <c r="B9136" s="951"/>
    </row>
    <row r="9137" spans="1:2">
      <c r="A9137" s="951"/>
      <c r="B9137" s="951"/>
    </row>
    <row r="9138" spans="1:2">
      <c r="A9138" s="951"/>
      <c r="B9138" s="951"/>
    </row>
    <row r="9139" spans="1:2">
      <c r="A9139" s="951"/>
      <c r="B9139" s="951"/>
    </row>
    <row r="9140" spans="1:2">
      <c r="A9140" s="951"/>
      <c r="B9140" s="951"/>
    </row>
    <row r="9141" spans="1:2">
      <c r="A9141" s="951"/>
      <c r="B9141" s="951"/>
    </row>
    <row r="9142" spans="1:2">
      <c r="A9142" s="951"/>
      <c r="B9142" s="951"/>
    </row>
    <row r="9143" spans="1:2">
      <c r="A9143" s="951"/>
      <c r="B9143" s="951"/>
    </row>
    <row r="9144" spans="1:2">
      <c r="A9144" s="951"/>
      <c r="B9144" s="951"/>
    </row>
    <row r="9145" spans="1:2">
      <c r="A9145" s="951"/>
      <c r="B9145" s="951"/>
    </row>
    <row r="9146" spans="1:2">
      <c r="A9146" s="951"/>
      <c r="B9146" s="951"/>
    </row>
    <row r="9147" spans="1:2">
      <c r="A9147" s="951"/>
      <c r="B9147" s="951"/>
    </row>
    <row r="9148" spans="1:2">
      <c r="A9148" s="951"/>
      <c r="B9148" s="951"/>
    </row>
    <row r="9149" spans="1:2">
      <c r="A9149" s="951"/>
      <c r="B9149" s="951"/>
    </row>
    <row r="9150" spans="1:2">
      <c r="A9150" s="951"/>
      <c r="B9150" s="951"/>
    </row>
    <row r="9151" spans="1:2">
      <c r="A9151" s="951"/>
      <c r="B9151" s="951"/>
    </row>
    <row r="9152" spans="1:2">
      <c r="A9152" s="951"/>
      <c r="B9152" s="951"/>
    </row>
    <row r="9153" spans="1:2">
      <c r="A9153" s="951"/>
      <c r="B9153" s="951"/>
    </row>
    <row r="9154" spans="1:2">
      <c r="A9154" s="951"/>
      <c r="B9154" s="951"/>
    </row>
    <row r="9155" spans="1:2">
      <c r="A9155" s="951"/>
      <c r="B9155" s="951"/>
    </row>
    <row r="9156" spans="1:2">
      <c r="A9156" s="951"/>
      <c r="B9156" s="951"/>
    </row>
    <row r="9157" spans="1:2">
      <c r="A9157" s="951"/>
      <c r="B9157" s="951"/>
    </row>
    <row r="9158" spans="1:2">
      <c r="A9158" s="951"/>
      <c r="B9158" s="951"/>
    </row>
    <row r="9159" spans="1:2">
      <c r="A9159" s="951"/>
      <c r="B9159" s="951"/>
    </row>
    <row r="9160" spans="1:2">
      <c r="A9160" s="951"/>
      <c r="B9160" s="951"/>
    </row>
    <row r="9161" spans="1:2">
      <c r="A9161" s="951"/>
      <c r="B9161" s="951"/>
    </row>
    <row r="9162" spans="1:2">
      <c r="A9162" s="951"/>
      <c r="B9162" s="951"/>
    </row>
    <row r="9163" spans="1:2">
      <c r="A9163" s="951"/>
      <c r="B9163" s="951"/>
    </row>
    <row r="9164" spans="1:2">
      <c r="A9164" s="951"/>
      <c r="B9164" s="951"/>
    </row>
    <row r="9165" spans="1:2">
      <c r="A9165" s="951"/>
      <c r="B9165" s="951"/>
    </row>
    <row r="9166" spans="1:2">
      <c r="A9166" s="951"/>
      <c r="B9166" s="951"/>
    </row>
    <row r="9167" spans="1:2">
      <c r="A9167" s="951"/>
      <c r="B9167" s="951"/>
    </row>
    <row r="9168" spans="1:2">
      <c r="A9168" s="951"/>
      <c r="B9168" s="951"/>
    </row>
    <row r="9169" spans="1:2">
      <c r="A9169" s="951"/>
      <c r="B9169" s="951"/>
    </row>
    <row r="9170" spans="1:2">
      <c r="A9170" s="951"/>
      <c r="B9170" s="951"/>
    </row>
    <row r="9171" spans="1:2">
      <c r="A9171" s="951"/>
      <c r="B9171" s="951"/>
    </row>
    <row r="9172" spans="1:2">
      <c r="A9172" s="951"/>
      <c r="B9172" s="951"/>
    </row>
    <row r="9173" spans="1:2">
      <c r="A9173" s="951"/>
      <c r="B9173" s="951"/>
    </row>
    <row r="9174" spans="1:2">
      <c r="A9174" s="951"/>
      <c r="B9174" s="951"/>
    </row>
    <row r="9175" spans="1:2">
      <c r="A9175" s="951"/>
      <c r="B9175" s="951"/>
    </row>
    <row r="9176" spans="1:2">
      <c r="A9176" s="951"/>
      <c r="B9176" s="951"/>
    </row>
    <row r="9177" spans="1:2">
      <c r="A9177" s="951"/>
      <c r="B9177" s="951"/>
    </row>
    <row r="9178" spans="1:2">
      <c r="A9178" s="951"/>
      <c r="B9178" s="951"/>
    </row>
    <row r="9179" spans="1:2">
      <c r="A9179" s="951"/>
      <c r="B9179" s="951"/>
    </row>
    <row r="9180" spans="1:2">
      <c r="A9180" s="951"/>
      <c r="B9180" s="951"/>
    </row>
    <row r="9181" spans="1:2">
      <c r="A9181" s="951"/>
      <c r="B9181" s="951"/>
    </row>
    <row r="9182" spans="1:2">
      <c r="A9182" s="951"/>
      <c r="B9182" s="951"/>
    </row>
    <row r="9183" spans="1:2">
      <c r="A9183" s="951"/>
      <c r="B9183" s="951"/>
    </row>
    <row r="9184" spans="1:2">
      <c r="A9184" s="951"/>
      <c r="B9184" s="951"/>
    </row>
    <row r="9185" spans="1:2">
      <c r="A9185" s="951"/>
      <c r="B9185" s="951"/>
    </row>
    <row r="9186" spans="1:2">
      <c r="A9186" s="951"/>
      <c r="B9186" s="951"/>
    </row>
    <row r="9187" spans="1:2">
      <c r="A9187" s="951"/>
      <c r="B9187" s="951"/>
    </row>
    <row r="9188" spans="1:2">
      <c r="A9188" s="951"/>
      <c r="B9188" s="951"/>
    </row>
    <row r="9189" spans="1:2">
      <c r="A9189" s="951"/>
      <c r="B9189" s="951"/>
    </row>
    <row r="9190" spans="1:2">
      <c r="A9190" s="951"/>
      <c r="B9190" s="951"/>
    </row>
    <row r="9191" spans="1:2">
      <c r="A9191" s="951"/>
      <c r="B9191" s="951"/>
    </row>
    <row r="9192" spans="1:2">
      <c r="A9192" s="951"/>
      <c r="B9192" s="951"/>
    </row>
    <row r="9193" spans="1:2">
      <c r="A9193" s="951"/>
      <c r="B9193" s="951"/>
    </row>
    <row r="9194" spans="1:2">
      <c r="A9194" s="951"/>
      <c r="B9194" s="951"/>
    </row>
    <row r="9195" spans="1:2">
      <c r="A9195" s="951"/>
      <c r="B9195" s="951"/>
    </row>
    <row r="9196" spans="1:2">
      <c r="A9196" s="951"/>
      <c r="B9196" s="951"/>
    </row>
    <row r="9197" spans="1:2">
      <c r="A9197" s="951"/>
      <c r="B9197" s="951"/>
    </row>
    <row r="9198" spans="1:2">
      <c r="A9198" s="951"/>
      <c r="B9198" s="951"/>
    </row>
    <row r="9199" spans="1:2">
      <c r="A9199" s="951"/>
      <c r="B9199" s="951"/>
    </row>
    <row r="9200" spans="1:2">
      <c r="A9200" s="951"/>
      <c r="B9200" s="951"/>
    </row>
    <row r="9201" spans="1:2">
      <c r="A9201" s="951"/>
      <c r="B9201" s="951"/>
    </row>
    <row r="9202" spans="1:2">
      <c r="A9202" s="951"/>
      <c r="B9202" s="951"/>
    </row>
    <row r="9203" spans="1:2">
      <c r="A9203" s="951"/>
      <c r="B9203" s="951"/>
    </row>
    <row r="9204" spans="1:2">
      <c r="A9204" s="951"/>
      <c r="B9204" s="951"/>
    </row>
    <row r="9205" spans="1:2">
      <c r="A9205" s="951"/>
      <c r="B9205" s="951"/>
    </row>
    <row r="9206" spans="1:2">
      <c r="A9206" s="951"/>
      <c r="B9206" s="951"/>
    </row>
    <row r="9207" spans="1:2">
      <c r="A9207" s="951"/>
      <c r="B9207" s="951"/>
    </row>
    <row r="9208" spans="1:2">
      <c r="A9208" s="951"/>
      <c r="B9208" s="951"/>
    </row>
    <row r="9209" spans="1:2">
      <c r="A9209" s="951"/>
      <c r="B9209" s="951"/>
    </row>
    <row r="9210" spans="1:2">
      <c r="A9210" s="951"/>
      <c r="B9210" s="951"/>
    </row>
    <row r="9211" spans="1:2">
      <c r="A9211" s="951"/>
      <c r="B9211" s="951"/>
    </row>
    <row r="9212" spans="1:2">
      <c r="A9212" s="951"/>
      <c r="B9212" s="951"/>
    </row>
    <row r="9213" spans="1:2">
      <c r="A9213" s="951"/>
      <c r="B9213" s="951"/>
    </row>
    <row r="9214" spans="1:2">
      <c r="A9214" s="951"/>
      <c r="B9214" s="951"/>
    </row>
    <row r="9215" spans="1:2">
      <c r="A9215" s="951"/>
      <c r="B9215" s="951"/>
    </row>
    <row r="9216" spans="1:2">
      <c r="A9216" s="951"/>
      <c r="B9216" s="951"/>
    </row>
    <row r="9217" spans="1:2">
      <c r="A9217" s="951"/>
      <c r="B9217" s="951"/>
    </row>
    <row r="9218" spans="1:2">
      <c r="A9218" s="951"/>
      <c r="B9218" s="951"/>
    </row>
    <row r="9219" spans="1:2">
      <c r="A9219" s="951"/>
      <c r="B9219" s="951"/>
    </row>
    <row r="9220" spans="1:2">
      <c r="A9220" s="951"/>
      <c r="B9220" s="951"/>
    </row>
    <row r="9221" spans="1:2">
      <c r="A9221" s="951"/>
      <c r="B9221" s="951"/>
    </row>
    <row r="9222" spans="1:2">
      <c r="A9222" s="951"/>
      <c r="B9222" s="951"/>
    </row>
    <row r="9223" spans="1:2">
      <c r="A9223" s="951"/>
      <c r="B9223" s="951"/>
    </row>
    <row r="9224" spans="1:2">
      <c r="A9224" s="951"/>
      <c r="B9224" s="951"/>
    </row>
    <row r="9225" spans="1:2">
      <c r="A9225" s="951"/>
      <c r="B9225" s="951"/>
    </row>
    <row r="9226" spans="1:2">
      <c r="A9226" s="951"/>
      <c r="B9226" s="951"/>
    </row>
    <row r="9227" spans="1:2">
      <c r="A9227" s="951"/>
      <c r="B9227" s="951"/>
    </row>
    <row r="9228" spans="1:2">
      <c r="A9228" s="951"/>
      <c r="B9228" s="951"/>
    </row>
    <row r="9229" spans="1:2">
      <c r="A9229" s="951"/>
      <c r="B9229" s="951"/>
    </row>
    <row r="9230" spans="1:2">
      <c r="A9230" s="951"/>
      <c r="B9230" s="951"/>
    </row>
    <row r="9231" spans="1:2">
      <c r="A9231" s="951"/>
      <c r="B9231" s="951"/>
    </row>
    <row r="9232" spans="1:2">
      <c r="A9232" s="951"/>
      <c r="B9232" s="951"/>
    </row>
    <row r="9233" spans="1:2">
      <c r="A9233" s="951"/>
      <c r="B9233" s="951"/>
    </row>
    <row r="9234" spans="1:2">
      <c r="A9234" s="951"/>
      <c r="B9234" s="951"/>
    </row>
    <row r="9235" spans="1:2">
      <c r="A9235" s="951"/>
      <c r="B9235" s="951"/>
    </row>
    <row r="9236" spans="1:2">
      <c r="A9236" s="951"/>
      <c r="B9236" s="951"/>
    </row>
    <row r="9237" spans="1:2">
      <c r="A9237" s="951"/>
      <c r="B9237" s="951"/>
    </row>
    <row r="9238" spans="1:2">
      <c r="A9238" s="951"/>
      <c r="B9238" s="951"/>
    </row>
    <row r="9239" spans="1:2">
      <c r="A9239" s="951"/>
      <c r="B9239" s="951"/>
    </row>
    <row r="9240" spans="1:2">
      <c r="A9240" s="951"/>
      <c r="B9240" s="951"/>
    </row>
    <row r="9241" spans="1:2">
      <c r="A9241" s="951"/>
      <c r="B9241" s="951"/>
    </row>
    <row r="9242" spans="1:2">
      <c r="A9242" s="951"/>
      <c r="B9242" s="951"/>
    </row>
    <row r="9243" spans="1:2">
      <c r="A9243" s="951"/>
      <c r="B9243" s="951"/>
    </row>
    <row r="9244" spans="1:2">
      <c r="A9244" s="951"/>
      <c r="B9244" s="951"/>
    </row>
    <row r="9245" spans="1:2">
      <c r="A9245" s="951"/>
      <c r="B9245" s="951"/>
    </row>
    <row r="9246" spans="1:2">
      <c r="A9246" s="951"/>
      <c r="B9246" s="951"/>
    </row>
    <row r="9247" spans="1:2">
      <c r="A9247" s="951"/>
      <c r="B9247" s="951"/>
    </row>
    <row r="9248" spans="1:2">
      <c r="A9248" s="951"/>
      <c r="B9248" s="951"/>
    </row>
    <row r="9249" spans="1:2">
      <c r="A9249" s="951"/>
      <c r="B9249" s="951"/>
    </row>
    <row r="9250" spans="1:2">
      <c r="A9250" s="951"/>
      <c r="B9250" s="951"/>
    </row>
    <row r="9251" spans="1:2">
      <c r="A9251" s="951"/>
      <c r="B9251" s="951"/>
    </row>
    <row r="9252" spans="1:2">
      <c r="A9252" s="951"/>
      <c r="B9252" s="951"/>
    </row>
    <row r="9253" spans="1:2">
      <c r="A9253" s="951"/>
      <c r="B9253" s="951"/>
    </row>
    <row r="9254" spans="1:2">
      <c r="A9254" s="951"/>
      <c r="B9254" s="951"/>
    </row>
    <row r="9255" spans="1:2">
      <c r="A9255" s="951"/>
      <c r="B9255" s="951"/>
    </row>
    <row r="9256" spans="1:2">
      <c r="A9256" s="951"/>
      <c r="B9256" s="951"/>
    </row>
    <row r="9257" spans="1:2">
      <c r="A9257" s="951"/>
      <c r="B9257" s="951"/>
    </row>
    <row r="9258" spans="1:2">
      <c r="A9258" s="951"/>
      <c r="B9258" s="951"/>
    </row>
    <row r="9259" spans="1:2">
      <c r="A9259" s="951"/>
      <c r="B9259" s="951"/>
    </row>
    <row r="9260" spans="1:2">
      <c r="A9260" s="951"/>
      <c r="B9260" s="951"/>
    </row>
    <row r="9261" spans="1:2">
      <c r="A9261" s="951"/>
      <c r="B9261" s="951"/>
    </row>
    <row r="9262" spans="1:2">
      <c r="A9262" s="951"/>
      <c r="B9262" s="951"/>
    </row>
    <row r="9263" spans="1:2">
      <c r="A9263" s="951"/>
      <c r="B9263" s="951"/>
    </row>
    <row r="9264" spans="1:2">
      <c r="A9264" s="951"/>
      <c r="B9264" s="951"/>
    </row>
    <row r="9265" spans="1:2">
      <c r="A9265" s="951"/>
      <c r="B9265" s="951"/>
    </row>
    <row r="9266" spans="1:2">
      <c r="A9266" s="951"/>
      <c r="B9266" s="951"/>
    </row>
    <row r="9267" spans="1:2">
      <c r="A9267" s="951"/>
      <c r="B9267" s="951"/>
    </row>
    <row r="9268" spans="1:2">
      <c r="A9268" s="951"/>
      <c r="B9268" s="951"/>
    </row>
    <row r="9269" spans="1:2">
      <c r="A9269" s="951"/>
      <c r="B9269" s="951"/>
    </row>
    <row r="9270" spans="1:2">
      <c r="A9270" s="951"/>
      <c r="B9270" s="951"/>
    </row>
    <row r="9271" spans="1:2">
      <c r="A9271" s="951"/>
      <c r="B9271" s="951"/>
    </row>
    <row r="9272" spans="1:2">
      <c r="A9272" s="951"/>
      <c r="B9272" s="951"/>
    </row>
    <row r="9273" spans="1:2">
      <c r="A9273" s="951"/>
      <c r="B9273" s="951"/>
    </row>
    <row r="9274" spans="1:2">
      <c r="A9274" s="951"/>
      <c r="B9274" s="951"/>
    </row>
    <row r="9275" spans="1:2">
      <c r="A9275" s="951"/>
      <c r="B9275" s="951"/>
    </row>
    <row r="9276" spans="1:2">
      <c r="A9276" s="951"/>
      <c r="B9276" s="951"/>
    </row>
    <row r="9277" spans="1:2">
      <c r="A9277" s="951"/>
      <c r="B9277" s="951"/>
    </row>
    <row r="9278" spans="1:2">
      <c r="A9278" s="951"/>
      <c r="B9278" s="951"/>
    </row>
    <row r="9279" spans="1:2">
      <c r="A9279" s="951"/>
      <c r="B9279" s="951"/>
    </row>
    <row r="9280" spans="1:2">
      <c r="A9280" s="951"/>
      <c r="B9280" s="951"/>
    </row>
    <row r="9281" spans="1:2">
      <c r="A9281" s="951"/>
      <c r="B9281" s="951"/>
    </row>
    <row r="9282" spans="1:2">
      <c r="A9282" s="951"/>
      <c r="B9282" s="951"/>
    </row>
    <row r="9283" spans="1:2">
      <c r="A9283" s="951"/>
      <c r="B9283" s="951"/>
    </row>
    <row r="9284" spans="1:2">
      <c r="A9284" s="951"/>
      <c r="B9284" s="951"/>
    </row>
    <row r="9285" spans="1:2">
      <c r="A9285" s="951"/>
      <c r="B9285" s="951"/>
    </row>
    <row r="9286" spans="1:2">
      <c r="A9286" s="951"/>
      <c r="B9286" s="951"/>
    </row>
    <row r="9287" spans="1:2">
      <c r="A9287" s="951"/>
      <c r="B9287" s="951"/>
    </row>
    <row r="9288" spans="1:2">
      <c r="A9288" s="951"/>
      <c r="B9288" s="951"/>
    </row>
    <row r="9289" spans="1:2">
      <c r="A9289" s="951"/>
      <c r="B9289" s="951"/>
    </row>
    <row r="9290" spans="1:2">
      <c r="A9290" s="951"/>
      <c r="B9290" s="951"/>
    </row>
    <row r="9291" spans="1:2">
      <c r="A9291" s="951"/>
      <c r="B9291" s="951"/>
    </row>
    <row r="9292" spans="1:2">
      <c r="A9292" s="951"/>
      <c r="B9292" s="951"/>
    </row>
    <row r="9293" spans="1:2">
      <c r="A9293" s="951"/>
      <c r="B9293" s="951"/>
    </row>
    <row r="9294" spans="1:2">
      <c r="A9294" s="951"/>
      <c r="B9294" s="951"/>
    </row>
    <row r="9295" spans="1:2">
      <c r="A9295" s="951"/>
      <c r="B9295" s="951"/>
    </row>
    <row r="9296" spans="1:2">
      <c r="A9296" s="951"/>
      <c r="B9296" s="951"/>
    </row>
    <row r="9297" spans="1:2">
      <c r="A9297" s="951"/>
      <c r="B9297" s="951"/>
    </row>
    <row r="9298" spans="1:2">
      <c r="A9298" s="951"/>
      <c r="B9298" s="951"/>
    </row>
    <row r="9299" spans="1:2">
      <c r="A9299" s="951"/>
      <c r="B9299" s="951"/>
    </row>
    <row r="9300" spans="1:2">
      <c r="A9300" s="951"/>
      <c r="B9300" s="951"/>
    </row>
    <row r="9301" spans="1:2">
      <c r="A9301" s="951"/>
      <c r="B9301" s="951"/>
    </row>
    <row r="9302" spans="1:2">
      <c r="A9302" s="951"/>
      <c r="B9302" s="951"/>
    </row>
    <row r="9303" spans="1:2">
      <c r="A9303" s="951"/>
      <c r="B9303" s="951"/>
    </row>
    <row r="9304" spans="1:2">
      <c r="A9304" s="951"/>
      <c r="B9304" s="951"/>
    </row>
    <row r="9305" spans="1:2">
      <c r="A9305" s="951"/>
      <c r="B9305" s="951"/>
    </row>
    <row r="9306" spans="1:2">
      <c r="A9306" s="951"/>
      <c r="B9306" s="951"/>
    </row>
    <row r="9307" spans="1:2">
      <c r="A9307" s="951"/>
      <c r="B9307" s="951"/>
    </row>
    <row r="9308" spans="1:2">
      <c r="A9308" s="951"/>
      <c r="B9308" s="951"/>
    </row>
    <row r="9309" spans="1:2">
      <c r="A9309" s="951"/>
      <c r="B9309" s="951"/>
    </row>
    <row r="9310" spans="1:2">
      <c r="A9310" s="951"/>
      <c r="B9310" s="951"/>
    </row>
    <row r="9311" spans="1:2">
      <c r="A9311" s="951"/>
      <c r="B9311" s="951"/>
    </row>
    <row r="9312" spans="1:2">
      <c r="A9312" s="951"/>
      <c r="B9312" s="951"/>
    </row>
    <row r="9313" spans="1:2">
      <c r="A9313" s="951"/>
      <c r="B9313" s="951"/>
    </row>
    <row r="9314" spans="1:2">
      <c r="A9314" s="951"/>
      <c r="B9314" s="951"/>
    </row>
    <row r="9315" spans="1:2">
      <c r="A9315" s="951"/>
      <c r="B9315" s="951"/>
    </row>
    <row r="9316" spans="1:2">
      <c r="A9316" s="951"/>
      <c r="B9316" s="951"/>
    </row>
    <row r="9317" spans="1:2">
      <c r="A9317" s="951"/>
      <c r="B9317" s="951"/>
    </row>
    <row r="9318" spans="1:2">
      <c r="A9318" s="951"/>
      <c r="B9318" s="951"/>
    </row>
    <row r="9319" spans="1:2">
      <c r="A9319" s="951"/>
      <c r="B9319" s="951"/>
    </row>
    <row r="9320" spans="1:2">
      <c r="A9320" s="951"/>
      <c r="B9320" s="951"/>
    </row>
    <row r="9321" spans="1:2">
      <c r="A9321" s="951"/>
      <c r="B9321" s="951"/>
    </row>
    <row r="9322" spans="1:2">
      <c r="A9322" s="951"/>
      <c r="B9322" s="951"/>
    </row>
    <row r="9323" spans="1:2">
      <c r="A9323" s="951"/>
      <c r="B9323" s="951"/>
    </row>
    <row r="9324" spans="1:2">
      <c r="A9324" s="951"/>
      <c r="B9324" s="951"/>
    </row>
    <row r="9325" spans="1:2">
      <c r="A9325" s="951"/>
      <c r="B9325" s="951"/>
    </row>
    <row r="9326" spans="1:2">
      <c r="A9326" s="951"/>
      <c r="B9326" s="951"/>
    </row>
    <row r="9327" spans="1:2">
      <c r="A9327" s="951"/>
      <c r="B9327" s="951"/>
    </row>
    <row r="9328" spans="1:2">
      <c r="A9328" s="951"/>
      <c r="B9328" s="951"/>
    </row>
    <row r="9329" spans="1:2">
      <c r="A9329" s="951"/>
      <c r="B9329" s="951"/>
    </row>
    <row r="9330" spans="1:2">
      <c r="A9330" s="951"/>
      <c r="B9330" s="951"/>
    </row>
    <row r="9331" spans="1:2">
      <c r="A9331" s="951"/>
      <c r="B9331" s="951"/>
    </row>
    <row r="9332" spans="1:2">
      <c r="A9332" s="951"/>
      <c r="B9332" s="951"/>
    </row>
    <row r="9333" spans="1:2">
      <c r="A9333" s="951"/>
      <c r="B9333" s="951"/>
    </row>
    <row r="9334" spans="1:2">
      <c r="A9334" s="951"/>
      <c r="B9334" s="951"/>
    </row>
    <row r="9335" spans="1:2">
      <c r="A9335" s="951"/>
      <c r="B9335" s="951"/>
    </row>
    <row r="9336" spans="1:2">
      <c r="A9336" s="951"/>
      <c r="B9336" s="951"/>
    </row>
    <row r="9337" spans="1:2">
      <c r="A9337" s="951"/>
      <c r="B9337" s="951"/>
    </row>
    <row r="9338" spans="1:2">
      <c r="A9338" s="951"/>
      <c r="B9338" s="951"/>
    </row>
    <row r="9339" spans="1:2">
      <c r="A9339" s="951"/>
      <c r="B9339" s="951"/>
    </row>
    <row r="9340" spans="1:2">
      <c r="A9340" s="951"/>
      <c r="B9340" s="951"/>
    </row>
    <row r="9341" spans="1:2">
      <c r="A9341" s="951"/>
      <c r="B9341" s="951"/>
    </row>
    <row r="9342" spans="1:2">
      <c r="A9342" s="951"/>
      <c r="B9342" s="951"/>
    </row>
    <row r="9343" spans="1:2">
      <c r="A9343" s="951"/>
      <c r="B9343" s="951"/>
    </row>
    <row r="9344" spans="1:2">
      <c r="A9344" s="951"/>
      <c r="B9344" s="951"/>
    </row>
    <row r="9345" spans="1:2">
      <c r="A9345" s="951"/>
      <c r="B9345" s="951"/>
    </row>
    <row r="9346" spans="1:2">
      <c r="A9346" s="951"/>
      <c r="B9346" s="951"/>
    </row>
    <row r="9347" spans="1:2">
      <c r="A9347" s="951"/>
      <c r="B9347" s="951"/>
    </row>
    <row r="9348" spans="1:2">
      <c r="A9348" s="951"/>
      <c r="B9348" s="951"/>
    </row>
    <row r="9349" spans="1:2">
      <c r="A9349" s="951"/>
      <c r="B9349" s="951"/>
    </row>
    <row r="9350" spans="1:2">
      <c r="A9350" s="951"/>
      <c r="B9350" s="951"/>
    </row>
    <row r="9351" spans="1:2">
      <c r="A9351" s="951"/>
      <c r="B9351" s="951"/>
    </row>
    <row r="9352" spans="1:2">
      <c r="A9352" s="951"/>
      <c r="B9352" s="951"/>
    </row>
    <row r="9353" spans="1:2">
      <c r="A9353" s="951"/>
      <c r="B9353" s="951"/>
    </row>
    <row r="9354" spans="1:2">
      <c r="A9354" s="951"/>
      <c r="B9354" s="951"/>
    </row>
    <row r="9355" spans="1:2">
      <c r="A9355" s="951"/>
      <c r="B9355" s="951"/>
    </row>
    <row r="9356" spans="1:2">
      <c r="A9356" s="951"/>
      <c r="B9356" s="951"/>
    </row>
    <row r="9357" spans="1:2">
      <c r="A9357" s="951"/>
      <c r="B9357" s="951"/>
    </row>
    <row r="9358" spans="1:2">
      <c r="A9358" s="951"/>
      <c r="B9358" s="951"/>
    </row>
    <row r="9359" spans="1:2">
      <c r="A9359" s="951"/>
      <c r="B9359" s="951"/>
    </row>
    <row r="9360" spans="1:2">
      <c r="A9360" s="951"/>
      <c r="B9360" s="951"/>
    </row>
    <row r="9361" spans="1:2">
      <c r="A9361" s="951"/>
      <c r="B9361" s="951"/>
    </row>
    <row r="9362" spans="1:2">
      <c r="A9362" s="951"/>
      <c r="B9362" s="951"/>
    </row>
    <row r="9363" spans="1:2">
      <c r="A9363" s="951"/>
      <c r="B9363" s="951"/>
    </row>
    <row r="9364" spans="1:2">
      <c r="A9364" s="951"/>
      <c r="B9364" s="951"/>
    </row>
    <row r="9365" spans="1:2">
      <c r="A9365" s="951"/>
      <c r="B9365" s="951"/>
    </row>
    <row r="9366" spans="1:2">
      <c r="A9366" s="951"/>
      <c r="B9366" s="951"/>
    </row>
    <row r="9367" spans="1:2">
      <c r="A9367" s="951"/>
      <c r="B9367" s="951"/>
    </row>
    <row r="9368" spans="1:2">
      <c r="A9368" s="951"/>
      <c r="B9368" s="951"/>
    </row>
    <row r="9369" spans="1:2">
      <c r="A9369" s="951"/>
      <c r="B9369" s="951"/>
    </row>
    <row r="9370" spans="1:2">
      <c r="A9370" s="951"/>
      <c r="B9370" s="951"/>
    </row>
    <row r="9371" spans="1:2">
      <c r="A9371" s="951"/>
      <c r="B9371" s="951"/>
    </row>
    <row r="9372" spans="1:2">
      <c r="A9372" s="951"/>
      <c r="B9372" s="951"/>
    </row>
    <row r="9373" spans="1:2">
      <c r="A9373" s="951"/>
      <c r="B9373" s="951"/>
    </row>
    <row r="9374" spans="1:2">
      <c r="A9374" s="951"/>
      <c r="B9374" s="951"/>
    </row>
    <row r="9375" spans="1:2">
      <c r="A9375" s="951"/>
      <c r="B9375" s="951"/>
    </row>
    <row r="9376" spans="1:2">
      <c r="A9376" s="951"/>
      <c r="B9376" s="951"/>
    </row>
    <row r="9377" spans="1:2">
      <c r="A9377" s="951"/>
      <c r="B9377" s="951"/>
    </row>
    <row r="9378" spans="1:2">
      <c r="A9378" s="951"/>
      <c r="B9378" s="951"/>
    </row>
    <row r="9379" spans="1:2">
      <c r="A9379" s="951"/>
      <c r="B9379" s="951"/>
    </row>
    <row r="9380" spans="1:2">
      <c r="A9380" s="951"/>
      <c r="B9380" s="951"/>
    </row>
    <row r="9381" spans="1:2">
      <c r="A9381" s="951"/>
      <c r="B9381" s="951"/>
    </row>
    <row r="9382" spans="1:2">
      <c r="A9382" s="951"/>
      <c r="B9382" s="951"/>
    </row>
    <row r="9383" spans="1:2">
      <c r="A9383" s="951"/>
      <c r="B9383" s="951"/>
    </row>
    <row r="9384" spans="1:2">
      <c r="A9384" s="951"/>
      <c r="B9384" s="951"/>
    </row>
    <row r="9385" spans="1:2">
      <c r="A9385" s="951"/>
      <c r="B9385" s="951"/>
    </row>
    <row r="9386" spans="1:2">
      <c r="A9386" s="951"/>
      <c r="B9386" s="951"/>
    </row>
    <row r="9387" spans="1:2">
      <c r="A9387" s="951"/>
      <c r="B9387" s="951"/>
    </row>
    <row r="9388" spans="1:2">
      <c r="A9388" s="951"/>
      <c r="B9388" s="951"/>
    </row>
    <row r="9389" spans="1:2">
      <c r="A9389" s="951"/>
      <c r="B9389" s="951"/>
    </row>
    <row r="9390" spans="1:2">
      <c r="A9390" s="951"/>
      <c r="B9390" s="951"/>
    </row>
    <row r="9391" spans="1:2">
      <c r="A9391" s="951"/>
      <c r="B9391" s="951"/>
    </row>
    <row r="9392" spans="1:2">
      <c r="A9392" s="951"/>
      <c r="B9392" s="951"/>
    </row>
    <row r="9393" spans="1:2">
      <c r="A9393" s="951"/>
      <c r="B9393" s="951"/>
    </row>
    <row r="9394" spans="1:2">
      <c r="A9394" s="951"/>
      <c r="B9394" s="951"/>
    </row>
    <row r="9395" spans="1:2">
      <c r="A9395" s="951"/>
      <c r="B9395" s="951"/>
    </row>
    <row r="9396" spans="1:2">
      <c r="A9396" s="951"/>
      <c r="B9396" s="951"/>
    </row>
    <row r="9397" spans="1:2">
      <c r="A9397" s="951"/>
      <c r="B9397" s="951"/>
    </row>
    <row r="9398" spans="1:2">
      <c r="A9398" s="951"/>
      <c r="B9398" s="951"/>
    </row>
    <row r="9399" spans="1:2">
      <c r="A9399" s="951"/>
      <c r="B9399" s="951"/>
    </row>
    <row r="9400" spans="1:2">
      <c r="A9400" s="951"/>
      <c r="B9400" s="951"/>
    </row>
    <row r="9401" spans="1:2">
      <c r="A9401" s="951"/>
      <c r="B9401" s="951"/>
    </row>
    <row r="9402" spans="1:2">
      <c r="A9402" s="951"/>
      <c r="B9402" s="951"/>
    </row>
    <row r="9403" spans="1:2">
      <c r="A9403" s="951"/>
      <c r="B9403" s="951"/>
    </row>
    <row r="9404" spans="1:2">
      <c r="A9404" s="951"/>
      <c r="B9404" s="951"/>
    </row>
    <row r="9405" spans="1:2">
      <c r="A9405" s="951"/>
      <c r="B9405" s="951"/>
    </row>
    <row r="9406" spans="1:2">
      <c r="A9406" s="951"/>
      <c r="B9406" s="951"/>
    </row>
    <row r="9407" spans="1:2">
      <c r="A9407" s="951"/>
      <c r="B9407" s="951"/>
    </row>
    <row r="9408" spans="1:2">
      <c r="A9408" s="951"/>
      <c r="B9408" s="951"/>
    </row>
    <row r="9409" spans="1:2">
      <c r="A9409" s="951"/>
      <c r="B9409" s="951"/>
    </row>
    <row r="9410" spans="1:2">
      <c r="A9410" s="951"/>
      <c r="B9410" s="951"/>
    </row>
    <row r="9411" spans="1:2">
      <c r="A9411" s="951"/>
      <c r="B9411" s="951"/>
    </row>
    <row r="9412" spans="1:2">
      <c r="A9412" s="951"/>
      <c r="B9412" s="951"/>
    </row>
    <row r="9413" spans="1:2">
      <c r="A9413" s="951"/>
      <c r="B9413" s="951"/>
    </row>
    <row r="9414" spans="1:2">
      <c r="A9414" s="951"/>
      <c r="B9414" s="951"/>
    </row>
    <row r="9415" spans="1:2">
      <c r="A9415" s="951"/>
      <c r="B9415" s="951"/>
    </row>
    <row r="9416" spans="1:2">
      <c r="A9416" s="951"/>
      <c r="B9416" s="951"/>
    </row>
    <row r="9417" spans="1:2">
      <c r="A9417" s="951"/>
      <c r="B9417" s="951"/>
    </row>
    <row r="9418" spans="1:2">
      <c r="A9418" s="951"/>
      <c r="B9418" s="951"/>
    </row>
    <row r="9419" spans="1:2">
      <c r="A9419" s="951"/>
      <c r="B9419" s="951"/>
    </row>
    <row r="9420" spans="1:2">
      <c r="A9420" s="951"/>
      <c r="B9420" s="951"/>
    </row>
    <row r="9421" spans="1:2">
      <c r="A9421" s="951"/>
      <c r="B9421" s="951"/>
    </row>
    <row r="9422" spans="1:2">
      <c r="A9422" s="951"/>
      <c r="B9422" s="951"/>
    </row>
    <row r="9423" spans="1:2">
      <c r="A9423" s="951"/>
      <c r="B9423" s="951"/>
    </row>
    <row r="9424" spans="1:2">
      <c r="A9424" s="951"/>
      <c r="B9424" s="951"/>
    </row>
    <row r="9425" spans="1:2">
      <c r="A9425" s="951"/>
      <c r="B9425" s="951"/>
    </row>
    <row r="9426" spans="1:2">
      <c r="A9426" s="951"/>
      <c r="B9426" s="951"/>
    </row>
    <row r="9427" spans="1:2">
      <c r="A9427" s="951"/>
      <c r="B9427" s="951"/>
    </row>
    <row r="9428" spans="1:2">
      <c r="A9428" s="951"/>
      <c r="B9428" s="951"/>
    </row>
    <row r="9429" spans="1:2">
      <c r="A9429" s="951"/>
      <c r="B9429" s="951"/>
    </row>
    <row r="9430" spans="1:2">
      <c r="A9430" s="951"/>
      <c r="B9430" s="951"/>
    </row>
    <row r="9431" spans="1:2">
      <c r="A9431" s="951"/>
      <c r="B9431" s="951"/>
    </row>
    <row r="9432" spans="1:2">
      <c r="A9432" s="951"/>
      <c r="B9432" s="951"/>
    </row>
    <row r="9433" spans="1:2">
      <c r="A9433" s="951"/>
      <c r="B9433" s="951"/>
    </row>
    <row r="9434" spans="1:2">
      <c r="A9434" s="951"/>
      <c r="B9434" s="951"/>
    </row>
    <row r="9435" spans="1:2">
      <c r="A9435" s="951"/>
      <c r="B9435" s="951"/>
    </row>
    <row r="9436" spans="1:2">
      <c r="A9436" s="951"/>
      <c r="B9436" s="951"/>
    </row>
    <row r="9437" spans="1:2">
      <c r="A9437" s="951"/>
      <c r="B9437" s="951"/>
    </row>
    <row r="9438" spans="1:2">
      <c r="A9438" s="951"/>
      <c r="B9438" s="951"/>
    </row>
    <row r="9439" spans="1:2">
      <c r="A9439" s="951"/>
      <c r="B9439" s="951"/>
    </row>
    <row r="9440" spans="1:2">
      <c r="A9440" s="951"/>
      <c r="B9440" s="951"/>
    </row>
    <row r="9441" spans="1:2">
      <c r="A9441" s="951"/>
      <c r="B9441" s="951"/>
    </row>
    <row r="9442" spans="1:2">
      <c r="A9442" s="951"/>
      <c r="B9442" s="951"/>
    </row>
    <row r="9443" spans="1:2">
      <c r="A9443" s="951"/>
      <c r="B9443" s="951"/>
    </row>
    <row r="9444" spans="1:2">
      <c r="A9444" s="951"/>
      <c r="B9444" s="951"/>
    </row>
    <row r="9445" spans="1:2">
      <c r="A9445" s="951"/>
      <c r="B9445" s="951"/>
    </row>
    <row r="9446" spans="1:2">
      <c r="A9446" s="951"/>
      <c r="B9446" s="951"/>
    </row>
    <row r="9447" spans="1:2">
      <c r="A9447" s="951"/>
      <c r="B9447" s="951"/>
    </row>
    <row r="9448" spans="1:2">
      <c r="A9448" s="951"/>
      <c r="B9448" s="951"/>
    </row>
    <row r="9449" spans="1:2">
      <c r="A9449" s="951"/>
      <c r="B9449" s="951"/>
    </row>
    <row r="9450" spans="1:2">
      <c r="A9450" s="951"/>
      <c r="B9450" s="951"/>
    </row>
    <row r="9451" spans="1:2">
      <c r="A9451" s="951"/>
      <c r="B9451" s="951"/>
    </row>
    <row r="9452" spans="1:2">
      <c r="A9452" s="951"/>
      <c r="B9452" s="951"/>
    </row>
    <row r="9453" spans="1:2">
      <c r="A9453" s="951"/>
      <c r="B9453" s="951"/>
    </row>
    <row r="9454" spans="1:2">
      <c r="A9454" s="951"/>
      <c r="B9454" s="951"/>
    </row>
    <row r="9455" spans="1:2">
      <c r="A9455" s="951"/>
      <c r="B9455" s="951"/>
    </row>
    <row r="9456" spans="1:2">
      <c r="A9456" s="951"/>
      <c r="B9456" s="951"/>
    </row>
    <row r="9457" spans="1:2">
      <c r="A9457" s="951"/>
      <c r="B9457" s="951"/>
    </row>
    <row r="9458" spans="1:2">
      <c r="A9458" s="951"/>
      <c r="B9458" s="951"/>
    </row>
    <row r="9459" spans="1:2">
      <c r="A9459" s="951"/>
      <c r="B9459" s="951"/>
    </row>
    <row r="9460" spans="1:2">
      <c r="A9460" s="951"/>
      <c r="B9460" s="951"/>
    </row>
    <row r="9461" spans="1:2">
      <c r="A9461" s="951"/>
      <c r="B9461" s="951"/>
    </row>
    <row r="9462" spans="1:2">
      <c r="A9462" s="951"/>
      <c r="B9462" s="951"/>
    </row>
    <row r="9463" spans="1:2">
      <c r="A9463" s="951"/>
      <c r="B9463" s="951"/>
    </row>
    <row r="9464" spans="1:2">
      <c r="A9464" s="951"/>
      <c r="B9464" s="951"/>
    </row>
    <row r="9465" spans="1:2">
      <c r="A9465" s="951"/>
      <c r="B9465" s="951"/>
    </row>
    <row r="9466" spans="1:2">
      <c r="A9466" s="951"/>
      <c r="B9466" s="951"/>
    </row>
    <row r="9467" spans="1:2">
      <c r="A9467" s="951"/>
      <c r="B9467" s="951"/>
    </row>
    <row r="9468" spans="1:2">
      <c r="A9468" s="951"/>
      <c r="B9468" s="951"/>
    </row>
    <row r="9469" spans="1:2">
      <c r="A9469" s="951"/>
      <c r="B9469" s="951"/>
    </row>
    <row r="9470" spans="1:2">
      <c r="A9470" s="951"/>
      <c r="B9470" s="951"/>
    </row>
    <row r="9471" spans="1:2">
      <c r="A9471" s="951"/>
      <c r="B9471" s="951"/>
    </row>
    <row r="9472" spans="1:2">
      <c r="A9472" s="951"/>
      <c r="B9472" s="951"/>
    </row>
    <row r="9473" spans="1:2">
      <c r="A9473" s="951"/>
      <c r="B9473" s="951"/>
    </row>
    <row r="9474" spans="1:2">
      <c r="A9474" s="951"/>
      <c r="B9474" s="951"/>
    </row>
    <row r="9475" spans="1:2">
      <c r="A9475" s="951"/>
      <c r="B9475" s="951"/>
    </row>
    <row r="9476" spans="1:2">
      <c r="A9476" s="951"/>
      <c r="B9476" s="951"/>
    </row>
    <row r="9477" spans="1:2">
      <c r="A9477" s="951"/>
      <c r="B9477" s="951"/>
    </row>
    <row r="9478" spans="1:2">
      <c r="A9478" s="951"/>
      <c r="B9478" s="951"/>
    </row>
    <row r="9479" spans="1:2">
      <c r="A9479" s="951"/>
      <c r="B9479" s="951"/>
    </row>
    <row r="9480" spans="1:2">
      <c r="A9480" s="951"/>
      <c r="B9480" s="951"/>
    </row>
    <row r="9481" spans="1:2">
      <c r="A9481" s="951"/>
      <c r="B9481" s="951"/>
    </row>
    <row r="9482" spans="1:2">
      <c r="A9482" s="951"/>
      <c r="B9482" s="951"/>
    </row>
    <row r="9483" spans="1:2">
      <c r="A9483" s="951"/>
      <c r="B9483" s="951"/>
    </row>
    <row r="9484" spans="1:2">
      <c r="A9484" s="951"/>
      <c r="B9484" s="951"/>
    </row>
    <row r="9485" spans="1:2">
      <c r="A9485" s="951"/>
      <c r="B9485" s="951"/>
    </row>
    <row r="9486" spans="1:2">
      <c r="A9486" s="951"/>
      <c r="B9486" s="951"/>
    </row>
    <row r="9487" spans="1:2">
      <c r="A9487" s="951"/>
      <c r="B9487" s="951"/>
    </row>
    <row r="9488" spans="1:2">
      <c r="A9488" s="951"/>
      <c r="B9488" s="951"/>
    </row>
    <row r="9489" spans="1:2">
      <c r="A9489" s="951"/>
      <c r="B9489" s="951"/>
    </row>
    <row r="9490" spans="1:2">
      <c r="A9490" s="951"/>
      <c r="B9490" s="951"/>
    </row>
    <row r="9491" spans="1:2">
      <c r="A9491" s="951"/>
      <c r="B9491" s="951"/>
    </row>
    <row r="9492" spans="1:2">
      <c r="A9492" s="951"/>
      <c r="B9492" s="951"/>
    </row>
    <row r="9493" spans="1:2">
      <c r="A9493" s="951"/>
      <c r="B9493" s="951"/>
    </row>
    <row r="9494" spans="1:2">
      <c r="A9494" s="951"/>
      <c r="B9494" s="951"/>
    </row>
    <row r="9495" spans="1:2">
      <c r="A9495" s="951"/>
      <c r="B9495" s="951"/>
    </row>
    <row r="9496" spans="1:2">
      <c r="A9496" s="951"/>
      <c r="B9496" s="951"/>
    </row>
    <row r="9497" spans="1:2">
      <c r="A9497" s="951"/>
      <c r="B9497" s="951"/>
    </row>
    <row r="9498" spans="1:2">
      <c r="A9498" s="951"/>
      <c r="B9498" s="951"/>
    </row>
    <row r="9499" spans="1:2">
      <c r="A9499" s="951"/>
      <c r="B9499" s="951"/>
    </row>
    <row r="9500" spans="1:2">
      <c r="A9500" s="951"/>
      <c r="B9500" s="951"/>
    </row>
    <row r="9501" spans="1:2">
      <c r="A9501" s="951"/>
      <c r="B9501" s="951"/>
    </row>
    <row r="9502" spans="1:2">
      <c r="A9502" s="951"/>
      <c r="B9502" s="951"/>
    </row>
    <row r="9503" spans="1:2">
      <c r="A9503" s="951"/>
      <c r="B9503" s="951"/>
    </row>
    <row r="9504" spans="1:2">
      <c r="A9504" s="951"/>
      <c r="B9504" s="951"/>
    </row>
    <row r="9505" spans="1:2">
      <c r="A9505" s="951"/>
      <c r="B9505" s="951"/>
    </row>
    <row r="9506" spans="1:2">
      <c r="A9506" s="951"/>
      <c r="B9506" s="951"/>
    </row>
    <row r="9507" spans="1:2">
      <c r="A9507" s="951"/>
      <c r="B9507" s="951"/>
    </row>
    <row r="9508" spans="1:2">
      <c r="A9508" s="951"/>
      <c r="B9508" s="951"/>
    </row>
    <row r="9509" spans="1:2">
      <c r="A9509" s="951"/>
      <c r="B9509" s="951"/>
    </row>
    <row r="9510" spans="1:2">
      <c r="A9510" s="951"/>
      <c r="B9510" s="951"/>
    </row>
    <row r="9511" spans="1:2">
      <c r="A9511" s="951"/>
      <c r="B9511" s="951"/>
    </row>
    <row r="9512" spans="1:2">
      <c r="A9512" s="951"/>
      <c r="B9512" s="951"/>
    </row>
    <row r="9513" spans="1:2">
      <c r="A9513" s="951"/>
      <c r="B9513" s="951"/>
    </row>
    <row r="9514" spans="1:2">
      <c r="A9514" s="951"/>
      <c r="B9514" s="951"/>
    </row>
    <row r="9515" spans="1:2">
      <c r="A9515" s="951"/>
      <c r="B9515" s="951"/>
    </row>
    <row r="9516" spans="1:2">
      <c r="A9516" s="951"/>
      <c r="B9516" s="951"/>
    </row>
    <row r="9517" spans="1:2">
      <c r="A9517" s="951"/>
      <c r="B9517" s="951"/>
    </row>
    <row r="9518" spans="1:2">
      <c r="A9518" s="951"/>
      <c r="B9518" s="951"/>
    </row>
    <row r="9519" spans="1:2">
      <c r="A9519" s="951"/>
      <c r="B9519" s="951"/>
    </row>
    <row r="9520" spans="1:2">
      <c r="A9520" s="951"/>
      <c r="B9520" s="951"/>
    </row>
    <row r="9521" spans="1:2">
      <c r="A9521" s="951"/>
      <c r="B9521" s="951"/>
    </row>
    <row r="9522" spans="1:2">
      <c r="A9522" s="951"/>
      <c r="B9522" s="951"/>
    </row>
    <row r="9523" spans="1:2">
      <c r="A9523" s="951"/>
      <c r="B9523" s="951"/>
    </row>
    <row r="9524" spans="1:2">
      <c r="A9524" s="951"/>
      <c r="B9524" s="951"/>
    </row>
    <row r="9525" spans="1:2">
      <c r="A9525" s="951"/>
      <c r="B9525" s="951"/>
    </row>
    <row r="9526" spans="1:2">
      <c r="A9526" s="951"/>
      <c r="B9526" s="951"/>
    </row>
    <row r="9527" spans="1:2">
      <c r="A9527" s="951"/>
      <c r="B9527" s="951"/>
    </row>
    <row r="9528" spans="1:2">
      <c r="A9528" s="951"/>
      <c r="B9528" s="951"/>
    </row>
    <row r="9529" spans="1:2">
      <c r="A9529" s="951"/>
      <c r="B9529" s="951"/>
    </row>
    <row r="9530" spans="1:2">
      <c r="A9530" s="951"/>
      <c r="B9530" s="951"/>
    </row>
    <row r="9531" spans="1:2">
      <c r="A9531" s="951"/>
      <c r="B9531" s="951"/>
    </row>
    <row r="9532" spans="1:2">
      <c r="A9532" s="951"/>
      <c r="B9532" s="951"/>
    </row>
    <row r="9533" spans="1:2">
      <c r="A9533" s="951"/>
      <c r="B9533" s="951"/>
    </row>
    <row r="9534" spans="1:2">
      <c r="A9534" s="951"/>
      <c r="B9534" s="951"/>
    </row>
    <row r="9535" spans="1:2">
      <c r="A9535" s="951"/>
      <c r="B9535" s="951"/>
    </row>
    <row r="9536" spans="1:2">
      <c r="A9536" s="951"/>
      <c r="B9536" s="951"/>
    </row>
    <row r="9537" spans="1:2">
      <c r="A9537" s="951"/>
      <c r="B9537" s="951"/>
    </row>
    <row r="9538" spans="1:2">
      <c r="A9538" s="951"/>
      <c r="B9538" s="951"/>
    </row>
    <row r="9539" spans="1:2">
      <c r="A9539" s="951"/>
      <c r="B9539" s="951"/>
    </row>
    <row r="9540" spans="1:2">
      <c r="A9540" s="951"/>
      <c r="B9540" s="951"/>
    </row>
    <row r="9541" spans="1:2">
      <c r="A9541" s="951"/>
      <c r="B9541" s="951"/>
    </row>
    <row r="9542" spans="1:2">
      <c r="A9542" s="951"/>
      <c r="B9542" s="951"/>
    </row>
    <row r="9543" spans="1:2">
      <c r="A9543" s="951"/>
      <c r="B9543" s="951"/>
    </row>
    <row r="9544" spans="1:2">
      <c r="A9544" s="951"/>
      <c r="B9544" s="951"/>
    </row>
    <row r="9545" spans="1:2">
      <c r="A9545" s="951"/>
      <c r="B9545" s="951"/>
    </row>
    <row r="9546" spans="1:2">
      <c r="A9546" s="951"/>
      <c r="B9546" s="951"/>
    </row>
    <row r="9547" spans="1:2">
      <c r="A9547" s="951"/>
      <c r="B9547" s="951"/>
    </row>
    <row r="9548" spans="1:2">
      <c r="A9548" s="951"/>
      <c r="B9548" s="951"/>
    </row>
    <row r="9549" spans="1:2">
      <c r="A9549" s="951"/>
      <c r="B9549" s="951"/>
    </row>
    <row r="9550" spans="1:2">
      <c r="A9550" s="951"/>
      <c r="B9550" s="951"/>
    </row>
    <row r="9551" spans="1:2">
      <c r="A9551" s="951"/>
      <c r="B9551" s="951"/>
    </row>
    <row r="9552" spans="1:2">
      <c r="A9552" s="951"/>
      <c r="B9552" s="951"/>
    </row>
    <row r="9553" spans="1:2">
      <c r="A9553" s="951"/>
      <c r="B9553" s="951"/>
    </row>
    <row r="9554" spans="1:2">
      <c r="A9554" s="951"/>
      <c r="B9554" s="951"/>
    </row>
    <row r="9555" spans="1:2">
      <c r="A9555" s="951"/>
      <c r="B9555" s="951"/>
    </row>
    <row r="9556" spans="1:2">
      <c r="A9556" s="951"/>
      <c r="B9556" s="951"/>
    </row>
    <row r="9557" spans="1:2">
      <c r="A9557" s="951"/>
      <c r="B9557" s="951"/>
    </row>
    <row r="9558" spans="1:2">
      <c r="A9558" s="951"/>
      <c r="B9558" s="951"/>
    </row>
    <row r="9559" spans="1:2">
      <c r="A9559" s="951"/>
      <c r="B9559" s="951"/>
    </row>
    <row r="9560" spans="1:2">
      <c r="A9560" s="951"/>
      <c r="B9560" s="951"/>
    </row>
    <row r="9561" spans="1:2">
      <c r="A9561" s="951"/>
      <c r="B9561" s="951"/>
    </row>
    <row r="9562" spans="1:2">
      <c r="A9562" s="951"/>
      <c r="B9562" s="951"/>
    </row>
    <row r="9563" spans="1:2">
      <c r="A9563" s="951"/>
      <c r="B9563" s="951"/>
    </row>
    <row r="9564" spans="1:2">
      <c r="A9564" s="951"/>
      <c r="B9564" s="951"/>
    </row>
    <row r="9565" spans="1:2">
      <c r="A9565" s="951"/>
      <c r="B9565" s="951"/>
    </row>
    <row r="9566" spans="1:2">
      <c r="A9566" s="951"/>
      <c r="B9566" s="951"/>
    </row>
    <row r="9567" spans="1:2">
      <c r="A9567" s="951"/>
      <c r="B9567" s="951"/>
    </row>
    <row r="9568" spans="1:2">
      <c r="A9568" s="951"/>
      <c r="B9568" s="951"/>
    </row>
    <row r="9569" spans="1:2">
      <c r="A9569" s="951"/>
      <c r="B9569" s="951"/>
    </row>
    <row r="9570" spans="1:2">
      <c r="A9570" s="951"/>
      <c r="B9570" s="951"/>
    </row>
    <row r="9571" spans="1:2">
      <c r="A9571" s="951"/>
      <c r="B9571" s="951"/>
    </row>
    <row r="9572" spans="1:2">
      <c r="A9572" s="951"/>
      <c r="B9572" s="951"/>
    </row>
    <row r="9573" spans="1:2">
      <c r="A9573" s="951"/>
      <c r="B9573" s="951"/>
    </row>
    <row r="9574" spans="1:2">
      <c r="A9574" s="951"/>
      <c r="B9574" s="951"/>
    </row>
    <row r="9575" spans="1:2">
      <c r="A9575" s="951"/>
      <c r="B9575" s="951"/>
    </row>
    <row r="9576" spans="1:2">
      <c r="A9576" s="951"/>
      <c r="B9576" s="951"/>
    </row>
    <row r="9577" spans="1:2">
      <c r="A9577" s="951"/>
      <c r="B9577" s="951"/>
    </row>
    <row r="9578" spans="1:2">
      <c r="A9578" s="951"/>
      <c r="B9578" s="951"/>
    </row>
    <row r="9579" spans="1:2">
      <c r="A9579" s="951"/>
      <c r="B9579" s="951"/>
    </row>
    <row r="9580" spans="1:2">
      <c r="A9580" s="951"/>
      <c r="B9580" s="951"/>
    </row>
    <row r="9581" spans="1:2">
      <c r="A9581" s="951"/>
      <c r="B9581" s="951"/>
    </row>
    <row r="9582" spans="1:2">
      <c r="A9582" s="951"/>
      <c r="B9582" s="951"/>
    </row>
    <row r="9583" spans="1:2">
      <c r="A9583" s="951"/>
      <c r="B9583" s="951"/>
    </row>
    <row r="9584" spans="1:2">
      <c r="A9584" s="951"/>
      <c r="B9584" s="951"/>
    </row>
    <row r="9585" spans="1:2">
      <c r="A9585" s="951"/>
      <c r="B9585" s="951"/>
    </row>
    <row r="9586" spans="1:2">
      <c r="A9586" s="951"/>
      <c r="B9586" s="951"/>
    </row>
    <row r="9587" spans="1:2">
      <c r="A9587" s="951"/>
      <c r="B9587" s="951"/>
    </row>
    <row r="9588" spans="1:2">
      <c r="A9588" s="951"/>
      <c r="B9588" s="951"/>
    </row>
    <row r="9589" spans="1:2">
      <c r="A9589" s="951"/>
      <c r="B9589" s="951"/>
    </row>
    <row r="9590" spans="1:2">
      <c r="A9590" s="951"/>
      <c r="B9590" s="951"/>
    </row>
    <row r="9591" spans="1:2">
      <c r="A9591" s="951"/>
      <c r="B9591" s="951"/>
    </row>
    <row r="9592" spans="1:2">
      <c r="A9592" s="951"/>
      <c r="B9592" s="951"/>
    </row>
    <row r="9593" spans="1:2">
      <c r="A9593" s="951"/>
      <c r="B9593" s="951"/>
    </row>
    <row r="9594" spans="1:2">
      <c r="A9594" s="951"/>
      <c r="B9594" s="951"/>
    </row>
    <row r="9595" spans="1:2">
      <c r="A9595" s="951"/>
      <c r="B9595" s="951"/>
    </row>
    <row r="9596" spans="1:2">
      <c r="A9596" s="951"/>
      <c r="B9596" s="951"/>
    </row>
    <row r="9597" spans="1:2">
      <c r="A9597" s="951"/>
      <c r="B9597" s="951"/>
    </row>
    <row r="9598" spans="1:2">
      <c r="A9598" s="951"/>
      <c r="B9598" s="951"/>
    </row>
    <row r="9599" spans="1:2">
      <c r="A9599" s="951"/>
      <c r="B9599" s="951"/>
    </row>
    <row r="9600" spans="1:2">
      <c r="A9600" s="951"/>
      <c r="B9600" s="951"/>
    </row>
    <row r="9601" spans="1:2">
      <c r="A9601" s="951"/>
      <c r="B9601" s="951"/>
    </row>
    <row r="9602" spans="1:2">
      <c r="A9602" s="951"/>
      <c r="B9602" s="951"/>
    </row>
    <row r="9603" spans="1:2">
      <c r="A9603" s="951"/>
      <c r="B9603" s="951"/>
    </row>
    <row r="9604" spans="1:2">
      <c r="A9604" s="951"/>
      <c r="B9604" s="951"/>
    </row>
    <row r="9605" spans="1:2">
      <c r="A9605" s="951"/>
      <c r="B9605" s="951"/>
    </row>
    <row r="9606" spans="1:2">
      <c r="A9606" s="951"/>
      <c r="B9606" s="951"/>
    </row>
    <row r="9607" spans="1:2">
      <c r="A9607" s="951"/>
      <c r="B9607" s="951"/>
    </row>
    <row r="9608" spans="1:2">
      <c r="A9608" s="951"/>
      <c r="B9608" s="951"/>
    </row>
    <row r="9609" spans="1:2">
      <c r="A9609" s="951"/>
      <c r="B9609" s="951"/>
    </row>
    <row r="9610" spans="1:2">
      <c r="A9610" s="951"/>
      <c r="B9610" s="951"/>
    </row>
    <row r="9611" spans="1:2">
      <c r="A9611" s="951"/>
      <c r="B9611" s="951"/>
    </row>
    <row r="9612" spans="1:2">
      <c r="A9612" s="951"/>
      <c r="B9612" s="951"/>
    </row>
    <row r="9613" spans="1:2">
      <c r="A9613" s="951"/>
      <c r="B9613" s="951"/>
    </row>
    <row r="9614" spans="1:2">
      <c r="A9614" s="951"/>
      <c r="B9614" s="951"/>
    </row>
    <row r="9615" spans="1:2">
      <c r="A9615" s="951"/>
      <c r="B9615" s="951"/>
    </row>
    <row r="9616" spans="1:2">
      <c r="A9616" s="951"/>
      <c r="B9616" s="951"/>
    </row>
    <row r="9617" spans="1:2">
      <c r="A9617" s="951"/>
      <c r="B9617" s="951"/>
    </row>
    <row r="9618" spans="1:2">
      <c r="A9618" s="951"/>
      <c r="B9618" s="951"/>
    </row>
    <row r="9619" spans="1:2">
      <c r="A9619" s="951"/>
      <c r="B9619" s="951"/>
    </row>
    <row r="9620" spans="1:2">
      <c r="A9620" s="951"/>
      <c r="B9620" s="951"/>
    </row>
    <row r="9621" spans="1:2">
      <c r="A9621" s="951"/>
      <c r="B9621" s="951"/>
    </row>
    <row r="9622" spans="1:2">
      <c r="A9622" s="951"/>
      <c r="B9622" s="951"/>
    </row>
    <row r="9623" spans="1:2">
      <c r="A9623" s="951"/>
      <c r="B9623" s="951"/>
    </row>
    <row r="9624" spans="1:2">
      <c r="A9624" s="951"/>
      <c r="B9624" s="951"/>
    </row>
    <row r="9625" spans="1:2">
      <c r="A9625" s="951"/>
      <c r="B9625" s="951"/>
    </row>
    <row r="9626" spans="1:2">
      <c r="A9626" s="951"/>
      <c r="B9626" s="951"/>
    </row>
    <row r="9627" spans="1:2">
      <c r="A9627" s="951"/>
      <c r="B9627" s="951"/>
    </row>
    <row r="9628" spans="1:2">
      <c r="A9628" s="951"/>
      <c r="B9628" s="951"/>
    </row>
    <row r="9629" spans="1:2">
      <c r="A9629" s="951"/>
      <c r="B9629" s="951"/>
    </row>
    <row r="9630" spans="1:2">
      <c r="A9630" s="951"/>
      <c r="B9630" s="951"/>
    </row>
    <row r="9631" spans="1:2">
      <c r="A9631" s="951"/>
      <c r="B9631" s="951"/>
    </row>
    <row r="9632" spans="1:2">
      <c r="A9632" s="951"/>
      <c r="B9632" s="951"/>
    </row>
    <row r="9633" spans="1:2">
      <c r="A9633" s="951"/>
      <c r="B9633" s="951"/>
    </row>
    <row r="9634" spans="1:2">
      <c r="A9634" s="951"/>
      <c r="B9634" s="951"/>
    </row>
    <row r="9635" spans="1:2">
      <c r="A9635" s="951"/>
      <c r="B9635" s="951"/>
    </row>
    <row r="9636" spans="1:2">
      <c r="A9636" s="951"/>
      <c r="B9636" s="951"/>
    </row>
    <row r="9637" spans="1:2">
      <c r="A9637" s="951"/>
      <c r="B9637" s="951"/>
    </row>
    <row r="9638" spans="1:2">
      <c r="A9638" s="951"/>
      <c r="B9638" s="951"/>
    </row>
    <row r="9639" spans="1:2">
      <c r="A9639" s="951"/>
      <c r="B9639" s="951"/>
    </row>
    <row r="9640" spans="1:2">
      <c r="A9640" s="951"/>
      <c r="B9640" s="951"/>
    </row>
    <row r="9641" spans="1:2">
      <c r="A9641" s="951"/>
      <c r="B9641" s="951"/>
    </row>
    <row r="9642" spans="1:2">
      <c r="A9642" s="951"/>
      <c r="B9642" s="951"/>
    </row>
    <row r="9643" spans="1:2">
      <c r="A9643" s="951"/>
      <c r="B9643" s="951"/>
    </row>
    <row r="9644" spans="1:2">
      <c r="A9644" s="951"/>
      <c r="B9644" s="951"/>
    </row>
    <row r="9645" spans="1:2">
      <c r="A9645" s="951"/>
      <c r="B9645" s="951"/>
    </row>
    <row r="9646" spans="1:2">
      <c r="A9646" s="951"/>
      <c r="B9646" s="951"/>
    </row>
    <row r="9647" spans="1:2">
      <c r="A9647" s="951"/>
      <c r="B9647" s="951"/>
    </row>
    <row r="9648" spans="1:2">
      <c r="A9648" s="951"/>
      <c r="B9648" s="951"/>
    </row>
    <row r="9649" spans="1:2">
      <c r="A9649" s="951"/>
      <c r="B9649" s="951"/>
    </row>
    <row r="9650" spans="1:2">
      <c r="A9650" s="951"/>
      <c r="B9650" s="951"/>
    </row>
    <row r="9651" spans="1:2">
      <c r="A9651" s="951"/>
      <c r="B9651" s="951"/>
    </row>
    <row r="9652" spans="1:2">
      <c r="A9652" s="951"/>
      <c r="B9652" s="951"/>
    </row>
    <row r="9653" spans="1:2">
      <c r="A9653" s="951"/>
      <c r="B9653" s="951"/>
    </row>
    <row r="9654" spans="1:2">
      <c r="A9654" s="951"/>
      <c r="B9654" s="951"/>
    </row>
    <row r="9655" spans="1:2">
      <c r="A9655" s="951"/>
      <c r="B9655" s="951"/>
    </row>
    <row r="9656" spans="1:2">
      <c r="A9656" s="951"/>
      <c r="B9656" s="951"/>
    </row>
    <row r="9657" spans="1:2">
      <c r="A9657" s="951"/>
      <c r="B9657" s="951"/>
    </row>
    <row r="9658" spans="1:2">
      <c r="A9658" s="951"/>
      <c r="B9658" s="951"/>
    </row>
    <row r="9659" spans="1:2">
      <c r="A9659" s="951"/>
      <c r="B9659" s="951"/>
    </row>
    <row r="9660" spans="1:2">
      <c r="A9660" s="951"/>
      <c r="B9660" s="951"/>
    </row>
    <row r="9661" spans="1:2">
      <c r="A9661" s="951"/>
      <c r="B9661" s="951"/>
    </row>
    <row r="9662" spans="1:2">
      <c r="A9662" s="951"/>
      <c r="B9662" s="951"/>
    </row>
    <row r="9663" spans="1:2">
      <c r="A9663" s="951"/>
      <c r="B9663" s="951"/>
    </row>
    <row r="9664" spans="1:2">
      <c r="A9664" s="951"/>
      <c r="B9664" s="951"/>
    </row>
    <row r="9665" spans="1:2">
      <c r="A9665" s="951"/>
      <c r="B9665" s="951"/>
    </row>
    <row r="9666" spans="1:2">
      <c r="A9666" s="951"/>
      <c r="B9666" s="951"/>
    </row>
    <row r="9667" spans="1:2">
      <c r="A9667" s="951"/>
      <c r="B9667" s="951"/>
    </row>
    <row r="9668" spans="1:2">
      <c r="A9668" s="951"/>
      <c r="B9668" s="951"/>
    </row>
    <row r="9669" spans="1:2">
      <c r="A9669" s="951"/>
      <c r="B9669" s="951"/>
    </row>
    <row r="9670" spans="1:2">
      <c r="A9670" s="951"/>
      <c r="B9670" s="951"/>
    </row>
    <row r="9671" spans="1:2">
      <c r="A9671" s="951"/>
      <c r="B9671" s="951"/>
    </row>
    <row r="9672" spans="1:2">
      <c r="A9672" s="951"/>
      <c r="B9672" s="951"/>
    </row>
    <row r="9673" spans="1:2">
      <c r="A9673" s="951"/>
      <c r="B9673" s="951"/>
    </row>
    <row r="9674" spans="1:2">
      <c r="A9674" s="951"/>
      <c r="B9674" s="951"/>
    </row>
    <row r="9675" spans="1:2">
      <c r="A9675" s="951"/>
      <c r="B9675" s="951"/>
    </row>
    <row r="9676" spans="1:2">
      <c r="A9676" s="951"/>
      <c r="B9676" s="951"/>
    </row>
    <row r="9677" spans="1:2">
      <c r="A9677" s="951"/>
      <c r="B9677" s="951"/>
    </row>
    <row r="9678" spans="1:2">
      <c r="A9678" s="951"/>
      <c r="B9678" s="951"/>
    </row>
    <row r="9679" spans="1:2">
      <c r="A9679" s="951"/>
      <c r="B9679" s="951"/>
    </row>
    <row r="9680" spans="1:2">
      <c r="A9680" s="951"/>
      <c r="B9680" s="951"/>
    </row>
    <row r="9681" spans="1:2">
      <c r="A9681" s="951"/>
      <c r="B9681" s="951"/>
    </row>
    <row r="9682" spans="1:2">
      <c r="A9682" s="951"/>
      <c r="B9682" s="951"/>
    </row>
    <row r="9683" spans="1:2">
      <c r="A9683" s="951"/>
      <c r="B9683" s="951"/>
    </row>
    <row r="9684" spans="1:2">
      <c r="A9684" s="951"/>
      <c r="B9684" s="951"/>
    </row>
    <row r="9685" spans="1:2">
      <c r="A9685" s="951"/>
      <c r="B9685" s="951"/>
    </row>
    <row r="9686" spans="1:2">
      <c r="A9686" s="951"/>
      <c r="B9686" s="951"/>
    </row>
    <row r="9687" spans="1:2">
      <c r="A9687" s="951"/>
      <c r="B9687" s="951"/>
    </row>
    <row r="9688" spans="1:2">
      <c r="A9688" s="951"/>
      <c r="B9688" s="951"/>
    </row>
    <row r="9689" spans="1:2">
      <c r="A9689" s="951"/>
      <c r="B9689" s="951"/>
    </row>
    <row r="9690" spans="1:2">
      <c r="A9690" s="951"/>
      <c r="B9690" s="951"/>
    </row>
    <row r="9691" spans="1:2">
      <c r="A9691" s="951"/>
      <c r="B9691" s="951"/>
    </row>
    <row r="9692" spans="1:2">
      <c r="A9692" s="951"/>
      <c r="B9692" s="951"/>
    </row>
    <row r="9693" spans="1:2">
      <c r="A9693" s="951"/>
      <c r="B9693" s="951"/>
    </row>
    <row r="9694" spans="1:2">
      <c r="A9694" s="951"/>
      <c r="B9694" s="951"/>
    </row>
    <row r="9695" spans="1:2">
      <c r="A9695" s="951"/>
      <c r="B9695" s="951"/>
    </row>
    <row r="9696" spans="1:2">
      <c r="A9696" s="951"/>
      <c r="B9696" s="951"/>
    </row>
    <row r="9697" spans="1:2">
      <c r="A9697" s="951"/>
      <c r="B9697" s="951"/>
    </row>
    <row r="9698" spans="1:2">
      <c r="A9698" s="951"/>
      <c r="B9698" s="951"/>
    </row>
    <row r="9699" spans="1:2">
      <c r="A9699" s="951"/>
      <c r="B9699" s="951"/>
    </row>
    <row r="9700" spans="1:2">
      <c r="A9700" s="951"/>
      <c r="B9700" s="951"/>
    </row>
    <row r="9701" spans="1:2">
      <c r="A9701" s="951"/>
      <c r="B9701" s="951"/>
    </row>
    <row r="9702" spans="1:2">
      <c r="A9702" s="951"/>
      <c r="B9702" s="951"/>
    </row>
    <row r="9703" spans="1:2">
      <c r="A9703" s="951"/>
      <c r="B9703" s="951"/>
    </row>
    <row r="9704" spans="1:2">
      <c r="A9704" s="951"/>
      <c r="B9704" s="951"/>
    </row>
    <row r="9705" spans="1:2">
      <c r="A9705" s="951"/>
      <c r="B9705" s="951"/>
    </row>
    <row r="9706" spans="1:2">
      <c r="A9706" s="951"/>
      <c r="B9706" s="951"/>
    </row>
    <row r="9707" spans="1:2">
      <c r="A9707" s="951"/>
      <c r="B9707" s="951"/>
    </row>
    <row r="9708" spans="1:2">
      <c r="A9708" s="951"/>
      <c r="B9708" s="951"/>
    </row>
    <row r="9709" spans="1:2">
      <c r="A9709" s="951"/>
      <c r="B9709" s="951"/>
    </row>
    <row r="9710" spans="1:2">
      <c r="A9710" s="951"/>
      <c r="B9710" s="951"/>
    </row>
    <row r="9711" spans="1:2">
      <c r="A9711" s="951"/>
      <c r="B9711" s="951"/>
    </row>
    <row r="9712" spans="1:2">
      <c r="A9712" s="951"/>
      <c r="B9712" s="951"/>
    </row>
    <row r="9713" spans="1:2">
      <c r="A9713" s="951"/>
      <c r="B9713" s="951"/>
    </row>
    <row r="9714" spans="1:2">
      <c r="A9714" s="951"/>
      <c r="B9714" s="951"/>
    </row>
    <row r="9715" spans="1:2">
      <c r="A9715" s="951"/>
      <c r="B9715" s="951"/>
    </row>
    <row r="9716" spans="1:2">
      <c r="A9716" s="951"/>
      <c r="B9716" s="951"/>
    </row>
    <row r="9717" spans="1:2">
      <c r="A9717" s="951"/>
      <c r="B9717" s="951"/>
    </row>
    <row r="9718" spans="1:2">
      <c r="A9718" s="951"/>
      <c r="B9718" s="951"/>
    </row>
    <row r="9719" spans="1:2">
      <c r="A9719" s="951"/>
      <c r="B9719" s="951"/>
    </row>
    <row r="9720" spans="1:2">
      <c r="A9720" s="951"/>
      <c r="B9720" s="951"/>
    </row>
    <row r="9721" spans="1:2">
      <c r="A9721" s="951"/>
      <c r="B9721" s="951"/>
    </row>
    <row r="9722" spans="1:2">
      <c r="A9722" s="951"/>
      <c r="B9722" s="951"/>
    </row>
    <row r="9723" spans="1:2">
      <c r="A9723" s="951"/>
      <c r="B9723" s="951"/>
    </row>
    <row r="9724" spans="1:2">
      <c r="A9724" s="951"/>
      <c r="B9724" s="951"/>
    </row>
    <row r="9725" spans="1:2">
      <c r="A9725" s="951"/>
      <c r="B9725" s="951"/>
    </row>
    <row r="9726" spans="1:2">
      <c r="A9726" s="951"/>
      <c r="B9726" s="951"/>
    </row>
    <row r="9727" spans="1:2">
      <c r="A9727" s="951"/>
      <c r="B9727" s="951"/>
    </row>
    <row r="9728" spans="1:2">
      <c r="A9728" s="951"/>
      <c r="B9728" s="951"/>
    </row>
    <row r="9729" spans="1:2">
      <c r="A9729" s="951"/>
      <c r="B9729" s="951"/>
    </row>
    <row r="9730" spans="1:2">
      <c r="A9730" s="951"/>
      <c r="B9730" s="951"/>
    </row>
    <row r="9731" spans="1:2">
      <c r="A9731" s="951"/>
      <c r="B9731" s="951"/>
    </row>
    <row r="9732" spans="1:2">
      <c r="A9732" s="951"/>
      <c r="B9732" s="951"/>
    </row>
    <row r="9733" spans="1:2">
      <c r="A9733" s="951"/>
      <c r="B9733" s="951"/>
    </row>
    <row r="9734" spans="1:2">
      <c r="A9734" s="951"/>
      <c r="B9734" s="951"/>
    </row>
    <row r="9735" spans="1:2">
      <c r="A9735" s="951"/>
      <c r="B9735" s="951"/>
    </row>
    <row r="9736" spans="1:2">
      <c r="A9736" s="951"/>
      <c r="B9736" s="951"/>
    </row>
    <row r="9737" spans="1:2">
      <c r="A9737" s="951"/>
      <c r="B9737" s="951"/>
    </row>
    <row r="9738" spans="1:2">
      <c r="A9738" s="951"/>
      <c r="B9738" s="951"/>
    </row>
    <row r="9739" spans="1:2">
      <c r="A9739" s="951"/>
      <c r="B9739" s="951"/>
    </row>
    <row r="9740" spans="1:2">
      <c r="A9740" s="951"/>
      <c r="B9740" s="951"/>
    </row>
    <row r="9741" spans="1:2">
      <c r="A9741" s="951"/>
      <c r="B9741" s="951"/>
    </row>
    <row r="9742" spans="1:2">
      <c r="A9742" s="951"/>
      <c r="B9742" s="951"/>
    </row>
    <row r="9743" spans="1:2">
      <c r="A9743" s="951"/>
      <c r="B9743" s="951"/>
    </row>
    <row r="9744" spans="1:2">
      <c r="A9744" s="951"/>
      <c r="B9744" s="951"/>
    </row>
    <row r="9745" spans="1:2">
      <c r="A9745" s="951"/>
      <c r="B9745" s="951"/>
    </row>
    <row r="9746" spans="1:2">
      <c r="A9746" s="951"/>
      <c r="B9746" s="951"/>
    </row>
    <row r="9747" spans="1:2">
      <c r="A9747" s="951"/>
      <c r="B9747" s="951"/>
    </row>
    <row r="9748" spans="1:2">
      <c r="A9748" s="951"/>
      <c r="B9748" s="951"/>
    </row>
    <row r="9749" spans="1:2">
      <c r="A9749" s="951"/>
      <c r="B9749" s="951"/>
    </row>
    <row r="9750" spans="1:2">
      <c r="A9750" s="951"/>
      <c r="B9750" s="951"/>
    </row>
    <row r="9751" spans="1:2">
      <c r="A9751" s="951"/>
      <c r="B9751" s="951"/>
    </row>
    <row r="9752" spans="1:2">
      <c r="A9752" s="951"/>
      <c r="B9752" s="951"/>
    </row>
    <row r="9753" spans="1:2">
      <c r="A9753" s="951"/>
      <c r="B9753" s="951"/>
    </row>
    <row r="9754" spans="1:2">
      <c r="A9754" s="951"/>
      <c r="B9754" s="951"/>
    </row>
    <row r="9755" spans="1:2">
      <c r="A9755" s="951"/>
      <c r="B9755" s="951"/>
    </row>
    <row r="9756" spans="1:2">
      <c r="A9756" s="951"/>
      <c r="B9756" s="951"/>
    </row>
    <row r="9757" spans="1:2">
      <c r="A9757" s="951"/>
      <c r="B9757" s="951"/>
    </row>
    <row r="9758" spans="1:2">
      <c r="A9758" s="951"/>
      <c r="B9758" s="951"/>
    </row>
    <row r="9759" spans="1:2">
      <c r="A9759" s="951"/>
      <c r="B9759" s="951"/>
    </row>
    <row r="9760" spans="1:2">
      <c r="A9760" s="951"/>
      <c r="B9760" s="951"/>
    </row>
    <row r="9761" spans="1:2">
      <c r="A9761" s="951"/>
      <c r="B9761" s="951"/>
    </row>
    <row r="9762" spans="1:2">
      <c r="A9762" s="951"/>
      <c r="B9762" s="951"/>
    </row>
    <row r="9763" spans="1:2">
      <c r="A9763" s="951"/>
      <c r="B9763" s="951"/>
    </row>
    <row r="9764" spans="1:2">
      <c r="A9764" s="951"/>
      <c r="B9764" s="951"/>
    </row>
    <row r="9765" spans="1:2">
      <c r="A9765" s="951"/>
      <c r="B9765" s="951"/>
    </row>
    <row r="9766" spans="1:2">
      <c r="A9766" s="951"/>
      <c r="B9766" s="951"/>
    </row>
    <row r="9767" spans="1:2">
      <c r="A9767" s="951"/>
      <c r="B9767" s="951"/>
    </row>
    <row r="9768" spans="1:2">
      <c r="A9768" s="951"/>
      <c r="B9768" s="951"/>
    </row>
    <row r="9769" spans="1:2">
      <c r="A9769" s="951"/>
      <c r="B9769" s="951"/>
    </row>
    <row r="9770" spans="1:2">
      <c r="A9770" s="951"/>
      <c r="B9770" s="951"/>
    </row>
    <row r="9771" spans="1:2">
      <c r="A9771" s="951"/>
      <c r="B9771" s="951"/>
    </row>
    <row r="9772" spans="1:2">
      <c r="A9772" s="951"/>
      <c r="B9772" s="951"/>
    </row>
    <row r="9773" spans="1:2">
      <c r="A9773" s="951"/>
      <c r="B9773" s="951"/>
    </row>
    <row r="9774" spans="1:2">
      <c r="A9774" s="951"/>
      <c r="B9774" s="951"/>
    </row>
    <row r="9775" spans="1:2">
      <c r="A9775" s="951"/>
      <c r="B9775" s="951"/>
    </row>
    <row r="9776" spans="1:2">
      <c r="A9776" s="951"/>
      <c r="B9776" s="951"/>
    </row>
    <row r="9777" spans="1:2">
      <c r="A9777" s="951"/>
      <c r="B9777" s="951"/>
    </row>
    <row r="9778" spans="1:2">
      <c r="A9778" s="951"/>
      <c r="B9778" s="951"/>
    </row>
    <row r="9779" spans="1:2">
      <c r="A9779" s="951"/>
      <c r="B9779" s="951"/>
    </row>
    <row r="9780" spans="1:2">
      <c r="A9780" s="951"/>
      <c r="B9780" s="951"/>
    </row>
    <row r="9781" spans="1:2">
      <c r="A9781" s="951"/>
      <c r="B9781" s="951"/>
    </row>
    <row r="9782" spans="1:2">
      <c r="A9782" s="951"/>
      <c r="B9782" s="951"/>
    </row>
    <row r="9783" spans="1:2">
      <c r="A9783" s="951"/>
      <c r="B9783" s="951"/>
    </row>
    <row r="9784" spans="1:2">
      <c r="A9784" s="951"/>
      <c r="B9784" s="951"/>
    </row>
    <row r="9785" spans="1:2">
      <c r="A9785" s="951"/>
      <c r="B9785" s="951"/>
    </row>
    <row r="9786" spans="1:2">
      <c r="A9786" s="951"/>
      <c r="B9786" s="951"/>
    </row>
    <row r="9787" spans="1:2">
      <c r="A9787" s="951"/>
      <c r="B9787" s="951"/>
    </row>
    <row r="9788" spans="1:2">
      <c r="A9788" s="951"/>
      <c r="B9788" s="951"/>
    </row>
    <row r="9789" spans="1:2">
      <c r="A9789" s="951"/>
      <c r="B9789" s="951"/>
    </row>
    <row r="9790" spans="1:2">
      <c r="A9790" s="951"/>
      <c r="B9790" s="951"/>
    </row>
    <row r="9791" spans="1:2">
      <c r="A9791" s="951"/>
      <c r="B9791" s="951"/>
    </row>
    <row r="9792" spans="1:2">
      <c r="A9792" s="951"/>
      <c r="B9792" s="951"/>
    </row>
    <row r="9793" spans="1:2">
      <c r="A9793" s="951"/>
      <c r="B9793" s="951"/>
    </row>
    <row r="9794" spans="1:2">
      <c r="A9794" s="951"/>
      <c r="B9794" s="951"/>
    </row>
    <row r="9795" spans="1:2">
      <c r="A9795" s="951"/>
      <c r="B9795" s="951"/>
    </row>
    <row r="9796" spans="1:2">
      <c r="A9796" s="951"/>
      <c r="B9796" s="951"/>
    </row>
    <row r="9797" spans="1:2">
      <c r="A9797" s="951"/>
      <c r="B9797" s="951"/>
    </row>
    <row r="9798" spans="1:2">
      <c r="A9798" s="951"/>
      <c r="B9798" s="951"/>
    </row>
    <row r="9799" spans="1:2">
      <c r="A9799" s="951"/>
      <c r="B9799" s="951"/>
    </row>
    <row r="9800" spans="1:2">
      <c r="A9800" s="951"/>
      <c r="B9800" s="951"/>
    </row>
    <row r="9801" spans="1:2">
      <c r="A9801" s="951"/>
      <c r="B9801" s="951"/>
    </row>
    <row r="9802" spans="1:2">
      <c r="A9802" s="951"/>
      <c r="B9802" s="951"/>
    </row>
    <row r="9803" spans="1:2">
      <c r="A9803" s="951"/>
      <c r="B9803" s="951"/>
    </row>
    <row r="9804" spans="1:2">
      <c r="A9804" s="951"/>
      <c r="B9804" s="951"/>
    </row>
    <row r="9805" spans="1:2">
      <c r="A9805" s="951"/>
      <c r="B9805" s="951"/>
    </row>
    <row r="9806" spans="1:2">
      <c r="A9806" s="951"/>
      <c r="B9806" s="951"/>
    </row>
    <row r="9807" spans="1:2">
      <c r="A9807" s="951"/>
      <c r="B9807" s="951"/>
    </row>
    <row r="9808" spans="1:2">
      <c r="A9808" s="951"/>
      <c r="B9808" s="951"/>
    </row>
    <row r="9809" spans="1:2">
      <c r="A9809" s="951"/>
      <c r="B9809" s="951"/>
    </row>
    <row r="9810" spans="1:2">
      <c r="A9810" s="951"/>
      <c r="B9810" s="951"/>
    </row>
    <row r="9811" spans="1:2">
      <c r="A9811" s="951"/>
      <c r="B9811" s="951"/>
    </row>
    <row r="9812" spans="1:2">
      <c r="A9812" s="951"/>
      <c r="B9812" s="951"/>
    </row>
    <row r="9813" spans="1:2">
      <c r="A9813" s="951"/>
      <c r="B9813" s="951"/>
    </row>
    <row r="9814" spans="1:2">
      <c r="A9814" s="951"/>
      <c r="B9814" s="951"/>
    </row>
    <row r="9815" spans="1:2">
      <c r="A9815" s="951"/>
      <c r="B9815" s="951"/>
    </row>
    <row r="9816" spans="1:2">
      <c r="A9816" s="951"/>
      <c r="B9816" s="951"/>
    </row>
    <row r="9817" spans="1:2">
      <c r="A9817" s="951"/>
      <c r="B9817" s="951"/>
    </row>
    <row r="9818" spans="1:2">
      <c r="A9818" s="951"/>
      <c r="B9818" s="951"/>
    </row>
    <row r="9819" spans="1:2">
      <c r="A9819" s="951"/>
      <c r="B9819" s="951"/>
    </row>
    <row r="9820" spans="1:2">
      <c r="A9820" s="951"/>
      <c r="B9820" s="951"/>
    </row>
    <row r="9821" spans="1:2">
      <c r="A9821" s="951"/>
      <c r="B9821" s="951"/>
    </row>
    <row r="9822" spans="1:2">
      <c r="A9822" s="951"/>
      <c r="B9822" s="951"/>
    </row>
    <row r="9823" spans="1:2">
      <c r="A9823" s="951"/>
      <c r="B9823" s="951"/>
    </row>
    <row r="9824" spans="1:2">
      <c r="A9824" s="951"/>
      <c r="B9824" s="951"/>
    </row>
    <row r="9825" spans="1:2">
      <c r="A9825" s="951"/>
      <c r="B9825" s="951"/>
    </row>
    <row r="9826" spans="1:2">
      <c r="A9826" s="951"/>
      <c r="B9826" s="951"/>
    </row>
    <row r="9827" spans="1:2">
      <c r="A9827" s="951"/>
      <c r="B9827" s="951"/>
    </row>
    <row r="9828" spans="1:2">
      <c r="A9828" s="951"/>
      <c r="B9828" s="951"/>
    </row>
    <row r="9829" spans="1:2">
      <c r="A9829" s="951"/>
      <c r="B9829" s="951"/>
    </row>
    <row r="9830" spans="1:2">
      <c r="A9830" s="951"/>
      <c r="B9830" s="951"/>
    </row>
    <row r="9831" spans="1:2">
      <c r="A9831" s="951"/>
      <c r="B9831" s="951"/>
    </row>
    <row r="9832" spans="1:2">
      <c r="A9832" s="951"/>
      <c r="B9832" s="951"/>
    </row>
    <row r="9833" spans="1:2">
      <c r="A9833" s="951"/>
      <c r="B9833" s="951"/>
    </row>
    <row r="9834" spans="1:2">
      <c r="A9834" s="951"/>
      <c r="B9834" s="951"/>
    </row>
    <row r="9835" spans="1:2">
      <c r="A9835" s="951"/>
      <c r="B9835" s="951"/>
    </row>
    <row r="9836" spans="1:2">
      <c r="A9836" s="951"/>
      <c r="B9836" s="951"/>
    </row>
    <row r="9837" spans="1:2">
      <c r="A9837" s="951"/>
      <c r="B9837" s="951"/>
    </row>
    <row r="9838" spans="1:2">
      <c r="A9838" s="951"/>
      <c r="B9838" s="951"/>
    </row>
    <row r="9839" spans="1:2">
      <c r="A9839" s="951"/>
      <c r="B9839" s="951"/>
    </row>
    <row r="9840" spans="1:2">
      <c r="A9840" s="951"/>
      <c r="B9840" s="951"/>
    </row>
    <row r="9841" spans="1:2">
      <c r="A9841" s="951"/>
      <c r="B9841" s="951"/>
    </row>
    <row r="9842" spans="1:2">
      <c r="A9842" s="951"/>
      <c r="B9842" s="951"/>
    </row>
    <row r="9843" spans="1:2">
      <c r="A9843" s="951"/>
      <c r="B9843" s="951"/>
    </row>
    <row r="9844" spans="1:2">
      <c r="A9844" s="951"/>
      <c r="B9844" s="951"/>
    </row>
    <row r="9845" spans="1:2">
      <c r="A9845" s="951"/>
      <c r="B9845" s="951"/>
    </row>
    <row r="9846" spans="1:2">
      <c r="A9846" s="951"/>
      <c r="B9846" s="951"/>
    </row>
    <row r="9847" spans="1:2">
      <c r="A9847" s="951"/>
      <c r="B9847" s="951"/>
    </row>
    <row r="9848" spans="1:2">
      <c r="A9848" s="951"/>
      <c r="B9848" s="951"/>
    </row>
    <row r="9849" spans="1:2">
      <c r="A9849" s="951"/>
      <c r="B9849" s="951"/>
    </row>
    <row r="9850" spans="1:2">
      <c r="A9850" s="951"/>
      <c r="B9850" s="951"/>
    </row>
    <row r="9851" spans="1:2">
      <c r="A9851" s="951"/>
      <c r="B9851" s="951"/>
    </row>
    <row r="9852" spans="1:2">
      <c r="A9852" s="951"/>
      <c r="B9852" s="951"/>
    </row>
    <row r="9853" spans="1:2">
      <c r="A9853" s="951"/>
      <c r="B9853" s="951"/>
    </row>
    <row r="9854" spans="1:2">
      <c r="A9854" s="951"/>
      <c r="B9854" s="951"/>
    </row>
    <row r="9855" spans="1:2">
      <c r="A9855" s="951"/>
      <c r="B9855" s="951"/>
    </row>
    <row r="9856" spans="1:2">
      <c r="A9856" s="951"/>
      <c r="B9856" s="951"/>
    </row>
    <row r="9857" spans="1:2">
      <c r="A9857" s="951"/>
      <c r="B9857" s="951"/>
    </row>
    <row r="9858" spans="1:2">
      <c r="A9858" s="951"/>
      <c r="B9858" s="951"/>
    </row>
    <row r="9859" spans="1:2">
      <c r="A9859" s="951"/>
      <c r="B9859" s="951"/>
    </row>
    <row r="9860" spans="1:2">
      <c r="A9860" s="951"/>
      <c r="B9860" s="951"/>
    </row>
    <row r="9861" spans="1:2">
      <c r="A9861" s="951"/>
      <c r="B9861" s="951"/>
    </row>
    <row r="9862" spans="1:2">
      <c r="A9862" s="951"/>
      <c r="B9862" s="951"/>
    </row>
    <row r="9863" spans="1:2">
      <c r="A9863" s="951"/>
      <c r="B9863" s="951"/>
    </row>
    <row r="9864" spans="1:2">
      <c r="A9864" s="951"/>
      <c r="B9864" s="951"/>
    </row>
    <row r="9865" spans="1:2">
      <c r="A9865" s="951"/>
      <c r="B9865" s="951"/>
    </row>
    <row r="9866" spans="1:2">
      <c r="A9866" s="951"/>
      <c r="B9866" s="951"/>
    </row>
    <row r="9867" spans="1:2">
      <c r="A9867" s="951"/>
      <c r="B9867" s="951"/>
    </row>
    <row r="9868" spans="1:2">
      <c r="A9868" s="951"/>
      <c r="B9868" s="951"/>
    </row>
    <row r="9869" spans="1:2">
      <c r="A9869" s="951"/>
      <c r="B9869" s="951"/>
    </row>
    <row r="9870" spans="1:2">
      <c r="A9870" s="951"/>
      <c r="B9870" s="951"/>
    </row>
    <row r="9871" spans="1:2">
      <c r="A9871" s="951"/>
      <c r="B9871" s="951"/>
    </row>
    <row r="9872" spans="1:2">
      <c r="A9872" s="951"/>
      <c r="B9872" s="951"/>
    </row>
    <row r="9873" spans="1:2">
      <c r="A9873" s="951"/>
      <c r="B9873" s="951"/>
    </row>
    <row r="9874" spans="1:2">
      <c r="A9874" s="951"/>
      <c r="B9874" s="951"/>
    </row>
    <row r="9875" spans="1:2">
      <c r="A9875" s="951"/>
      <c r="B9875" s="951"/>
    </row>
    <row r="9876" spans="1:2">
      <c r="A9876" s="951"/>
      <c r="B9876" s="951"/>
    </row>
    <row r="9877" spans="1:2">
      <c r="A9877" s="951"/>
      <c r="B9877" s="951"/>
    </row>
    <row r="9878" spans="1:2">
      <c r="A9878" s="951"/>
      <c r="B9878" s="951"/>
    </row>
    <row r="9879" spans="1:2">
      <c r="A9879" s="951"/>
      <c r="B9879" s="951"/>
    </row>
    <row r="9880" spans="1:2">
      <c r="A9880" s="951"/>
      <c r="B9880" s="951"/>
    </row>
    <row r="9881" spans="1:2">
      <c r="A9881" s="951"/>
      <c r="B9881" s="951"/>
    </row>
    <row r="9882" spans="1:2">
      <c r="A9882" s="951"/>
      <c r="B9882" s="951"/>
    </row>
    <row r="9883" spans="1:2">
      <c r="A9883" s="951"/>
      <c r="B9883" s="951"/>
    </row>
    <row r="9884" spans="1:2">
      <c r="A9884" s="951"/>
      <c r="B9884" s="951"/>
    </row>
    <row r="9885" spans="1:2">
      <c r="A9885" s="951"/>
      <c r="B9885" s="951"/>
    </row>
    <row r="9886" spans="1:2">
      <c r="A9886" s="951"/>
      <c r="B9886" s="951"/>
    </row>
    <row r="9887" spans="1:2">
      <c r="A9887" s="951"/>
      <c r="B9887" s="951"/>
    </row>
    <row r="9888" spans="1:2">
      <c r="A9888" s="951"/>
      <c r="B9888" s="951"/>
    </row>
    <row r="9889" spans="1:2">
      <c r="A9889" s="951"/>
      <c r="B9889" s="951"/>
    </row>
    <row r="9890" spans="1:2">
      <c r="A9890" s="951"/>
      <c r="B9890" s="951"/>
    </row>
    <row r="9891" spans="1:2">
      <c r="A9891" s="951"/>
      <c r="B9891" s="951"/>
    </row>
    <row r="9892" spans="1:2">
      <c r="A9892" s="951"/>
      <c r="B9892" s="951"/>
    </row>
    <row r="9893" spans="1:2">
      <c r="A9893" s="951"/>
      <c r="B9893" s="951"/>
    </row>
    <row r="9894" spans="1:2">
      <c r="A9894" s="951"/>
      <c r="B9894" s="951"/>
    </row>
    <row r="9895" spans="1:2">
      <c r="A9895" s="951"/>
      <c r="B9895" s="951"/>
    </row>
    <row r="9896" spans="1:2">
      <c r="A9896" s="951"/>
      <c r="B9896" s="951"/>
    </row>
    <row r="9897" spans="1:2">
      <c r="A9897" s="951"/>
      <c r="B9897" s="951"/>
    </row>
    <row r="9898" spans="1:2">
      <c r="A9898" s="951"/>
      <c r="B9898" s="951"/>
    </row>
    <row r="9899" spans="1:2">
      <c r="A9899" s="951"/>
      <c r="B9899" s="951"/>
    </row>
    <row r="9900" spans="1:2">
      <c r="A9900" s="951"/>
      <c r="B9900" s="951"/>
    </row>
    <row r="9901" spans="1:2">
      <c r="A9901" s="951"/>
      <c r="B9901" s="951"/>
    </row>
    <row r="9902" spans="1:2">
      <c r="A9902" s="951"/>
      <c r="B9902" s="951"/>
    </row>
    <row r="9903" spans="1:2">
      <c r="A9903" s="951"/>
      <c r="B9903" s="951"/>
    </row>
    <row r="9904" spans="1:2">
      <c r="A9904" s="951"/>
      <c r="B9904" s="951"/>
    </row>
    <row r="9905" spans="1:2">
      <c r="A9905" s="951"/>
      <c r="B9905" s="951"/>
    </row>
    <row r="9906" spans="1:2">
      <c r="A9906" s="951"/>
      <c r="B9906" s="951"/>
    </row>
    <row r="9907" spans="1:2">
      <c r="A9907" s="951"/>
      <c r="B9907" s="951"/>
    </row>
    <row r="9908" spans="1:2">
      <c r="A9908" s="951"/>
      <c r="B9908" s="951"/>
    </row>
    <row r="9909" spans="1:2">
      <c r="A9909" s="951"/>
      <c r="B9909" s="951"/>
    </row>
    <row r="9910" spans="1:2">
      <c r="A9910" s="951"/>
      <c r="B9910" s="951"/>
    </row>
    <row r="9911" spans="1:2">
      <c r="A9911" s="951"/>
      <c r="B9911" s="951"/>
    </row>
    <row r="9912" spans="1:2">
      <c r="A9912" s="951"/>
      <c r="B9912" s="951"/>
    </row>
    <row r="9913" spans="1:2">
      <c r="A9913" s="951"/>
      <c r="B9913" s="951"/>
    </row>
    <row r="9914" spans="1:2">
      <c r="A9914" s="951"/>
      <c r="B9914" s="951"/>
    </row>
    <row r="9915" spans="1:2">
      <c r="A9915" s="951"/>
      <c r="B9915" s="951"/>
    </row>
    <row r="9916" spans="1:2">
      <c r="A9916" s="951"/>
      <c r="B9916" s="951"/>
    </row>
    <row r="9917" spans="1:2">
      <c r="A9917" s="951"/>
      <c r="B9917" s="951"/>
    </row>
    <row r="9918" spans="1:2">
      <c r="A9918" s="951"/>
      <c r="B9918" s="951"/>
    </row>
    <row r="9919" spans="1:2">
      <c r="A9919" s="951"/>
      <c r="B9919" s="951"/>
    </row>
    <row r="9920" spans="1:2">
      <c r="A9920" s="951"/>
      <c r="B9920" s="951"/>
    </row>
    <row r="9921" spans="1:2">
      <c r="A9921" s="951"/>
      <c r="B9921" s="951"/>
    </row>
    <row r="9922" spans="1:2">
      <c r="A9922" s="951"/>
      <c r="B9922" s="951"/>
    </row>
    <row r="9923" spans="1:2">
      <c r="A9923" s="951"/>
      <c r="B9923" s="951"/>
    </row>
    <row r="9924" spans="1:2">
      <c r="A9924" s="951"/>
      <c r="B9924" s="951"/>
    </row>
    <row r="9925" spans="1:2">
      <c r="A9925" s="951"/>
      <c r="B9925" s="951"/>
    </row>
    <row r="9926" spans="1:2">
      <c r="A9926" s="951"/>
      <c r="B9926" s="951"/>
    </row>
    <row r="9927" spans="1:2">
      <c r="A9927" s="951"/>
      <c r="B9927" s="951"/>
    </row>
    <row r="9928" spans="1:2">
      <c r="A9928" s="951"/>
      <c r="B9928" s="951"/>
    </row>
    <row r="9929" spans="1:2">
      <c r="A9929" s="951"/>
      <c r="B9929" s="951"/>
    </row>
    <row r="9930" spans="1:2">
      <c r="A9930" s="951"/>
      <c r="B9930" s="951"/>
    </row>
    <row r="9931" spans="1:2">
      <c r="A9931" s="951"/>
      <c r="B9931" s="951"/>
    </row>
    <row r="9932" spans="1:2">
      <c r="A9932" s="951"/>
      <c r="B9932" s="951"/>
    </row>
    <row r="9933" spans="1:2">
      <c r="A9933" s="951"/>
      <c r="B9933" s="951"/>
    </row>
    <row r="9934" spans="1:2">
      <c r="A9934" s="951"/>
      <c r="B9934" s="951"/>
    </row>
    <row r="9935" spans="1:2">
      <c r="A9935" s="951"/>
      <c r="B9935" s="951"/>
    </row>
    <row r="9936" spans="1:2">
      <c r="A9936" s="951"/>
      <c r="B9936" s="951"/>
    </row>
    <row r="9937" spans="1:2">
      <c r="A9937" s="951"/>
      <c r="B9937" s="951"/>
    </row>
    <row r="9938" spans="1:2">
      <c r="A9938" s="951"/>
      <c r="B9938" s="951"/>
    </row>
    <row r="9939" spans="1:2">
      <c r="A9939" s="951"/>
      <c r="B9939" s="951"/>
    </row>
    <row r="9940" spans="1:2">
      <c r="A9940" s="951"/>
      <c r="B9940" s="951"/>
    </row>
    <row r="9941" spans="1:2">
      <c r="A9941" s="951"/>
      <c r="B9941" s="951"/>
    </row>
    <row r="9942" spans="1:2">
      <c r="A9942" s="951"/>
      <c r="B9942" s="951"/>
    </row>
    <row r="9943" spans="1:2">
      <c r="A9943" s="951"/>
      <c r="B9943" s="951"/>
    </row>
    <row r="9944" spans="1:2">
      <c r="A9944" s="951"/>
      <c r="B9944" s="951"/>
    </row>
    <row r="9945" spans="1:2">
      <c r="A9945" s="951"/>
      <c r="B9945" s="951"/>
    </row>
    <row r="9946" spans="1:2">
      <c r="A9946" s="951"/>
      <c r="B9946" s="951"/>
    </row>
    <row r="9947" spans="1:2">
      <c r="A9947" s="951"/>
      <c r="B9947" s="951"/>
    </row>
    <row r="9948" spans="1:2">
      <c r="A9948" s="951"/>
      <c r="B9948" s="951"/>
    </row>
    <row r="9949" spans="1:2">
      <c r="A9949" s="951"/>
      <c r="B9949" s="951"/>
    </row>
    <row r="9950" spans="1:2">
      <c r="A9950" s="951"/>
      <c r="B9950" s="951"/>
    </row>
    <row r="9951" spans="1:2">
      <c r="A9951" s="951"/>
      <c r="B9951" s="951"/>
    </row>
    <row r="9952" spans="1:2">
      <c r="A9952" s="951"/>
      <c r="B9952" s="951"/>
    </row>
    <row r="9953" spans="1:2">
      <c r="A9953" s="951"/>
      <c r="B9953" s="951"/>
    </row>
    <row r="9954" spans="1:2">
      <c r="A9954" s="951"/>
      <c r="B9954" s="951"/>
    </row>
    <row r="9955" spans="1:2">
      <c r="A9955" s="951"/>
      <c r="B9955" s="951"/>
    </row>
    <row r="9956" spans="1:2">
      <c r="A9956" s="951"/>
      <c r="B9956" s="951"/>
    </row>
    <row r="9957" spans="1:2">
      <c r="A9957" s="951"/>
      <c r="B9957" s="951"/>
    </row>
    <row r="9958" spans="1:2">
      <c r="A9958" s="951"/>
      <c r="B9958" s="951"/>
    </row>
    <row r="9959" spans="1:2">
      <c r="A9959" s="951"/>
      <c r="B9959" s="951"/>
    </row>
    <row r="9960" spans="1:2">
      <c r="A9960" s="951"/>
      <c r="B9960" s="951"/>
    </row>
    <row r="9961" spans="1:2">
      <c r="A9961" s="951"/>
      <c r="B9961" s="951"/>
    </row>
    <row r="9962" spans="1:2">
      <c r="A9962" s="951"/>
      <c r="B9962" s="951"/>
    </row>
    <row r="9963" spans="1:2">
      <c r="A9963" s="951"/>
      <c r="B9963" s="951"/>
    </row>
    <row r="9964" spans="1:2">
      <c r="A9964" s="951"/>
      <c r="B9964" s="951"/>
    </row>
    <row r="9965" spans="1:2">
      <c r="A9965" s="951"/>
      <c r="B9965" s="951"/>
    </row>
    <row r="9966" spans="1:2">
      <c r="A9966" s="951"/>
      <c r="B9966" s="951"/>
    </row>
    <row r="9967" spans="1:2">
      <c r="A9967" s="951"/>
      <c r="B9967" s="951"/>
    </row>
    <row r="9968" spans="1:2">
      <c r="A9968" s="951"/>
      <c r="B9968" s="951"/>
    </row>
    <row r="9969" spans="1:2">
      <c r="A9969" s="951"/>
      <c r="B9969" s="951"/>
    </row>
    <row r="9970" spans="1:2">
      <c r="A9970" s="951"/>
      <c r="B9970" s="951"/>
    </row>
    <row r="9971" spans="1:2">
      <c r="A9971" s="951"/>
      <c r="B9971" s="951"/>
    </row>
    <row r="9972" spans="1:2">
      <c r="A9972" s="951"/>
      <c r="B9972" s="951"/>
    </row>
    <row r="9973" spans="1:2">
      <c r="A9973" s="951"/>
      <c r="B9973" s="951"/>
    </row>
    <row r="9974" spans="1:2">
      <c r="A9974" s="951"/>
      <c r="B9974" s="951"/>
    </row>
    <row r="9975" spans="1:2">
      <c r="A9975" s="951"/>
      <c r="B9975" s="951"/>
    </row>
    <row r="9976" spans="1:2">
      <c r="A9976" s="951"/>
      <c r="B9976" s="951"/>
    </row>
    <row r="9977" spans="1:2">
      <c r="A9977" s="951"/>
      <c r="B9977" s="951"/>
    </row>
    <row r="9978" spans="1:2">
      <c r="A9978" s="951"/>
      <c r="B9978" s="951"/>
    </row>
    <row r="9979" spans="1:2">
      <c r="A9979" s="951"/>
      <c r="B9979" s="951"/>
    </row>
    <row r="9980" spans="1:2">
      <c r="A9980" s="951"/>
      <c r="B9980" s="951"/>
    </row>
    <row r="9981" spans="1:2">
      <c r="A9981" s="951"/>
      <c r="B9981" s="951"/>
    </row>
    <row r="9982" spans="1:2">
      <c r="A9982" s="951"/>
      <c r="B9982" s="951"/>
    </row>
    <row r="9983" spans="1:2">
      <c r="A9983" s="951"/>
      <c r="B9983" s="951"/>
    </row>
    <row r="9984" spans="1:2">
      <c r="A9984" s="951"/>
      <c r="B9984" s="951"/>
    </row>
    <row r="9985" spans="1:2">
      <c r="A9985" s="951"/>
      <c r="B9985" s="951"/>
    </row>
    <row r="9986" spans="1:2">
      <c r="A9986" s="951"/>
      <c r="B9986" s="951"/>
    </row>
    <row r="9987" spans="1:2">
      <c r="A9987" s="951"/>
      <c r="B9987" s="951"/>
    </row>
    <row r="9988" spans="1:2">
      <c r="A9988" s="951"/>
      <c r="B9988" s="951"/>
    </row>
    <row r="9989" spans="1:2">
      <c r="A9989" s="951"/>
      <c r="B9989" s="951"/>
    </row>
    <row r="9990" spans="1:2">
      <c r="A9990" s="951"/>
      <c r="B9990" s="951"/>
    </row>
    <row r="9991" spans="1:2">
      <c r="A9991" s="951"/>
      <c r="B9991" s="951"/>
    </row>
    <row r="9992" spans="1:2">
      <c r="A9992" s="951"/>
      <c r="B9992" s="951"/>
    </row>
    <row r="9993" spans="1:2">
      <c r="A9993" s="951"/>
      <c r="B9993" s="951"/>
    </row>
    <row r="9994" spans="1:2">
      <c r="A9994" s="951"/>
      <c r="B9994" s="951"/>
    </row>
    <row r="9995" spans="1:2">
      <c r="A9995" s="951"/>
      <c r="B9995" s="951"/>
    </row>
    <row r="9996" spans="1:2">
      <c r="A9996" s="951"/>
      <c r="B9996" s="951"/>
    </row>
    <row r="9997" spans="1:2">
      <c r="A9997" s="951"/>
      <c r="B9997" s="951"/>
    </row>
    <row r="9998" spans="1:2">
      <c r="A9998" s="951"/>
      <c r="B9998" s="951"/>
    </row>
    <row r="9999" spans="1:2">
      <c r="A9999" s="951"/>
      <c r="B9999" s="951"/>
    </row>
    <row r="10000" spans="1:2">
      <c r="A10000" s="951"/>
      <c r="B10000" s="951"/>
    </row>
  </sheetData>
  <mergeCells count="3">
    <mergeCell ref="A1:B1"/>
    <mergeCell ref="A2:B2"/>
    <mergeCell ref="A3:B3"/>
  </mergeCells>
  <pageMargins left="0.70866141732283472" right="0.39370078740157483" top="0.31496062992125984" bottom="0.51181102362204722" header="0.31496062992125984" footer="0.19685039370078741"/>
  <pageSetup paperSize="9" orientation="portrait" r:id="rId1"/>
  <headerFooter>
    <oddFooter>&amp;C&amp;F</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dimension ref="A1:U721"/>
  <sheetViews>
    <sheetView showGridLines="0" zoomScaleNormal="100" workbookViewId="0">
      <pane xSplit="4" ySplit="6" topLeftCell="E10" activePane="bottomRight" state="frozen"/>
      <selection pane="topRight" activeCell="E1" sqref="E1"/>
      <selection pane="bottomLeft" activeCell="A7" sqref="A7"/>
      <selection pane="bottomRight" activeCell="A15" sqref="A15:B15"/>
    </sheetView>
  </sheetViews>
  <sheetFormatPr defaultRowHeight="16.5"/>
  <cols>
    <col min="1" max="1" width="39.33203125" customWidth="1"/>
    <col min="2" max="2" width="35.77734375" customWidth="1"/>
    <col min="3" max="3" width="1.6640625" customWidth="1"/>
    <col min="4" max="4" width="5.33203125" customWidth="1"/>
    <col min="5" max="5" width="6.21875" customWidth="1"/>
    <col min="6" max="6" width="6.77734375" bestFit="1" customWidth="1"/>
    <col min="7" max="7" width="2.33203125" bestFit="1" customWidth="1"/>
    <col min="8" max="8" width="3.109375" bestFit="1" customWidth="1"/>
    <col min="9" max="10" width="1.5546875" bestFit="1" customWidth="1"/>
    <col min="11" max="12" width="2.33203125" bestFit="1" customWidth="1"/>
    <col min="13" max="14" width="3.109375" bestFit="1" customWidth="1"/>
    <col min="15" max="15" width="71.77734375" customWidth="1"/>
  </cols>
  <sheetData>
    <row r="1" spans="1:21" ht="20.25">
      <c r="A1" s="1972" t="s">
        <v>1049</v>
      </c>
      <c r="B1" s="1972"/>
      <c r="C1" s="145"/>
      <c r="D1" s="148"/>
      <c r="E1" s="927">
        <f>D6+F1</f>
        <v>43965</v>
      </c>
      <c r="F1" s="927">
        <f>MIN(GhiNhatky!A6:A15000)</f>
        <v>43954</v>
      </c>
      <c r="G1" s="928">
        <f>ROW(A15)</f>
        <v>15</v>
      </c>
      <c r="H1" s="928">
        <f>ROW(A706)</f>
        <v>706</v>
      </c>
      <c r="I1" s="928">
        <f>ROW(B6)</f>
        <v>6</v>
      </c>
      <c r="J1" s="928">
        <f>ROW(A8)</f>
        <v>8</v>
      </c>
      <c r="K1" s="928">
        <f>ROW(A12)</f>
        <v>12</v>
      </c>
      <c r="L1" s="928">
        <f>ROW(A14)</f>
        <v>14</v>
      </c>
      <c r="M1" s="928">
        <f>ROW(A711)</f>
        <v>711</v>
      </c>
      <c r="N1" s="928">
        <f>ROW(B720)</f>
        <v>720</v>
      </c>
      <c r="O1" s="929"/>
    </row>
    <row r="2" spans="1:21" hidden="1">
      <c r="A2" s="1973" t="str">
        <f>Tieude1&amp;": "&amp;NDtieude1</f>
        <v>Công trình: Gia cố nâng cấp kênh Bà Xoài từ K0+300÷K0+600 - Hệ thống thủy lợi Nha Trinh, huyện Ninh Hải, tỉnh Ninh Thuận</v>
      </c>
      <c r="B2" s="1973"/>
      <c r="C2" s="146">
        <f>IF(NDtieude1&lt;&gt;"",ROW(),"")</f>
        <v>2</v>
      </c>
      <c r="D2" s="149"/>
      <c r="E2" s="922"/>
      <c r="F2" s="927">
        <f>MAX(GhiNhatky!A6:A15000)</f>
        <v>43989</v>
      </c>
      <c r="G2" s="930"/>
      <c r="H2" s="930"/>
      <c r="I2" s="930"/>
      <c r="J2" s="930"/>
      <c r="K2" s="930"/>
      <c r="L2" s="930"/>
      <c r="M2" s="930"/>
      <c r="N2" s="929"/>
      <c r="O2" s="929"/>
      <c r="U2">
        <f>ROW()</f>
        <v>2</v>
      </c>
    </row>
    <row r="3" spans="1:21">
      <c r="A3" s="1973" t="str">
        <f>Tieude2&amp;": "&amp;NDtieude2</f>
        <v xml:space="preserve">Gói thầu 05: </v>
      </c>
      <c r="B3" s="1973"/>
      <c r="C3" s="146" t="str">
        <f>IF(NDtieude2&lt;&gt;"",ROW(),"")</f>
        <v/>
      </c>
      <c r="D3" s="149"/>
      <c r="E3" s="922"/>
      <c r="F3" s="922"/>
      <c r="G3" s="930"/>
      <c r="H3" s="930"/>
      <c r="I3" s="930"/>
      <c r="J3" s="930"/>
      <c r="K3" s="930"/>
      <c r="L3" s="930"/>
      <c r="M3" s="930"/>
      <c r="N3" s="929"/>
      <c r="O3" s="929"/>
      <c r="U3">
        <f>ROW()</f>
        <v>3</v>
      </c>
    </row>
    <row r="4" spans="1:21">
      <c r="A4" s="1973" t="str">
        <f>Tieude3&amp;": "&amp;NDtieude3</f>
        <v>Hạng mục: Kênh và Công trình trên kênh</v>
      </c>
      <c r="B4" s="1973"/>
      <c r="C4" s="146">
        <f>IF(NDtieude3&lt;&gt;"",ROW(),"")</f>
        <v>4</v>
      </c>
      <c r="D4" s="149"/>
      <c r="E4" s="922"/>
      <c r="F4" s="922"/>
      <c r="G4" s="930"/>
      <c r="H4" s="930"/>
      <c r="I4" s="930"/>
      <c r="J4" s="930"/>
      <c r="K4" s="930"/>
      <c r="L4" s="930"/>
      <c r="M4" s="930"/>
      <c r="N4" s="929"/>
      <c r="O4" s="929"/>
      <c r="U4">
        <f>ROW()</f>
        <v>4</v>
      </c>
    </row>
    <row r="5" spans="1:21">
      <c r="A5" s="1973" t="str">
        <f>"Địa điểm xây dựng : "&amp;DDXD</f>
        <v>Địa điểm xây dựng : Huyện Ninh Hải - Tỉnh Ninh Thuận</v>
      </c>
      <c r="B5" s="1973"/>
      <c r="C5" s="146"/>
      <c r="D5" s="149"/>
      <c r="E5" s="922"/>
      <c r="F5" s="922"/>
      <c r="G5" s="930"/>
      <c r="H5" s="930"/>
      <c r="I5" s="930"/>
      <c r="J5" s="930"/>
      <c r="K5" s="930"/>
      <c r="L5" s="930"/>
      <c r="M5" s="930"/>
      <c r="N5" s="929"/>
      <c r="O5" s="929"/>
      <c r="U5">
        <f>ROW()</f>
        <v>5</v>
      </c>
    </row>
    <row r="6" spans="1:21">
      <c r="B6" s="926">
        <v>43965</v>
      </c>
      <c r="C6" s="145"/>
      <c r="D6" s="826">
        <v>11</v>
      </c>
      <c r="E6" s="921"/>
      <c r="F6" s="924"/>
      <c r="G6" s="931"/>
      <c r="H6" s="932"/>
      <c r="I6" s="932"/>
      <c r="J6" s="932"/>
      <c r="K6" s="932"/>
      <c r="L6" s="932"/>
      <c r="M6" s="932"/>
      <c r="N6" s="929"/>
      <c r="O6" s="929"/>
      <c r="R6">
        <v>1</v>
      </c>
    </row>
    <row r="7" spans="1:21">
      <c r="C7" s="145"/>
      <c r="D7" s="148"/>
      <c r="E7" s="921"/>
      <c r="F7" s="921"/>
      <c r="G7" s="932"/>
      <c r="H7" s="932"/>
      <c r="I7" s="932"/>
      <c r="J7" s="932"/>
      <c r="K7" s="932"/>
      <c r="L7" s="932"/>
      <c r="M7" s="932"/>
      <c r="N7" s="929"/>
      <c r="O7" s="929"/>
    </row>
    <row r="8" spans="1:21">
      <c r="A8" s="1969" t="s">
        <v>5421</v>
      </c>
      <c r="B8" s="1969"/>
      <c r="C8" s="145"/>
      <c r="D8" s="148"/>
      <c r="E8" s="921"/>
      <c r="F8" s="921"/>
      <c r="G8" s="932"/>
      <c r="H8" s="932"/>
      <c r="I8" s="932"/>
      <c r="J8" s="932"/>
      <c r="K8" s="932"/>
      <c r="L8" s="932"/>
      <c r="M8" s="932"/>
      <c r="N8" s="929"/>
      <c r="O8" s="929"/>
    </row>
    <row r="9" spans="1:21">
      <c r="A9" s="1969" t="s">
        <v>1050</v>
      </c>
      <c r="B9" s="1970"/>
      <c r="C9" s="145"/>
      <c r="D9" s="148"/>
      <c r="E9" s="921"/>
      <c r="F9" s="921"/>
      <c r="G9" s="932"/>
      <c r="H9" s="932"/>
      <c r="I9" s="932"/>
      <c r="J9" s="932"/>
      <c r="K9" s="932"/>
      <c r="L9" s="932"/>
      <c r="M9" s="932"/>
      <c r="N9" s="929"/>
      <c r="O9" s="929"/>
    </row>
    <row r="10" spans="1:21">
      <c r="A10" s="1970" t="s">
        <v>1051</v>
      </c>
      <c r="B10" s="1970"/>
      <c r="C10" s="145"/>
      <c r="D10" s="148"/>
      <c r="E10" s="921"/>
      <c r="F10" s="921"/>
      <c r="G10" s="932"/>
      <c r="H10" s="932"/>
      <c r="I10" s="932"/>
      <c r="J10" s="932"/>
      <c r="K10" s="932"/>
      <c r="L10" s="932"/>
      <c r="M10" s="932"/>
      <c r="N10" s="929"/>
      <c r="O10" s="929"/>
    </row>
    <row r="11" spans="1:21">
      <c r="A11" s="1971" t="str">
        <f>IF(A16="- Công trình nghỉ thi công","   - Cán bộ kỹ thuật:           người;","   - Cán bộ kỹ thuật: 2 người;")</f>
        <v xml:space="preserve">   - Cán bộ kỹ thuật: 2 người;</v>
      </c>
      <c r="B11" s="1971"/>
      <c r="C11" s="145"/>
      <c r="D11" s="148"/>
      <c r="E11" s="921"/>
      <c r="F11" s="921"/>
      <c r="G11" s="932"/>
      <c r="H11" s="932"/>
      <c r="I11" s="932"/>
      <c r="J11" s="932"/>
      <c r="K11" s="932"/>
      <c r="L11" s="932"/>
      <c r="M11" s="932"/>
      <c r="N11" s="929"/>
      <c r="O11" s="929"/>
    </row>
    <row r="12" spans="1:21">
      <c r="A12" s="1971" t="s">
        <v>6209</v>
      </c>
      <c r="B12" s="1971"/>
      <c r="C12" s="145"/>
      <c r="D12" s="148"/>
      <c r="E12" s="921"/>
      <c r="F12" s="921"/>
      <c r="G12" s="932"/>
      <c r="H12" s="932"/>
      <c r="I12" s="932"/>
      <c r="J12" s="932"/>
      <c r="K12" s="932"/>
      <c r="L12" s="932"/>
      <c r="M12" s="932"/>
      <c r="N12" s="929"/>
      <c r="O12" s="929"/>
    </row>
    <row r="13" spans="1:21">
      <c r="A13" s="1970" t="s">
        <v>1053</v>
      </c>
      <c r="B13" s="1970"/>
      <c r="C13" s="145"/>
      <c r="D13" s="148"/>
      <c r="E13" s="921"/>
      <c r="F13" s="921"/>
      <c r="G13" s="932"/>
      <c r="H13" s="932"/>
      <c r="I13" s="932"/>
      <c r="J13" s="932"/>
      <c r="K13" s="932"/>
      <c r="L13" s="932"/>
      <c r="M13" s="932"/>
      <c r="N13" s="929"/>
      <c r="O13" s="929"/>
    </row>
    <row r="14" spans="1:21">
      <c r="A14" s="1455" t="s">
        <v>6210</v>
      </c>
      <c r="B14" s="1455"/>
      <c r="C14" s="145"/>
      <c r="D14" s="148"/>
      <c r="E14" s="921"/>
      <c r="F14" s="921"/>
      <c r="G14" s="932"/>
      <c r="H14" s="932"/>
      <c r="I14" s="932"/>
      <c r="J14" s="932"/>
      <c r="K14" s="932"/>
      <c r="L14" s="932"/>
      <c r="M14" s="932"/>
      <c r="N14" s="929"/>
      <c r="O14" s="933" t="str">
        <f>IF(A14&lt;&gt;"",A14,"")</f>
        <v xml:space="preserve">     -  Máy trộn vữa</v>
      </c>
    </row>
    <row r="15" spans="1:21">
      <c r="A15" s="1969" t="s">
        <v>1054</v>
      </c>
      <c r="B15" s="1970"/>
      <c r="C15" s="145"/>
      <c r="D15" s="150"/>
      <c r="E15" s="923"/>
      <c r="F15" s="923"/>
      <c r="G15" s="934"/>
      <c r="H15" s="934"/>
      <c r="I15" s="934"/>
      <c r="J15" s="934"/>
      <c r="K15" s="934"/>
      <c r="L15" s="934"/>
      <c r="M15" s="934"/>
      <c r="N15" s="929"/>
      <c r="O15" s="929"/>
    </row>
    <row r="16" spans="1:21">
      <c r="A16" s="1455" t="s">
        <v>6130</v>
      </c>
      <c r="B16" s="1455"/>
      <c r="C16" s="145">
        <f>IF(A16&lt;&gt;"",ROW(),"")</f>
        <v>16</v>
      </c>
      <c r="D16" s="150"/>
      <c r="E16" s="923"/>
      <c r="F16" s="923"/>
      <c r="G16" s="934"/>
      <c r="H16" s="934"/>
      <c r="I16" s="934"/>
      <c r="J16" s="934"/>
      <c r="K16" s="934"/>
      <c r="L16" s="934"/>
      <c r="M16" s="934"/>
      <c r="N16" s="929"/>
      <c r="O16" s="933" t="str">
        <f>IF(A16&lt;&gt;"",A16,"")</f>
        <v xml:space="preserve">   - Bảo dưỡng vữa lót móng M75 Đoạn Km0+400 đến Km0+500</v>
      </c>
    </row>
    <row r="17" spans="1:15">
      <c r="A17" s="1455" t="s">
        <v>6132</v>
      </c>
      <c r="B17" s="1455"/>
      <c r="C17" s="145">
        <f t="shared" ref="C17:C80" si="0">IF(A17&lt;&gt;"",ROW(),"")</f>
        <v>17</v>
      </c>
      <c r="D17" s="150"/>
      <c r="E17" s="923"/>
      <c r="F17" s="923"/>
      <c r="G17" s="934"/>
      <c r="H17" s="934"/>
      <c r="I17" s="934"/>
      <c r="J17" s="934"/>
      <c r="K17" s="934"/>
      <c r="L17" s="934"/>
      <c r="M17" s="934"/>
      <c r="N17" s="929"/>
      <c r="O17" s="933" t="str">
        <f t="shared" ref="O17:O80" si="1">IF(A17&lt;&gt;"",A17,"")</f>
        <v xml:space="preserve">   - Nghiệm thu Đào đất hố móng Đoạn Km0+500 đến Km0+600</v>
      </c>
    </row>
    <row r="18" spans="1:15">
      <c r="A18" s="1455" t="s">
        <v>6133</v>
      </c>
      <c r="B18" s="1455"/>
      <c r="C18" s="145">
        <f t="shared" si="0"/>
        <v>18</v>
      </c>
      <c r="D18" s="150"/>
      <c r="E18" s="923"/>
      <c r="F18" s="923"/>
      <c r="G18" s="934"/>
      <c r="H18" s="934"/>
      <c r="I18" s="934"/>
      <c r="J18" s="934"/>
      <c r="K18" s="934"/>
      <c r="L18" s="934"/>
      <c r="M18" s="934"/>
      <c r="N18" s="929"/>
      <c r="O18" s="933" t="str">
        <f t="shared" si="1"/>
        <v xml:space="preserve">   - Thi công vữa lót móng M75 Đoạn Km0+500 đến Km0+600</v>
      </c>
    </row>
    <row r="19" spans="1:15">
      <c r="A19" s="1455" t="s">
        <v>6134</v>
      </c>
      <c r="B19" s="1455"/>
      <c r="C19" s="145">
        <f t="shared" si="0"/>
        <v>19</v>
      </c>
      <c r="D19" s="150"/>
      <c r="E19" s="923"/>
      <c r="F19" s="923"/>
      <c r="G19" s="934"/>
      <c r="H19" s="934"/>
      <c r="I19" s="934"/>
      <c r="J19" s="934"/>
      <c r="K19" s="934"/>
      <c r="L19" s="934"/>
      <c r="M19" s="934"/>
      <c r="N19" s="929"/>
      <c r="O19" s="933" t="str">
        <f t="shared" si="1"/>
        <v xml:space="preserve">   - Lấy mẫu thí nghiệm vữa lót móng M75 Đoạn Km0+500 đến Km0+600</v>
      </c>
    </row>
    <row r="20" spans="1:15" hidden="1">
      <c r="A20" s="1455"/>
      <c r="B20" s="1455"/>
      <c r="C20" s="145" t="str">
        <f t="shared" si="0"/>
        <v/>
      </c>
      <c r="D20" s="150"/>
      <c r="E20" s="923"/>
      <c r="F20" s="923"/>
      <c r="G20" s="934"/>
      <c r="H20" s="934"/>
      <c r="I20" s="934"/>
      <c r="J20" s="934"/>
      <c r="K20" s="934"/>
      <c r="L20" s="934"/>
      <c r="M20" s="934"/>
      <c r="N20" s="929"/>
      <c r="O20" s="933" t="str">
        <f t="shared" si="1"/>
        <v/>
      </c>
    </row>
    <row r="21" spans="1:15" hidden="1">
      <c r="A21" s="1455"/>
      <c r="B21" s="1455"/>
      <c r="C21" s="145" t="str">
        <f t="shared" si="0"/>
        <v/>
      </c>
      <c r="D21" s="150"/>
      <c r="E21" s="923"/>
      <c r="F21" s="923"/>
      <c r="G21" s="934"/>
      <c r="H21" s="934"/>
      <c r="I21" s="934"/>
      <c r="J21" s="934"/>
      <c r="K21" s="934"/>
      <c r="L21" s="934"/>
      <c r="M21" s="934"/>
      <c r="N21" s="929"/>
      <c r="O21" s="933" t="str">
        <f t="shared" si="1"/>
        <v/>
      </c>
    </row>
    <row r="22" spans="1:15" hidden="1">
      <c r="A22" s="1455"/>
      <c r="B22" s="1455"/>
      <c r="C22" s="145" t="str">
        <f t="shared" si="0"/>
        <v/>
      </c>
      <c r="D22" s="150"/>
      <c r="E22" s="923"/>
      <c r="F22" s="923"/>
      <c r="G22" s="934"/>
      <c r="H22" s="934"/>
      <c r="I22" s="934"/>
      <c r="J22" s="934"/>
      <c r="K22" s="934"/>
      <c r="L22" s="934"/>
      <c r="M22" s="934"/>
      <c r="N22" s="929"/>
      <c r="O22" s="933" t="str">
        <f t="shared" si="1"/>
        <v/>
      </c>
    </row>
    <row r="23" spans="1:15" hidden="1">
      <c r="A23" s="1455"/>
      <c r="B23" s="1455"/>
      <c r="C23" s="145" t="str">
        <f t="shared" si="0"/>
        <v/>
      </c>
      <c r="D23" s="150"/>
      <c r="E23" s="923"/>
      <c r="F23" s="923"/>
      <c r="G23" s="934"/>
      <c r="H23" s="934"/>
      <c r="I23" s="934"/>
      <c r="J23" s="934"/>
      <c r="K23" s="934"/>
      <c r="L23" s="934"/>
      <c r="M23" s="934"/>
      <c r="N23" s="929"/>
      <c r="O23" s="933" t="str">
        <f t="shared" si="1"/>
        <v/>
      </c>
    </row>
    <row r="24" spans="1:15" hidden="1">
      <c r="A24" s="1455"/>
      <c r="B24" s="1455"/>
      <c r="C24" s="145" t="str">
        <f t="shared" si="0"/>
        <v/>
      </c>
      <c r="D24" s="150"/>
      <c r="E24" s="923"/>
      <c r="F24" s="923"/>
      <c r="G24" s="934"/>
      <c r="H24" s="934"/>
      <c r="I24" s="934"/>
      <c r="J24" s="934"/>
      <c r="K24" s="934"/>
      <c r="L24" s="934"/>
      <c r="M24" s="934"/>
      <c r="N24" s="929"/>
      <c r="O24" s="933" t="str">
        <f t="shared" si="1"/>
        <v/>
      </c>
    </row>
    <row r="25" spans="1:15" hidden="1">
      <c r="A25" s="1455"/>
      <c r="B25" s="1455"/>
      <c r="C25" s="145" t="str">
        <f t="shared" si="0"/>
        <v/>
      </c>
      <c r="D25" s="150"/>
      <c r="E25" s="923"/>
      <c r="F25" s="923"/>
      <c r="G25" s="934"/>
      <c r="H25" s="934"/>
      <c r="I25" s="934"/>
      <c r="J25" s="934"/>
      <c r="K25" s="934"/>
      <c r="L25" s="934"/>
      <c r="M25" s="934"/>
      <c r="N25" s="929"/>
      <c r="O25" s="933" t="str">
        <f t="shared" si="1"/>
        <v/>
      </c>
    </row>
    <row r="26" spans="1:15" hidden="1">
      <c r="A26" s="1455"/>
      <c r="B26" s="1455"/>
      <c r="C26" s="145" t="str">
        <f t="shared" si="0"/>
        <v/>
      </c>
      <c r="D26" s="150"/>
      <c r="E26" s="923"/>
      <c r="F26" s="923"/>
      <c r="G26" s="934"/>
      <c r="H26" s="934"/>
      <c r="I26" s="934"/>
      <c r="J26" s="934"/>
      <c r="K26" s="934"/>
      <c r="L26" s="934"/>
      <c r="M26" s="934"/>
      <c r="N26" s="929"/>
      <c r="O26" s="933" t="str">
        <f t="shared" si="1"/>
        <v/>
      </c>
    </row>
    <row r="27" spans="1:15" hidden="1">
      <c r="A27" s="1455"/>
      <c r="B27" s="1455"/>
      <c r="C27" s="145" t="str">
        <f t="shared" si="0"/>
        <v/>
      </c>
      <c r="D27" s="150"/>
      <c r="E27" s="923"/>
      <c r="F27" s="923"/>
      <c r="G27" s="934"/>
      <c r="H27" s="934"/>
      <c r="I27" s="934"/>
      <c r="J27" s="934"/>
      <c r="K27" s="934"/>
      <c r="L27" s="934"/>
      <c r="M27" s="934"/>
      <c r="N27" s="929"/>
      <c r="O27" s="933" t="str">
        <f t="shared" si="1"/>
        <v/>
      </c>
    </row>
    <row r="28" spans="1:15" hidden="1">
      <c r="A28" s="1455"/>
      <c r="B28" s="1455"/>
      <c r="C28" s="145" t="str">
        <f t="shared" si="0"/>
        <v/>
      </c>
      <c r="D28" s="150"/>
      <c r="E28" s="923"/>
      <c r="F28" s="923"/>
      <c r="G28" s="934"/>
      <c r="H28" s="934"/>
      <c r="I28" s="934"/>
      <c r="J28" s="934"/>
      <c r="K28" s="934"/>
      <c r="L28" s="934"/>
      <c r="M28" s="934"/>
      <c r="N28" s="929"/>
      <c r="O28" s="933" t="str">
        <f t="shared" si="1"/>
        <v/>
      </c>
    </row>
    <row r="29" spans="1:15" ht="44.65" hidden="1" customHeight="1">
      <c r="A29" s="1455"/>
      <c r="B29" s="1455"/>
      <c r="C29" s="145" t="str">
        <f t="shared" si="0"/>
        <v/>
      </c>
      <c r="D29" s="150"/>
      <c r="E29" s="923"/>
      <c r="F29" s="923"/>
      <c r="G29" s="934"/>
      <c r="H29" s="934"/>
      <c r="I29" s="934"/>
      <c r="J29" s="934"/>
      <c r="K29" s="934"/>
      <c r="L29" s="934"/>
      <c r="M29" s="934"/>
      <c r="N29" s="929"/>
      <c r="O29" s="933" t="str">
        <f t="shared" si="1"/>
        <v/>
      </c>
    </row>
    <row r="30" spans="1:15" hidden="1">
      <c r="A30" s="1455"/>
      <c r="B30" s="1455"/>
      <c r="C30" s="145" t="str">
        <f t="shared" si="0"/>
        <v/>
      </c>
      <c r="D30" s="150"/>
      <c r="E30" s="923"/>
      <c r="F30" s="923"/>
      <c r="G30" s="934"/>
      <c r="H30" s="934"/>
      <c r="I30" s="934"/>
      <c r="J30" s="934"/>
      <c r="K30" s="934"/>
      <c r="L30" s="934"/>
      <c r="M30" s="934"/>
      <c r="N30" s="929"/>
      <c r="O30" s="933" t="str">
        <f t="shared" si="1"/>
        <v/>
      </c>
    </row>
    <row r="31" spans="1:15" hidden="1">
      <c r="A31" s="1455"/>
      <c r="B31" s="1455"/>
      <c r="C31" s="145" t="str">
        <f t="shared" si="0"/>
        <v/>
      </c>
      <c r="D31" s="150"/>
      <c r="E31" s="923"/>
      <c r="F31" s="923"/>
      <c r="G31" s="934"/>
      <c r="H31" s="934"/>
      <c r="I31" s="934"/>
      <c r="J31" s="934"/>
      <c r="K31" s="934"/>
      <c r="L31" s="934"/>
      <c r="M31" s="934"/>
      <c r="N31" s="929"/>
      <c r="O31" s="933" t="str">
        <f t="shared" si="1"/>
        <v/>
      </c>
    </row>
    <row r="32" spans="1:15" hidden="1">
      <c r="A32" s="1455"/>
      <c r="B32" s="1455"/>
      <c r="C32" s="145" t="str">
        <f t="shared" si="0"/>
        <v/>
      </c>
      <c r="D32" s="150"/>
      <c r="E32" s="923"/>
      <c r="F32" s="923"/>
      <c r="G32" s="934"/>
      <c r="H32" s="934"/>
      <c r="I32" s="934"/>
      <c r="J32" s="934"/>
      <c r="K32" s="934"/>
      <c r="L32" s="934"/>
      <c r="M32" s="934"/>
      <c r="N32" s="929"/>
      <c r="O32" s="933" t="str">
        <f t="shared" si="1"/>
        <v/>
      </c>
    </row>
    <row r="33" spans="1:15" hidden="1">
      <c r="A33" s="1455"/>
      <c r="B33" s="1455"/>
      <c r="C33" s="145" t="str">
        <f t="shared" si="0"/>
        <v/>
      </c>
      <c r="D33" s="150"/>
      <c r="E33" s="923"/>
      <c r="F33" s="923"/>
      <c r="G33" s="934"/>
      <c r="H33" s="934"/>
      <c r="I33" s="934"/>
      <c r="J33" s="934"/>
      <c r="K33" s="934"/>
      <c r="L33" s="934"/>
      <c r="M33" s="934"/>
      <c r="N33" s="929"/>
      <c r="O33" s="933" t="str">
        <f t="shared" si="1"/>
        <v/>
      </c>
    </row>
    <row r="34" spans="1:15" hidden="1">
      <c r="A34" s="1455"/>
      <c r="B34" s="1455"/>
      <c r="C34" s="145" t="str">
        <f t="shared" si="0"/>
        <v/>
      </c>
      <c r="D34" s="150"/>
      <c r="E34" s="923"/>
      <c r="F34" s="923"/>
      <c r="G34" s="934"/>
      <c r="H34" s="934"/>
      <c r="I34" s="934"/>
      <c r="J34" s="934"/>
      <c r="K34" s="934"/>
      <c r="L34" s="934"/>
      <c r="M34" s="934"/>
      <c r="N34" s="929"/>
      <c r="O34" s="933" t="str">
        <f t="shared" si="1"/>
        <v/>
      </c>
    </row>
    <row r="35" spans="1:15" hidden="1">
      <c r="A35" s="1455"/>
      <c r="B35" s="1455"/>
      <c r="C35" s="145" t="str">
        <f t="shared" si="0"/>
        <v/>
      </c>
      <c r="D35" s="150"/>
      <c r="E35" s="923"/>
      <c r="F35" s="923"/>
      <c r="G35" s="934"/>
      <c r="H35" s="934"/>
      <c r="I35" s="934"/>
      <c r="J35" s="934"/>
      <c r="K35" s="934"/>
      <c r="L35" s="934"/>
      <c r="M35" s="934"/>
      <c r="N35" s="929"/>
      <c r="O35" s="933" t="str">
        <f t="shared" si="1"/>
        <v/>
      </c>
    </row>
    <row r="36" spans="1:15" hidden="1">
      <c r="A36" s="1455"/>
      <c r="B36" s="1455"/>
      <c r="C36" s="145" t="str">
        <f t="shared" si="0"/>
        <v/>
      </c>
      <c r="D36" s="150"/>
      <c r="E36" s="923"/>
      <c r="F36" s="923"/>
      <c r="G36" s="934"/>
      <c r="H36" s="934"/>
      <c r="I36" s="934"/>
      <c r="J36" s="934"/>
      <c r="K36" s="934"/>
      <c r="L36" s="934"/>
      <c r="M36" s="934"/>
      <c r="N36" s="929"/>
      <c r="O36" s="933" t="str">
        <f t="shared" si="1"/>
        <v/>
      </c>
    </row>
    <row r="37" spans="1:15" hidden="1">
      <c r="A37" s="1455"/>
      <c r="B37" s="1455"/>
      <c r="C37" s="145" t="str">
        <f t="shared" si="0"/>
        <v/>
      </c>
      <c r="D37" s="150"/>
      <c r="E37" s="923"/>
      <c r="F37" s="923"/>
      <c r="G37" s="934"/>
      <c r="H37" s="934"/>
      <c r="I37" s="934"/>
      <c r="J37" s="934"/>
      <c r="K37" s="934"/>
      <c r="L37" s="934"/>
      <c r="M37" s="934"/>
      <c r="N37" s="929"/>
      <c r="O37" s="933" t="str">
        <f t="shared" si="1"/>
        <v/>
      </c>
    </row>
    <row r="38" spans="1:15" hidden="1">
      <c r="A38" s="1455"/>
      <c r="B38" s="1455"/>
      <c r="C38" s="145" t="str">
        <f t="shared" si="0"/>
        <v/>
      </c>
      <c r="D38" s="150"/>
      <c r="E38" s="923"/>
      <c r="F38" s="923"/>
      <c r="G38" s="934"/>
      <c r="H38" s="934"/>
      <c r="I38" s="934"/>
      <c r="J38" s="934"/>
      <c r="K38" s="934"/>
      <c r="L38" s="934"/>
      <c r="M38" s="934"/>
      <c r="N38" s="929"/>
      <c r="O38" s="933" t="str">
        <f t="shared" si="1"/>
        <v/>
      </c>
    </row>
    <row r="39" spans="1:15" hidden="1">
      <c r="A39" s="1455"/>
      <c r="B39" s="1455"/>
      <c r="C39" s="145" t="str">
        <f t="shared" si="0"/>
        <v/>
      </c>
      <c r="D39" s="150"/>
      <c r="E39" s="923"/>
      <c r="F39" s="923"/>
      <c r="G39" s="934"/>
      <c r="H39" s="934"/>
      <c r="I39" s="934"/>
      <c r="J39" s="934"/>
      <c r="K39" s="934"/>
      <c r="L39" s="934"/>
      <c r="M39" s="934"/>
      <c r="N39" s="929"/>
      <c r="O39" s="933" t="str">
        <f t="shared" si="1"/>
        <v/>
      </c>
    </row>
    <row r="40" spans="1:15" hidden="1">
      <c r="A40" s="1455"/>
      <c r="B40" s="1455"/>
      <c r="C40" s="145" t="str">
        <f t="shared" si="0"/>
        <v/>
      </c>
      <c r="D40" s="150"/>
      <c r="E40" s="923"/>
      <c r="F40" s="923"/>
      <c r="G40" s="934"/>
      <c r="H40" s="934"/>
      <c r="I40" s="934"/>
      <c r="J40" s="934"/>
      <c r="K40" s="934"/>
      <c r="L40" s="934"/>
      <c r="M40" s="934"/>
      <c r="N40" s="929"/>
      <c r="O40" s="933" t="str">
        <f t="shared" si="1"/>
        <v/>
      </c>
    </row>
    <row r="41" spans="1:15" hidden="1">
      <c r="A41" s="1455"/>
      <c r="B41" s="1455"/>
      <c r="C41" s="145" t="str">
        <f t="shared" si="0"/>
        <v/>
      </c>
      <c r="D41" s="150"/>
      <c r="E41" s="923"/>
      <c r="F41" s="923"/>
      <c r="G41" s="934"/>
      <c r="H41" s="934"/>
      <c r="I41" s="934"/>
      <c r="J41" s="934"/>
      <c r="K41" s="934"/>
      <c r="L41" s="934"/>
      <c r="M41" s="934"/>
      <c r="N41" s="929"/>
      <c r="O41" s="933" t="str">
        <f t="shared" si="1"/>
        <v/>
      </c>
    </row>
    <row r="42" spans="1:15" hidden="1">
      <c r="A42" s="1455"/>
      <c r="B42" s="1455"/>
      <c r="C42" s="145" t="str">
        <f t="shared" si="0"/>
        <v/>
      </c>
      <c r="D42" s="150"/>
      <c r="E42" s="923"/>
      <c r="F42" s="923"/>
      <c r="G42" s="934"/>
      <c r="H42" s="934"/>
      <c r="I42" s="934"/>
      <c r="J42" s="934"/>
      <c r="K42" s="934"/>
      <c r="L42" s="934"/>
      <c r="M42" s="934"/>
      <c r="N42" s="929"/>
      <c r="O42" s="933" t="str">
        <f t="shared" si="1"/>
        <v/>
      </c>
    </row>
    <row r="43" spans="1:15" hidden="1">
      <c r="A43" s="1455"/>
      <c r="B43" s="1455"/>
      <c r="C43" s="145" t="str">
        <f t="shared" si="0"/>
        <v/>
      </c>
      <c r="D43" s="150"/>
      <c r="E43" s="923"/>
      <c r="F43" s="923"/>
      <c r="G43" s="934"/>
      <c r="H43" s="934"/>
      <c r="I43" s="934"/>
      <c r="J43" s="934"/>
      <c r="K43" s="934"/>
      <c r="L43" s="934"/>
      <c r="M43" s="934"/>
      <c r="N43" s="929"/>
      <c r="O43" s="933" t="str">
        <f t="shared" si="1"/>
        <v/>
      </c>
    </row>
    <row r="44" spans="1:15" hidden="1">
      <c r="A44" s="1455"/>
      <c r="B44" s="1455"/>
      <c r="C44" s="145" t="str">
        <f t="shared" si="0"/>
        <v/>
      </c>
      <c r="D44" s="150"/>
      <c r="E44" s="923"/>
      <c r="F44" s="923"/>
      <c r="G44" s="934"/>
      <c r="H44" s="934"/>
      <c r="I44" s="934"/>
      <c r="J44" s="934"/>
      <c r="K44" s="934"/>
      <c r="L44" s="934"/>
      <c r="M44" s="934"/>
      <c r="N44" s="929"/>
      <c r="O44" s="933" t="str">
        <f t="shared" si="1"/>
        <v/>
      </c>
    </row>
    <row r="45" spans="1:15" hidden="1">
      <c r="A45" s="1455"/>
      <c r="B45" s="1455"/>
      <c r="C45" s="145" t="str">
        <f t="shared" si="0"/>
        <v/>
      </c>
      <c r="D45" s="150"/>
      <c r="E45" s="923"/>
      <c r="F45" s="923"/>
      <c r="G45" s="934"/>
      <c r="H45" s="934"/>
      <c r="I45" s="934"/>
      <c r="J45" s="934"/>
      <c r="K45" s="934"/>
      <c r="L45" s="934"/>
      <c r="M45" s="934"/>
      <c r="N45" s="929"/>
      <c r="O45" s="933" t="str">
        <f t="shared" si="1"/>
        <v/>
      </c>
    </row>
    <row r="46" spans="1:15" hidden="1">
      <c r="A46" s="1455"/>
      <c r="B46" s="1455"/>
      <c r="C46" s="145" t="str">
        <f t="shared" si="0"/>
        <v/>
      </c>
      <c r="D46" s="150"/>
      <c r="E46" s="923"/>
      <c r="F46" s="923"/>
      <c r="G46" s="934"/>
      <c r="H46" s="934"/>
      <c r="I46" s="934"/>
      <c r="J46" s="934"/>
      <c r="K46" s="934"/>
      <c r="L46" s="934"/>
      <c r="M46" s="934"/>
      <c r="N46" s="929"/>
      <c r="O46" s="933" t="str">
        <f t="shared" si="1"/>
        <v/>
      </c>
    </row>
    <row r="47" spans="1:15" hidden="1">
      <c r="A47" s="1455"/>
      <c r="B47" s="1455"/>
      <c r="C47" s="145" t="str">
        <f t="shared" si="0"/>
        <v/>
      </c>
      <c r="D47" s="150"/>
      <c r="E47" s="923"/>
      <c r="F47" s="923"/>
      <c r="G47" s="934"/>
      <c r="H47" s="934"/>
      <c r="I47" s="934"/>
      <c r="J47" s="934"/>
      <c r="K47" s="934"/>
      <c r="L47" s="934"/>
      <c r="M47" s="934"/>
      <c r="N47" s="929"/>
      <c r="O47" s="933" t="str">
        <f t="shared" si="1"/>
        <v/>
      </c>
    </row>
    <row r="48" spans="1:15" hidden="1">
      <c r="A48" s="1455"/>
      <c r="B48" s="1455"/>
      <c r="C48" s="145" t="str">
        <f t="shared" si="0"/>
        <v/>
      </c>
      <c r="D48" s="150"/>
      <c r="E48" s="923"/>
      <c r="F48" s="923"/>
      <c r="G48" s="934"/>
      <c r="H48" s="934"/>
      <c r="I48" s="934"/>
      <c r="J48" s="934"/>
      <c r="K48" s="934"/>
      <c r="L48" s="934"/>
      <c r="M48" s="934"/>
      <c r="N48" s="929"/>
      <c r="O48" s="933" t="str">
        <f t="shared" si="1"/>
        <v/>
      </c>
    </row>
    <row r="49" spans="1:15" hidden="1">
      <c r="A49" s="1455"/>
      <c r="B49" s="1455"/>
      <c r="C49" s="145" t="str">
        <f t="shared" si="0"/>
        <v/>
      </c>
      <c r="D49" s="150"/>
      <c r="E49" s="923"/>
      <c r="F49" s="923"/>
      <c r="G49" s="934"/>
      <c r="H49" s="934"/>
      <c r="I49" s="934"/>
      <c r="J49" s="934"/>
      <c r="K49" s="934"/>
      <c r="L49" s="934"/>
      <c r="M49" s="934"/>
      <c r="N49" s="929"/>
      <c r="O49" s="933" t="str">
        <f t="shared" si="1"/>
        <v/>
      </c>
    </row>
    <row r="50" spans="1:15" hidden="1">
      <c r="A50" s="1455"/>
      <c r="B50" s="1455"/>
      <c r="C50" s="145" t="str">
        <f t="shared" si="0"/>
        <v/>
      </c>
      <c r="D50" s="150"/>
      <c r="E50" s="923"/>
      <c r="F50" s="923"/>
      <c r="G50" s="934"/>
      <c r="H50" s="934"/>
      <c r="I50" s="934"/>
      <c r="J50" s="934"/>
      <c r="K50" s="934"/>
      <c r="L50" s="934"/>
      <c r="M50" s="934"/>
      <c r="N50" s="929"/>
      <c r="O50" s="933" t="str">
        <f t="shared" si="1"/>
        <v/>
      </c>
    </row>
    <row r="51" spans="1:15" hidden="1">
      <c r="A51" s="1455"/>
      <c r="B51" s="1455"/>
      <c r="C51" s="145" t="str">
        <f t="shared" si="0"/>
        <v/>
      </c>
      <c r="D51" s="150"/>
      <c r="E51" s="923"/>
      <c r="F51" s="923"/>
      <c r="G51" s="934"/>
      <c r="H51" s="934"/>
      <c r="I51" s="934"/>
      <c r="J51" s="934"/>
      <c r="K51" s="934"/>
      <c r="L51" s="934"/>
      <c r="M51" s="934"/>
      <c r="N51" s="929"/>
      <c r="O51" s="933" t="str">
        <f t="shared" si="1"/>
        <v/>
      </c>
    </row>
    <row r="52" spans="1:15" hidden="1">
      <c r="A52" s="1455"/>
      <c r="B52" s="1455"/>
      <c r="C52" s="145" t="str">
        <f t="shared" si="0"/>
        <v/>
      </c>
      <c r="D52" s="150"/>
      <c r="E52" s="923"/>
      <c r="F52" s="923"/>
      <c r="G52" s="934"/>
      <c r="H52" s="934"/>
      <c r="I52" s="934"/>
      <c r="J52" s="934"/>
      <c r="K52" s="934"/>
      <c r="L52" s="934"/>
      <c r="M52" s="934"/>
      <c r="N52" s="929"/>
      <c r="O52" s="933" t="str">
        <f t="shared" si="1"/>
        <v/>
      </c>
    </row>
    <row r="53" spans="1:15" hidden="1">
      <c r="A53" s="1455"/>
      <c r="B53" s="1455"/>
      <c r="C53" s="145" t="str">
        <f t="shared" si="0"/>
        <v/>
      </c>
      <c r="D53" s="150"/>
      <c r="E53" s="923"/>
      <c r="F53" s="923"/>
      <c r="G53" s="934"/>
      <c r="H53" s="934"/>
      <c r="I53" s="934"/>
      <c r="J53" s="934"/>
      <c r="K53" s="934"/>
      <c r="L53" s="934"/>
      <c r="M53" s="934"/>
      <c r="N53" s="929"/>
      <c r="O53" s="933" t="str">
        <f t="shared" si="1"/>
        <v/>
      </c>
    </row>
    <row r="54" spans="1:15" hidden="1">
      <c r="A54" s="1455"/>
      <c r="B54" s="1455"/>
      <c r="C54" s="145" t="str">
        <f t="shared" si="0"/>
        <v/>
      </c>
      <c r="D54" s="150"/>
      <c r="E54" s="923"/>
      <c r="F54" s="923"/>
      <c r="G54" s="934"/>
      <c r="H54" s="934"/>
      <c r="I54" s="934"/>
      <c r="J54" s="934"/>
      <c r="K54" s="934"/>
      <c r="L54" s="934"/>
      <c r="M54" s="934"/>
      <c r="N54" s="929"/>
      <c r="O54" s="933" t="str">
        <f t="shared" si="1"/>
        <v/>
      </c>
    </row>
    <row r="55" spans="1:15" hidden="1">
      <c r="A55" s="1455"/>
      <c r="B55" s="1455"/>
      <c r="C55" s="145" t="str">
        <f t="shared" si="0"/>
        <v/>
      </c>
      <c r="D55" s="150"/>
      <c r="E55" s="923"/>
      <c r="F55" s="923"/>
      <c r="G55" s="934"/>
      <c r="H55" s="934"/>
      <c r="I55" s="934"/>
      <c r="J55" s="934"/>
      <c r="K55" s="934"/>
      <c r="L55" s="934"/>
      <c r="M55" s="934"/>
      <c r="N55" s="929"/>
      <c r="O55" s="933" t="str">
        <f t="shared" si="1"/>
        <v/>
      </c>
    </row>
    <row r="56" spans="1:15" hidden="1">
      <c r="A56" s="1455"/>
      <c r="B56" s="1455"/>
      <c r="C56" s="145" t="str">
        <f t="shared" si="0"/>
        <v/>
      </c>
      <c r="D56" s="150"/>
      <c r="E56" s="923"/>
      <c r="F56" s="923"/>
      <c r="G56" s="934"/>
      <c r="H56" s="934"/>
      <c r="I56" s="934"/>
      <c r="J56" s="934"/>
      <c r="K56" s="934"/>
      <c r="L56" s="934"/>
      <c r="M56" s="934"/>
      <c r="N56" s="929"/>
      <c r="O56" s="933" t="str">
        <f t="shared" si="1"/>
        <v/>
      </c>
    </row>
    <row r="57" spans="1:15" hidden="1">
      <c r="A57" s="1455"/>
      <c r="B57" s="1455"/>
      <c r="C57" s="145" t="str">
        <f t="shared" si="0"/>
        <v/>
      </c>
      <c r="D57" s="150"/>
      <c r="E57" s="923"/>
      <c r="F57" s="923"/>
      <c r="G57" s="934"/>
      <c r="H57" s="934"/>
      <c r="I57" s="934"/>
      <c r="J57" s="934"/>
      <c r="K57" s="934"/>
      <c r="L57" s="934"/>
      <c r="M57" s="934"/>
      <c r="N57" s="929"/>
      <c r="O57" s="933" t="str">
        <f t="shared" si="1"/>
        <v/>
      </c>
    </row>
    <row r="58" spans="1:15" hidden="1">
      <c r="A58" s="1455"/>
      <c r="B58" s="1455"/>
      <c r="C58" s="145" t="str">
        <f t="shared" si="0"/>
        <v/>
      </c>
      <c r="D58" s="150"/>
      <c r="E58" s="923"/>
      <c r="F58" s="923"/>
      <c r="G58" s="934"/>
      <c r="H58" s="934"/>
      <c r="I58" s="934"/>
      <c r="J58" s="934"/>
      <c r="K58" s="934"/>
      <c r="L58" s="934"/>
      <c r="M58" s="934"/>
      <c r="N58" s="929"/>
      <c r="O58" s="933" t="str">
        <f t="shared" si="1"/>
        <v/>
      </c>
    </row>
    <row r="59" spans="1:15" hidden="1">
      <c r="A59" s="1455"/>
      <c r="B59" s="1455"/>
      <c r="C59" s="145" t="str">
        <f t="shared" si="0"/>
        <v/>
      </c>
      <c r="D59" s="150"/>
      <c r="E59" s="923"/>
      <c r="F59" s="923"/>
      <c r="G59" s="934"/>
      <c r="H59" s="934"/>
      <c r="I59" s="934"/>
      <c r="J59" s="934"/>
      <c r="K59" s="934"/>
      <c r="L59" s="934"/>
      <c r="M59" s="934"/>
      <c r="N59" s="929"/>
      <c r="O59" s="933" t="str">
        <f t="shared" si="1"/>
        <v/>
      </c>
    </row>
    <row r="60" spans="1:15" hidden="1">
      <c r="A60" s="1455"/>
      <c r="B60" s="1455"/>
      <c r="C60" s="145" t="str">
        <f t="shared" si="0"/>
        <v/>
      </c>
      <c r="D60" s="150"/>
      <c r="E60" s="923"/>
      <c r="F60" s="923"/>
      <c r="G60" s="934"/>
      <c r="H60" s="934"/>
      <c r="I60" s="934"/>
      <c r="J60" s="934"/>
      <c r="K60" s="934"/>
      <c r="L60" s="934"/>
      <c r="M60" s="934"/>
      <c r="N60" s="929"/>
      <c r="O60" s="933" t="str">
        <f t="shared" si="1"/>
        <v/>
      </c>
    </row>
    <row r="61" spans="1:15" hidden="1">
      <c r="A61" s="1455"/>
      <c r="B61" s="1455"/>
      <c r="C61" s="145" t="str">
        <f t="shared" si="0"/>
        <v/>
      </c>
      <c r="D61" s="150"/>
      <c r="E61" s="923"/>
      <c r="F61" s="923"/>
      <c r="G61" s="934"/>
      <c r="H61" s="934"/>
      <c r="I61" s="934"/>
      <c r="J61" s="934"/>
      <c r="K61" s="934"/>
      <c r="L61" s="934"/>
      <c r="M61" s="934"/>
      <c r="N61" s="929"/>
      <c r="O61" s="933" t="str">
        <f t="shared" si="1"/>
        <v/>
      </c>
    </row>
    <row r="62" spans="1:15" hidden="1">
      <c r="A62" s="1455"/>
      <c r="B62" s="1455"/>
      <c r="C62" s="145" t="str">
        <f t="shared" si="0"/>
        <v/>
      </c>
      <c r="D62" s="150"/>
      <c r="E62" s="923"/>
      <c r="F62" s="923"/>
      <c r="G62" s="934"/>
      <c r="H62" s="934"/>
      <c r="I62" s="934"/>
      <c r="J62" s="934"/>
      <c r="K62" s="934"/>
      <c r="L62" s="934"/>
      <c r="M62" s="934"/>
      <c r="N62" s="929"/>
      <c r="O62" s="933" t="str">
        <f t="shared" si="1"/>
        <v/>
      </c>
    </row>
    <row r="63" spans="1:15" hidden="1">
      <c r="A63" s="1455"/>
      <c r="B63" s="1455"/>
      <c r="C63" s="145" t="str">
        <f t="shared" si="0"/>
        <v/>
      </c>
      <c r="D63" s="150"/>
      <c r="E63" s="923"/>
      <c r="F63" s="923"/>
      <c r="G63" s="934"/>
      <c r="H63" s="934"/>
      <c r="I63" s="934"/>
      <c r="J63" s="934"/>
      <c r="K63" s="934"/>
      <c r="L63" s="934"/>
      <c r="M63" s="934"/>
      <c r="N63" s="929"/>
      <c r="O63" s="933" t="str">
        <f t="shared" si="1"/>
        <v/>
      </c>
    </row>
    <row r="64" spans="1:15" hidden="1">
      <c r="A64" s="1455"/>
      <c r="B64" s="1455"/>
      <c r="C64" s="145" t="str">
        <f t="shared" si="0"/>
        <v/>
      </c>
      <c r="D64" s="150"/>
      <c r="E64" s="923"/>
      <c r="F64" s="923"/>
      <c r="G64" s="934"/>
      <c r="H64" s="934"/>
      <c r="I64" s="934"/>
      <c r="J64" s="934"/>
      <c r="K64" s="934"/>
      <c r="L64" s="934"/>
      <c r="M64" s="934"/>
      <c r="N64" s="929"/>
      <c r="O64" s="933" t="str">
        <f t="shared" si="1"/>
        <v/>
      </c>
    </row>
    <row r="65" spans="1:15" hidden="1">
      <c r="A65" s="1455"/>
      <c r="B65" s="1455"/>
      <c r="C65" s="145" t="str">
        <f t="shared" si="0"/>
        <v/>
      </c>
      <c r="D65" s="150"/>
      <c r="E65" s="923"/>
      <c r="F65" s="923"/>
      <c r="G65" s="934"/>
      <c r="H65" s="934"/>
      <c r="I65" s="934"/>
      <c r="J65" s="934"/>
      <c r="K65" s="934"/>
      <c r="L65" s="934"/>
      <c r="M65" s="934"/>
      <c r="N65" s="929"/>
      <c r="O65" s="933" t="str">
        <f t="shared" si="1"/>
        <v/>
      </c>
    </row>
    <row r="66" spans="1:15" hidden="1">
      <c r="A66" s="1455"/>
      <c r="B66" s="1455"/>
      <c r="C66" s="145" t="str">
        <f t="shared" si="0"/>
        <v/>
      </c>
      <c r="D66" s="150"/>
      <c r="E66" s="923"/>
      <c r="F66" s="923"/>
      <c r="G66" s="934"/>
      <c r="H66" s="934"/>
      <c r="I66" s="934"/>
      <c r="J66" s="934"/>
      <c r="K66" s="934"/>
      <c r="L66" s="934"/>
      <c r="M66" s="934"/>
      <c r="N66" s="929"/>
      <c r="O66" s="933" t="str">
        <f t="shared" si="1"/>
        <v/>
      </c>
    </row>
    <row r="67" spans="1:15" hidden="1">
      <c r="A67" s="1455"/>
      <c r="B67" s="1455"/>
      <c r="C67" s="145" t="str">
        <f t="shared" si="0"/>
        <v/>
      </c>
      <c r="D67" s="150"/>
      <c r="E67" s="923"/>
      <c r="F67" s="923"/>
      <c r="G67" s="934"/>
      <c r="H67" s="934"/>
      <c r="I67" s="934"/>
      <c r="J67" s="934"/>
      <c r="K67" s="934"/>
      <c r="L67" s="934"/>
      <c r="M67" s="934"/>
      <c r="N67" s="929"/>
      <c r="O67" s="933" t="str">
        <f t="shared" si="1"/>
        <v/>
      </c>
    </row>
    <row r="68" spans="1:15" hidden="1">
      <c r="A68" s="1455"/>
      <c r="B68" s="1455"/>
      <c r="C68" s="145" t="str">
        <f t="shared" si="0"/>
        <v/>
      </c>
      <c r="D68" s="150"/>
      <c r="E68" s="923"/>
      <c r="F68" s="923"/>
      <c r="G68" s="934"/>
      <c r="H68" s="934"/>
      <c r="I68" s="934"/>
      <c r="J68" s="934"/>
      <c r="K68" s="934"/>
      <c r="L68" s="934"/>
      <c r="M68" s="934"/>
      <c r="N68" s="929"/>
      <c r="O68" s="933" t="str">
        <f t="shared" si="1"/>
        <v/>
      </c>
    </row>
    <row r="69" spans="1:15" hidden="1">
      <c r="A69" s="1455"/>
      <c r="B69" s="1455"/>
      <c r="C69" s="145" t="str">
        <f t="shared" si="0"/>
        <v/>
      </c>
      <c r="D69" s="150"/>
      <c r="E69" s="923"/>
      <c r="F69" s="923"/>
      <c r="G69" s="934"/>
      <c r="H69" s="934"/>
      <c r="I69" s="934"/>
      <c r="J69" s="934"/>
      <c r="K69" s="934"/>
      <c r="L69" s="934"/>
      <c r="M69" s="934"/>
      <c r="N69" s="929"/>
      <c r="O69" s="933" t="str">
        <f t="shared" si="1"/>
        <v/>
      </c>
    </row>
    <row r="70" spans="1:15" hidden="1">
      <c r="A70" s="1455"/>
      <c r="B70" s="1455"/>
      <c r="C70" s="145" t="str">
        <f t="shared" si="0"/>
        <v/>
      </c>
      <c r="D70" s="150"/>
      <c r="E70" s="923"/>
      <c r="F70" s="923"/>
      <c r="G70" s="934"/>
      <c r="H70" s="934"/>
      <c r="I70" s="934"/>
      <c r="J70" s="934"/>
      <c r="K70" s="934"/>
      <c r="L70" s="934"/>
      <c r="M70" s="934"/>
      <c r="N70" s="929"/>
      <c r="O70" s="933" t="str">
        <f t="shared" si="1"/>
        <v/>
      </c>
    </row>
    <row r="71" spans="1:15" hidden="1">
      <c r="A71" s="1455"/>
      <c r="B71" s="1455"/>
      <c r="C71" s="145" t="str">
        <f t="shared" si="0"/>
        <v/>
      </c>
      <c r="D71" s="150"/>
      <c r="E71" s="923"/>
      <c r="F71" s="923"/>
      <c r="G71" s="934"/>
      <c r="H71" s="934"/>
      <c r="I71" s="934"/>
      <c r="J71" s="934"/>
      <c r="K71" s="934"/>
      <c r="L71" s="934"/>
      <c r="M71" s="934"/>
      <c r="N71" s="929"/>
      <c r="O71" s="933" t="str">
        <f t="shared" si="1"/>
        <v/>
      </c>
    </row>
    <row r="72" spans="1:15" hidden="1">
      <c r="A72" s="1455"/>
      <c r="B72" s="1455"/>
      <c r="C72" s="145" t="str">
        <f t="shared" si="0"/>
        <v/>
      </c>
      <c r="D72" s="150"/>
      <c r="E72" s="923"/>
      <c r="F72" s="923"/>
      <c r="G72" s="934"/>
      <c r="H72" s="934"/>
      <c r="I72" s="934"/>
      <c r="J72" s="934"/>
      <c r="K72" s="934"/>
      <c r="L72" s="934"/>
      <c r="M72" s="934"/>
      <c r="N72" s="929"/>
      <c r="O72" s="933" t="str">
        <f t="shared" si="1"/>
        <v/>
      </c>
    </row>
    <row r="73" spans="1:15" hidden="1">
      <c r="A73" s="1455"/>
      <c r="B73" s="1455"/>
      <c r="C73" s="145" t="str">
        <f t="shared" si="0"/>
        <v/>
      </c>
      <c r="D73" s="150"/>
      <c r="E73" s="923"/>
      <c r="F73" s="923"/>
      <c r="G73" s="934"/>
      <c r="H73" s="934"/>
      <c r="I73" s="934"/>
      <c r="J73" s="934"/>
      <c r="K73" s="934"/>
      <c r="L73" s="934"/>
      <c r="M73" s="934"/>
      <c r="N73" s="929"/>
      <c r="O73" s="933" t="str">
        <f t="shared" si="1"/>
        <v/>
      </c>
    </row>
    <row r="74" spans="1:15" hidden="1">
      <c r="A74" s="1455"/>
      <c r="B74" s="1455"/>
      <c r="C74" s="145" t="str">
        <f t="shared" si="0"/>
        <v/>
      </c>
      <c r="D74" s="150"/>
      <c r="E74" s="923"/>
      <c r="F74" s="923"/>
      <c r="G74" s="934"/>
      <c r="H74" s="934"/>
      <c r="I74" s="934"/>
      <c r="J74" s="934"/>
      <c r="K74" s="934"/>
      <c r="L74" s="934"/>
      <c r="M74" s="934"/>
      <c r="N74" s="929"/>
      <c r="O74" s="933" t="str">
        <f t="shared" si="1"/>
        <v/>
      </c>
    </row>
    <row r="75" spans="1:15" hidden="1">
      <c r="A75" s="1455"/>
      <c r="B75" s="1455"/>
      <c r="C75" s="145" t="str">
        <f t="shared" si="0"/>
        <v/>
      </c>
      <c r="D75" s="150"/>
      <c r="E75" s="923"/>
      <c r="F75" s="923"/>
      <c r="G75" s="934"/>
      <c r="H75" s="934"/>
      <c r="I75" s="934"/>
      <c r="J75" s="934"/>
      <c r="K75" s="934"/>
      <c r="L75" s="934"/>
      <c r="M75" s="934"/>
      <c r="N75" s="929"/>
      <c r="O75" s="933" t="str">
        <f t="shared" si="1"/>
        <v/>
      </c>
    </row>
    <row r="76" spans="1:15" hidden="1">
      <c r="A76" s="1455"/>
      <c r="B76" s="1455"/>
      <c r="C76" s="145" t="str">
        <f t="shared" si="0"/>
        <v/>
      </c>
      <c r="D76" s="150"/>
      <c r="E76" s="923"/>
      <c r="F76" s="923"/>
      <c r="G76" s="934"/>
      <c r="H76" s="934"/>
      <c r="I76" s="934"/>
      <c r="J76" s="934"/>
      <c r="K76" s="934"/>
      <c r="L76" s="934"/>
      <c r="M76" s="934"/>
      <c r="N76" s="929"/>
      <c r="O76" s="933" t="str">
        <f t="shared" si="1"/>
        <v/>
      </c>
    </row>
    <row r="77" spans="1:15" hidden="1">
      <c r="A77" s="1455"/>
      <c r="B77" s="1455"/>
      <c r="C77" s="145" t="str">
        <f t="shared" si="0"/>
        <v/>
      </c>
      <c r="D77" s="150"/>
      <c r="E77" s="923"/>
      <c r="F77" s="923"/>
      <c r="G77" s="934"/>
      <c r="H77" s="934"/>
      <c r="I77" s="934"/>
      <c r="J77" s="934"/>
      <c r="K77" s="934"/>
      <c r="L77" s="934"/>
      <c r="M77" s="934"/>
      <c r="N77" s="929"/>
      <c r="O77" s="933" t="str">
        <f t="shared" si="1"/>
        <v/>
      </c>
    </row>
    <row r="78" spans="1:15" hidden="1">
      <c r="A78" s="1455"/>
      <c r="B78" s="1455"/>
      <c r="C78" s="145" t="str">
        <f t="shared" si="0"/>
        <v/>
      </c>
      <c r="D78" s="150"/>
      <c r="E78" s="923"/>
      <c r="F78" s="923"/>
      <c r="G78" s="934"/>
      <c r="H78" s="934"/>
      <c r="I78" s="934"/>
      <c r="J78" s="934"/>
      <c r="K78" s="934"/>
      <c r="L78" s="934"/>
      <c r="M78" s="934"/>
      <c r="N78" s="929"/>
      <c r="O78" s="933" t="str">
        <f t="shared" si="1"/>
        <v/>
      </c>
    </row>
    <row r="79" spans="1:15" hidden="1">
      <c r="A79" s="1455"/>
      <c r="B79" s="1455"/>
      <c r="C79" s="145" t="str">
        <f t="shared" si="0"/>
        <v/>
      </c>
      <c r="D79" s="150"/>
      <c r="E79" s="923"/>
      <c r="F79" s="923"/>
      <c r="G79" s="934"/>
      <c r="H79" s="934"/>
      <c r="I79" s="934"/>
      <c r="J79" s="934"/>
      <c r="K79" s="934"/>
      <c r="L79" s="934"/>
      <c r="M79" s="934"/>
      <c r="N79" s="929"/>
      <c r="O79" s="933" t="str">
        <f t="shared" si="1"/>
        <v/>
      </c>
    </row>
    <row r="80" spans="1:15" hidden="1">
      <c r="A80" s="1455"/>
      <c r="B80" s="1455"/>
      <c r="C80" s="145" t="str">
        <f t="shared" si="0"/>
        <v/>
      </c>
      <c r="D80" s="150"/>
      <c r="E80" s="923"/>
      <c r="F80" s="923"/>
      <c r="G80" s="934"/>
      <c r="H80" s="934"/>
      <c r="I80" s="934"/>
      <c r="J80" s="934"/>
      <c r="K80" s="934"/>
      <c r="L80" s="934"/>
      <c r="M80" s="934"/>
      <c r="N80" s="929"/>
      <c r="O80" s="933" t="str">
        <f t="shared" si="1"/>
        <v/>
      </c>
    </row>
    <row r="81" spans="1:15" hidden="1">
      <c r="A81" s="1455"/>
      <c r="B81" s="1455"/>
      <c r="C81" s="145" t="str">
        <f t="shared" ref="C81:C144" si="2">IF(A81&lt;&gt;"",ROW(),"")</f>
        <v/>
      </c>
      <c r="D81" s="150"/>
      <c r="E81" s="923"/>
      <c r="F81" s="923"/>
      <c r="G81" s="934"/>
      <c r="H81" s="934"/>
      <c r="I81" s="934"/>
      <c r="J81" s="934"/>
      <c r="K81" s="934"/>
      <c r="L81" s="934"/>
      <c r="M81" s="934"/>
      <c r="N81" s="929"/>
      <c r="O81" s="933" t="str">
        <f t="shared" ref="O81:O144" si="3">IF(A81&lt;&gt;"",A81,"")</f>
        <v/>
      </c>
    </row>
    <row r="82" spans="1:15" hidden="1">
      <c r="A82" s="1455"/>
      <c r="B82" s="1455"/>
      <c r="C82" s="145" t="str">
        <f t="shared" si="2"/>
        <v/>
      </c>
      <c r="D82" s="150"/>
      <c r="E82" s="923"/>
      <c r="F82" s="923"/>
      <c r="G82" s="934"/>
      <c r="H82" s="934"/>
      <c r="I82" s="934"/>
      <c r="J82" s="934"/>
      <c r="K82" s="934"/>
      <c r="L82" s="934"/>
      <c r="M82" s="934"/>
      <c r="N82" s="929"/>
      <c r="O82" s="933" t="str">
        <f t="shared" si="3"/>
        <v/>
      </c>
    </row>
    <row r="83" spans="1:15" hidden="1">
      <c r="A83" s="1455"/>
      <c r="B83" s="1455"/>
      <c r="C83" s="145" t="str">
        <f t="shared" si="2"/>
        <v/>
      </c>
      <c r="D83" s="150"/>
      <c r="E83" s="923"/>
      <c r="F83" s="923"/>
      <c r="G83" s="934"/>
      <c r="H83" s="934"/>
      <c r="I83" s="934"/>
      <c r="J83" s="934"/>
      <c r="K83" s="934"/>
      <c r="L83" s="934"/>
      <c r="M83" s="934"/>
      <c r="N83" s="929"/>
      <c r="O83" s="933" t="str">
        <f t="shared" si="3"/>
        <v/>
      </c>
    </row>
    <row r="84" spans="1:15" hidden="1">
      <c r="A84" s="1455"/>
      <c r="B84" s="1455"/>
      <c r="C84" s="145" t="str">
        <f t="shared" si="2"/>
        <v/>
      </c>
      <c r="D84" s="150"/>
      <c r="E84" s="923"/>
      <c r="F84" s="923"/>
      <c r="G84" s="934"/>
      <c r="H84" s="934"/>
      <c r="I84" s="934"/>
      <c r="J84" s="934"/>
      <c r="K84" s="934"/>
      <c r="L84" s="934"/>
      <c r="M84" s="934"/>
      <c r="N84" s="929"/>
      <c r="O84" s="933" t="str">
        <f t="shared" si="3"/>
        <v/>
      </c>
    </row>
    <row r="85" spans="1:15" hidden="1">
      <c r="A85" s="1455"/>
      <c r="B85" s="1455"/>
      <c r="C85" s="145" t="str">
        <f t="shared" si="2"/>
        <v/>
      </c>
      <c r="D85" s="150"/>
      <c r="E85" s="923"/>
      <c r="F85" s="923"/>
      <c r="G85" s="934"/>
      <c r="H85" s="934"/>
      <c r="I85" s="934"/>
      <c r="J85" s="934"/>
      <c r="K85" s="934"/>
      <c r="L85" s="934"/>
      <c r="M85" s="934"/>
      <c r="N85" s="929"/>
      <c r="O85" s="933" t="str">
        <f t="shared" si="3"/>
        <v/>
      </c>
    </row>
    <row r="86" spans="1:15" hidden="1">
      <c r="A86" s="1455"/>
      <c r="B86" s="1455"/>
      <c r="C86" s="145" t="str">
        <f t="shared" si="2"/>
        <v/>
      </c>
      <c r="D86" s="150"/>
      <c r="E86" s="923"/>
      <c r="F86" s="923"/>
      <c r="G86" s="934"/>
      <c r="H86" s="934"/>
      <c r="I86" s="934"/>
      <c r="J86" s="934"/>
      <c r="K86" s="934"/>
      <c r="L86" s="934"/>
      <c r="M86" s="934"/>
      <c r="N86" s="929"/>
      <c r="O86" s="933" t="str">
        <f t="shared" si="3"/>
        <v/>
      </c>
    </row>
    <row r="87" spans="1:15" hidden="1">
      <c r="A87" s="1455"/>
      <c r="B87" s="1455"/>
      <c r="C87" s="145" t="str">
        <f t="shared" si="2"/>
        <v/>
      </c>
      <c r="D87" s="150"/>
      <c r="E87" s="923"/>
      <c r="F87" s="923"/>
      <c r="G87" s="934"/>
      <c r="H87" s="934"/>
      <c r="I87" s="934"/>
      <c r="J87" s="934"/>
      <c r="K87" s="934"/>
      <c r="L87" s="934"/>
      <c r="M87" s="934"/>
      <c r="N87" s="929"/>
      <c r="O87" s="933" t="str">
        <f t="shared" si="3"/>
        <v/>
      </c>
    </row>
    <row r="88" spans="1:15" hidden="1">
      <c r="A88" s="1455"/>
      <c r="B88" s="1455"/>
      <c r="C88" s="145" t="str">
        <f t="shared" si="2"/>
        <v/>
      </c>
      <c r="D88" s="150"/>
      <c r="E88" s="923"/>
      <c r="F88" s="923"/>
      <c r="G88" s="934"/>
      <c r="H88" s="934"/>
      <c r="I88" s="934"/>
      <c r="J88" s="934"/>
      <c r="K88" s="934"/>
      <c r="L88" s="934"/>
      <c r="M88" s="934"/>
      <c r="N88" s="929"/>
      <c r="O88" s="933" t="str">
        <f t="shared" si="3"/>
        <v/>
      </c>
    </row>
    <row r="89" spans="1:15" hidden="1">
      <c r="A89" s="1455"/>
      <c r="B89" s="1455"/>
      <c r="C89" s="145" t="str">
        <f t="shared" si="2"/>
        <v/>
      </c>
      <c r="D89" s="150"/>
      <c r="E89" s="923"/>
      <c r="F89" s="923"/>
      <c r="G89" s="934"/>
      <c r="H89" s="934"/>
      <c r="I89" s="934"/>
      <c r="J89" s="934"/>
      <c r="K89" s="934"/>
      <c r="L89" s="934"/>
      <c r="M89" s="934"/>
      <c r="N89" s="929"/>
      <c r="O89" s="933" t="str">
        <f t="shared" si="3"/>
        <v/>
      </c>
    </row>
    <row r="90" spans="1:15" hidden="1">
      <c r="A90" s="1455"/>
      <c r="B90" s="1455"/>
      <c r="C90" s="145" t="str">
        <f t="shared" si="2"/>
        <v/>
      </c>
      <c r="D90" s="150"/>
      <c r="E90" s="923"/>
      <c r="F90" s="923"/>
      <c r="G90" s="934"/>
      <c r="H90" s="934"/>
      <c r="I90" s="934"/>
      <c r="J90" s="934"/>
      <c r="K90" s="934"/>
      <c r="L90" s="934"/>
      <c r="M90" s="934"/>
      <c r="N90" s="929"/>
      <c r="O90" s="933" t="str">
        <f t="shared" si="3"/>
        <v/>
      </c>
    </row>
    <row r="91" spans="1:15" hidden="1">
      <c r="A91" s="1455"/>
      <c r="B91" s="1455"/>
      <c r="C91" s="145" t="str">
        <f t="shared" si="2"/>
        <v/>
      </c>
      <c r="D91" s="150"/>
      <c r="E91" s="923"/>
      <c r="F91" s="923"/>
      <c r="G91" s="934"/>
      <c r="H91" s="934"/>
      <c r="I91" s="934"/>
      <c r="J91" s="934"/>
      <c r="K91" s="934"/>
      <c r="L91" s="934"/>
      <c r="M91" s="934"/>
      <c r="N91" s="929"/>
      <c r="O91" s="933" t="str">
        <f t="shared" si="3"/>
        <v/>
      </c>
    </row>
    <row r="92" spans="1:15" hidden="1">
      <c r="A92" s="1455"/>
      <c r="B92" s="1455"/>
      <c r="C92" s="145" t="str">
        <f t="shared" si="2"/>
        <v/>
      </c>
      <c r="D92" s="150"/>
      <c r="E92" s="923"/>
      <c r="F92" s="923"/>
      <c r="G92" s="934"/>
      <c r="H92" s="934"/>
      <c r="I92" s="934"/>
      <c r="J92" s="934"/>
      <c r="K92" s="934"/>
      <c r="L92" s="934"/>
      <c r="M92" s="934"/>
      <c r="N92" s="929"/>
      <c r="O92" s="933" t="str">
        <f t="shared" si="3"/>
        <v/>
      </c>
    </row>
    <row r="93" spans="1:15" hidden="1">
      <c r="A93" s="1455"/>
      <c r="B93" s="1455"/>
      <c r="C93" s="145" t="str">
        <f t="shared" si="2"/>
        <v/>
      </c>
      <c r="D93" s="150"/>
      <c r="E93" s="923"/>
      <c r="F93" s="923"/>
      <c r="G93" s="934"/>
      <c r="H93" s="934"/>
      <c r="I93" s="934"/>
      <c r="J93" s="934"/>
      <c r="K93" s="934"/>
      <c r="L93" s="934"/>
      <c r="M93" s="934"/>
      <c r="N93" s="929"/>
      <c r="O93" s="933" t="str">
        <f t="shared" si="3"/>
        <v/>
      </c>
    </row>
    <row r="94" spans="1:15" hidden="1">
      <c r="A94" s="1455"/>
      <c r="B94" s="1455"/>
      <c r="C94" s="145" t="str">
        <f t="shared" si="2"/>
        <v/>
      </c>
      <c r="D94" s="150"/>
      <c r="E94" s="923"/>
      <c r="F94" s="923"/>
      <c r="G94" s="934"/>
      <c r="H94" s="934"/>
      <c r="I94" s="934"/>
      <c r="J94" s="934"/>
      <c r="K94" s="934"/>
      <c r="L94" s="934"/>
      <c r="M94" s="934"/>
      <c r="N94" s="929"/>
      <c r="O94" s="933" t="str">
        <f t="shared" si="3"/>
        <v/>
      </c>
    </row>
    <row r="95" spans="1:15" hidden="1">
      <c r="A95" s="1455"/>
      <c r="B95" s="1455"/>
      <c r="C95" s="145" t="str">
        <f t="shared" si="2"/>
        <v/>
      </c>
      <c r="D95" s="150"/>
      <c r="E95" s="923"/>
      <c r="F95" s="923"/>
      <c r="G95" s="934"/>
      <c r="H95" s="934"/>
      <c r="I95" s="934"/>
      <c r="J95" s="934"/>
      <c r="K95" s="934"/>
      <c r="L95" s="934"/>
      <c r="M95" s="934"/>
      <c r="N95" s="929"/>
      <c r="O95" s="933" t="str">
        <f t="shared" si="3"/>
        <v/>
      </c>
    </row>
    <row r="96" spans="1:15" hidden="1">
      <c r="A96" s="1455"/>
      <c r="B96" s="1455"/>
      <c r="C96" s="145" t="str">
        <f t="shared" si="2"/>
        <v/>
      </c>
      <c r="D96" s="150"/>
      <c r="E96" s="923"/>
      <c r="F96" s="923"/>
      <c r="G96" s="934"/>
      <c r="H96" s="934"/>
      <c r="I96" s="934"/>
      <c r="J96" s="934"/>
      <c r="K96" s="934"/>
      <c r="L96" s="934"/>
      <c r="M96" s="934"/>
      <c r="N96" s="929"/>
      <c r="O96" s="933" t="str">
        <f t="shared" si="3"/>
        <v/>
      </c>
    </row>
    <row r="97" spans="1:15" hidden="1">
      <c r="A97" s="1455"/>
      <c r="B97" s="1455"/>
      <c r="C97" s="145" t="str">
        <f t="shared" si="2"/>
        <v/>
      </c>
      <c r="D97" s="150"/>
      <c r="E97" s="923"/>
      <c r="F97" s="923"/>
      <c r="G97" s="934"/>
      <c r="H97" s="934"/>
      <c r="I97" s="934"/>
      <c r="J97" s="934"/>
      <c r="K97" s="934"/>
      <c r="L97" s="934"/>
      <c r="M97" s="934"/>
      <c r="N97" s="929"/>
      <c r="O97" s="933" t="str">
        <f t="shared" si="3"/>
        <v/>
      </c>
    </row>
    <row r="98" spans="1:15" hidden="1">
      <c r="A98" s="1455"/>
      <c r="B98" s="1455"/>
      <c r="C98" s="145" t="str">
        <f t="shared" si="2"/>
        <v/>
      </c>
      <c r="D98" s="150"/>
      <c r="E98" s="923"/>
      <c r="F98" s="923"/>
      <c r="G98" s="934"/>
      <c r="H98" s="934"/>
      <c r="I98" s="934"/>
      <c r="J98" s="934"/>
      <c r="K98" s="934"/>
      <c r="L98" s="934"/>
      <c r="M98" s="934"/>
      <c r="N98" s="929"/>
      <c r="O98" s="933" t="str">
        <f t="shared" si="3"/>
        <v/>
      </c>
    </row>
    <row r="99" spans="1:15" hidden="1">
      <c r="A99" s="1455"/>
      <c r="B99" s="1455"/>
      <c r="C99" s="145" t="str">
        <f t="shared" si="2"/>
        <v/>
      </c>
      <c r="D99" s="150"/>
      <c r="E99" s="923"/>
      <c r="F99" s="923"/>
      <c r="G99" s="934"/>
      <c r="H99" s="934"/>
      <c r="I99" s="934"/>
      <c r="J99" s="934"/>
      <c r="K99" s="934"/>
      <c r="L99" s="934"/>
      <c r="M99" s="934"/>
      <c r="N99" s="929"/>
      <c r="O99" s="933" t="str">
        <f t="shared" si="3"/>
        <v/>
      </c>
    </row>
    <row r="100" spans="1:15" hidden="1">
      <c r="A100" s="1455"/>
      <c r="B100" s="1455"/>
      <c r="C100" s="145" t="str">
        <f t="shared" si="2"/>
        <v/>
      </c>
      <c r="D100" s="150"/>
      <c r="E100" s="923"/>
      <c r="F100" s="923"/>
      <c r="G100" s="934"/>
      <c r="H100" s="934"/>
      <c r="I100" s="934"/>
      <c r="J100" s="934"/>
      <c r="K100" s="934"/>
      <c r="L100" s="934"/>
      <c r="M100" s="934"/>
      <c r="N100" s="929"/>
      <c r="O100" s="933" t="str">
        <f t="shared" si="3"/>
        <v/>
      </c>
    </row>
    <row r="101" spans="1:15" hidden="1">
      <c r="A101" s="1455"/>
      <c r="B101" s="1455"/>
      <c r="C101" s="145" t="str">
        <f t="shared" si="2"/>
        <v/>
      </c>
      <c r="D101" s="150"/>
      <c r="E101" s="923"/>
      <c r="F101" s="923"/>
      <c r="G101" s="934"/>
      <c r="H101" s="934"/>
      <c r="I101" s="934"/>
      <c r="J101" s="934"/>
      <c r="K101" s="934"/>
      <c r="L101" s="934"/>
      <c r="M101" s="934"/>
      <c r="N101" s="929"/>
      <c r="O101" s="933" t="str">
        <f t="shared" si="3"/>
        <v/>
      </c>
    </row>
    <row r="102" spans="1:15" hidden="1">
      <c r="A102" s="1455"/>
      <c r="B102" s="1455"/>
      <c r="C102" s="145" t="str">
        <f t="shared" si="2"/>
        <v/>
      </c>
      <c r="D102" s="150"/>
      <c r="E102" s="923"/>
      <c r="F102" s="923"/>
      <c r="G102" s="934"/>
      <c r="H102" s="934"/>
      <c r="I102" s="934"/>
      <c r="J102" s="934"/>
      <c r="K102" s="934"/>
      <c r="L102" s="934"/>
      <c r="M102" s="934"/>
      <c r="N102" s="929"/>
      <c r="O102" s="933" t="str">
        <f t="shared" si="3"/>
        <v/>
      </c>
    </row>
    <row r="103" spans="1:15" hidden="1">
      <c r="A103" s="1455"/>
      <c r="B103" s="1455"/>
      <c r="C103" s="145" t="str">
        <f t="shared" si="2"/>
        <v/>
      </c>
      <c r="D103" s="150"/>
      <c r="E103" s="923"/>
      <c r="F103" s="923"/>
      <c r="G103" s="934"/>
      <c r="H103" s="934"/>
      <c r="I103" s="934"/>
      <c r="J103" s="934"/>
      <c r="K103" s="934"/>
      <c r="L103" s="934"/>
      <c r="M103" s="934"/>
      <c r="N103" s="929"/>
      <c r="O103" s="933" t="str">
        <f t="shared" si="3"/>
        <v/>
      </c>
    </row>
    <row r="104" spans="1:15" hidden="1">
      <c r="A104" s="1455"/>
      <c r="B104" s="1455"/>
      <c r="C104" s="145" t="str">
        <f t="shared" si="2"/>
        <v/>
      </c>
      <c r="D104" s="150"/>
      <c r="E104" s="923"/>
      <c r="F104" s="923"/>
      <c r="G104" s="934"/>
      <c r="H104" s="934"/>
      <c r="I104" s="934"/>
      <c r="J104" s="934"/>
      <c r="K104" s="934"/>
      <c r="L104" s="934"/>
      <c r="M104" s="934"/>
      <c r="N104" s="929"/>
      <c r="O104" s="933" t="str">
        <f t="shared" si="3"/>
        <v/>
      </c>
    </row>
    <row r="105" spans="1:15" hidden="1">
      <c r="A105" s="1455"/>
      <c r="B105" s="1455"/>
      <c r="C105" s="145" t="str">
        <f t="shared" si="2"/>
        <v/>
      </c>
      <c r="D105" s="150"/>
      <c r="E105" s="923"/>
      <c r="F105" s="923"/>
      <c r="G105" s="934"/>
      <c r="H105" s="934"/>
      <c r="I105" s="934"/>
      <c r="J105" s="934"/>
      <c r="K105" s="934"/>
      <c r="L105" s="934"/>
      <c r="M105" s="934"/>
      <c r="N105" s="929"/>
      <c r="O105" s="933" t="str">
        <f t="shared" si="3"/>
        <v/>
      </c>
    </row>
    <row r="106" spans="1:15" hidden="1">
      <c r="A106" s="1455"/>
      <c r="B106" s="1455"/>
      <c r="C106" s="145" t="str">
        <f t="shared" si="2"/>
        <v/>
      </c>
      <c r="D106" s="150"/>
      <c r="E106" s="923"/>
      <c r="F106" s="923"/>
      <c r="G106" s="934"/>
      <c r="H106" s="934"/>
      <c r="I106" s="934"/>
      <c r="J106" s="934"/>
      <c r="K106" s="934"/>
      <c r="L106" s="934"/>
      <c r="M106" s="934"/>
      <c r="N106" s="929"/>
      <c r="O106" s="933" t="str">
        <f t="shared" si="3"/>
        <v/>
      </c>
    </row>
    <row r="107" spans="1:15" hidden="1">
      <c r="A107" s="1455"/>
      <c r="B107" s="1455"/>
      <c r="C107" s="145" t="str">
        <f t="shared" si="2"/>
        <v/>
      </c>
      <c r="D107" s="150"/>
      <c r="E107" s="923"/>
      <c r="F107" s="923"/>
      <c r="G107" s="934"/>
      <c r="H107" s="934"/>
      <c r="I107" s="934"/>
      <c r="J107" s="934"/>
      <c r="K107" s="934"/>
      <c r="L107" s="934"/>
      <c r="M107" s="934"/>
      <c r="N107" s="929"/>
      <c r="O107" s="933" t="str">
        <f t="shared" si="3"/>
        <v/>
      </c>
    </row>
    <row r="108" spans="1:15" hidden="1">
      <c r="A108" s="1455"/>
      <c r="B108" s="1455"/>
      <c r="C108" s="145" t="str">
        <f t="shared" si="2"/>
        <v/>
      </c>
      <c r="D108" s="150"/>
      <c r="E108" s="923"/>
      <c r="F108" s="923"/>
      <c r="G108" s="934"/>
      <c r="H108" s="934"/>
      <c r="I108" s="934"/>
      <c r="J108" s="934"/>
      <c r="K108" s="934"/>
      <c r="L108" s="934"/>
      <c r="M108" s="934"/>
      <c r="N108" s="929"/>
      <c r="O108" s="933" t="str">
        <f t="shared" si="3"/>
        <v/>
      </c>
    </row>
    <row r="109" spans="1:15" hidden="1">
      <c r="A109" s="1455"/>
      <c r="B109" s="1455"/>
      <c r="C109" s="145" t="str">
        <f t="shared" si="2"/>
        <v/>
      </c>
      <c r="D109" s="150"/>
      <c r="E109" s="923"/>
      <c r="F109" s="923"/>
      <c r="G109" s="934"/>
      <c r="H109" s="934"/>
      <c r="I109" s="934"/>
      <c r="J109" s="934"/>
      <c r="K109" s="934"/>
      <c r="L109" s="934"/>
      <c r="M109" s="934"/>
      <c r="N109" s="929"/>
      <c r="O109" s="933" t="str">
        <f t="shared" si="3"/>
        <v/>
      </c>
    </row>
    <row r="110" spans="1:15" hidden="1">
      <c r="A110" s="1455"/>
      <c r="B110" s="1455"/>
      <c r="C110" s="145" t="str">
        <f t="shared" si="2"/>
        <v/>
      </c>
      <c r="D110" s="150"/>
      <c r="E110" s="923"/>
      <c r="F110" s="923"/>
      <c r="G110" s="934"/>
      <c r="H110" s="934"/>
      <c r="I110" s="934"/>
      <c r="J110" s="934"/>
      <c r="K110" s="934"/>
      <c r="L110" s="934"/>
      <c r="M110" s="934"/>
      <c r="N110" s="929"/>
      <c r="O110" s="933" t="str">
        <f t="shared" si="3"/>
        <v/>
      </c>
    </row>
    <row r="111" spans="1:15" hidden="1">
      <c r="A111" s="1455"/>
      <c r="B111" s="1455"/>
      <c r="C111" s="145" t="str">
        <f t="shared" si="2"/>
        <v/>
      </c>
      <c r="D111" s="150"/>
      <c r="E111" s="923"/>
      <c r="F111" s="923"/>
      <c r="G111" s="934"/>
      <c r="H111" s="934"/>
      <c r="I111" s="934"/>
      <c r="J111" s="934"/>
      <c r="K111" s="934"/>
      <c r="L111" s="934"/>
      <c r="M111" s="934"/>
      <c r="N111" s="929"/>
      <c r="O111" s="933" t="str">
        <f t="shared" si="3"/>
        <v/>
      </c>
    </row>
    <row r="112" spans="1:15" hidden="1">
      <c r="A112" s="1455"/>
      <c r="B112" s="1455"/>
      <c r="C112" s="145" t="str">
        <f t="shared" si="2"/>
        <v/>
      </c>
      <c r="D112" s="150"/>
      <c r="E112" s="923"/>
      <c r="F112" s="923"/>
      <c r="G112" s="934"/>
      <c r="H112" s="934"/>
      <c r="I112" s="934"/>
      <c r="J112" s="934"/>
      <c r="K112" s="934"/>
      <c r="L112" s="934"/>
      <c r="M112" s="934"/>
      <c r="N112" s="929"/>
      <c r="O112" s="933" t="str">
        <f t="shared" si="3"/>
        <v/>
      </c>
    </row>
    <row r="113" spans="1:15" hidden="1">
      <c r="A113" s="1455"/>
      <c r="B113" s="1455"/>
      <c r="C113" s="145" t="str">
        <f t="shared" si="2"/>
        <v/>
      </c>
      <c r="D113" s="150"/>
      <c r="E113" s="923"/>
      <c r="F113" s="923"/>
      <c r="G113" s="934"/>
      <c r="H113" s="934"/>
      <c r="I113" s="934"/>
      <c r="J113" s="934"/>
      <c r="K113" s="934"/>
      <c r="L113" s="934"/>
      <c r="M113" s="934"/>
      <c r="N113" s="929"/>
      <c r="O113" s="933" t="str">
        <f t="shared" si="3"/>
        <v/>
      </c>
    </row>
    <row r="114" spans="1:15" hidden="1">
      <c r="A114" s="1455"/>
      <c r="B114" s="1455"/>
      <c r="C114" s="145" t="str">
        <f t="shared" si="2"/>
        <v/>
      </c>
      <c r="D114" s="150"/>
      <c r="E114" s="923"/>
      <c r="F114" s="923"/>
      <c r="G114" s="934"/>
      <c r="H114" s="934"/>
      <c r="I114" s="934"/>
      <c r="J114" s="934"/>
      <c r="K114" s="934"/>
      <c r="L114" s="934"/>
      <c r="M114" s="934"/>
      <c r="N114" s="929"/>
      <c r="O114" s="933" t="str">
        <f t="shared" si="3"/>
        <v/>
      </c>
    </row>
    <row r="115" spans="1:15" hidden="1">
      <c r="A115" s="1455"/>
      <c r="B115" s="1455"/>
      <c r="C115" s="145" t="str">
        <f t="shared" si="2"/>
        <v/>
      </c>
      <c r="D115" s="150"/>
      <c r="E115" s="923"/>
      <c r="F115" s="923"/>
      <c r="G115" s="934"/>
      <c r="H115" s="934"/>
      <c r="I115" s="934"/>
      <c r="J115" s="934"/>
      <c r="K115" s="934"/>
      <c r="L115" s="934"/>
      <c r="M115" s="934"/>
      <c r="N115" s="929"/>
      <c r="O115" s="933" t="str">
        <f t="shared" si="3"/>
        <v/>
      </c>
    </row>
    <row r="116" spans="1:15" hidden="1">
      <c r="A116" s="1455"/>
      <c r="B116" s="1455"/>
      <c r="C116" s="145" t="str">
        <f t="shared" si="2"/>
        <v/>
      </c>
      <c r="D116" s="150"/>
      <c r="E116" s="923"/>
      <c r="F116" s="923"/>
      <c r="G116" s="934"/>
      <c r="H116" s="934"/>
      <c r="I116" s="934"/>
      <c r="J116" s="934"/>
      <c r="K116" s="934"/>
      <c r="L116" s="934"/>
      <c r="M116" s="934"/>
      <c r="N116" s="929"/>
      <c r="O116" s="933" t="str">
        <f t="shared" si="3"/>
        <v/>
      </c>
    </row>
    <row r="117" spans="1:15" hidden="1">
      <c r="A117" s="1455"/>
      <c r="B117" s="1455"/>
      <c r="C117" s="145" t="str">
        <f t="shared" si="2"/>
        <v/>
      </c>
      <c r="D117" s="150"/>
      <c r="E117" s="923"/>
      <c r="F117" s="923"/>
      <c r="G117" s="934"/>
      <c r="H117" s="934"/>
      <c r="I117" s="934"/>
      <c r="J117" s="934"/>
      <c r="K117" s="934"/>
      <c r="L117" s="934"/>
      <c r="M117" s="934"/>
      <c r="N117" s="929"/>
      <c r="O117" s="933" t="str">
        <f t="shared" si="3"/>
        <v/>
      </c>
    </row>
    <row r="118" spans="1:15" hidden="1">
      <c r="A118" s="1455"/>
      <c r="B118" s="1455"/>
      <c r="C118" s="145" t="str">
        <f t="shared" si="2"/>
        <v/>
      </c>
      <c r="D118" s="150"/>
      <c r="E118" s="923"/>
      <c r="F118" s="923"/>
      <c r="G118" s="934"/>
      <c r="H118" s="934"/>
      <c r="I118" s="934"/>
      <c r="J118" s="934"/>
      <c r="K118" s="934"/>
      <c r="L118" s="934"/>
      <c r="M118" s="934"/>
      <c r="N118" s="929"/>
      <c r="O118" s="933" t="str">
        <f t="shared" si="3"/>
        <v/>
      </c>
    </row>
    <row r="119" spans="1:15" hidden="1">
      <c r="A119" s="1455"/>
      <c r="B119" s="1455"/>
      <c r="C119" s="145" t="str">
        <f t="shared" si="2"/>
        <v/>
      </c>
      <c r="D119" s="150"/>
      <c r="E119" s="923"/>
      <c r="F119" s="923"/>
      <c r="G119" s="934"/>
      <c r="H119" s="934"/>
      <c r="I119" s="934"/>
      <c r="J119" s="934"/>
      <c r="K119" s="934"/>
      <c r="L119" s="934"/>
      <c r="M119" s="934"/>
      <c r="N119" s="929"/>
      <c r="O119" s="933" t="str">
        <f t="shared" si="3"/>
        <v/>
      </c>
    </row>
    <row r="120" spans="1:15" hidden="1">
      <c r="A120" s="1455"/>
      <c r="B120" s="1455"/>
      <c r="C120" s="145" t="str">
        <f t="shared" si="2"/>
        <v/>
      </c>
      <c r="D120" s="150"/>
      <c r="E120" s="923"/>
      <c r="F120" s="923"/>
      <c r="G120" s="934"/>
      <c r="H120" s="934"/>
      <c r="I120" s="934"/>
      <c r="J120" s="934"/>
      <c r="K120" s="934"/>
      <c r="L120" s="934"/>
      <c r="M120" s="934"/>
      <c r="N120" s="929"/>
      <c r="O120" s="933" t="str">
        <f t="shared" si="3"/>
        <v/>
      </c>
    </row>
    <row r="121" spans="1:15" hidden="1">
      <c r="A121" s="1455"/>
      <c r="B121" s="1455"/>
      <c r="C121" s="145" t="str">
        <f t="shared" si="2"/>
        <v/>
      </c>
      <c r="D121" s="150"/>
      <c r="E121" s="923"/>
      <c r="F121" s="923"/>
      <c r="G121" s="934"/>
      <c r="H121" s="934"/>
      <c r="I121" s="934"/>
      <c r="J121" s="934"/>
      <c r="K121" s="934"/>
      <c r="L121" s="934"/>
      <c r="M121" s="934"/>
      <c r="N121" s="929"/>
      <c r="O121" s="933" t="str">
        <f t="shared" si="3"/>
        <v/>
      </c>
    </row>
    <row r="122" spans="1:15" hidden="1">
      <c r="A122" s="1455"/>
      <c r="B122" s="1455"/>
      <c r="C122" s="145" t="str">
        <f t="shared" si="2"/>
        <v/>
      </c>
      <c r="D122" s="150"/>
      <c r="E122" s="923"/>
      <c r="F122" s="923"/>
      <c r="G122" s="934"/>
      <c r="H122" s="934"/>
      <c r="I122" s="934"/>
      <c r="J122" s="934"/>
      <c r="K122" s="934"/>
      <c r="L122" s="934"/>
      <c r="M122" s="934"/>
      <c r="N122" s="929"/>
      <c r="O122" s="933" t="str">
        <f t="shared" si="3"/>
        <v/>
      </c>
    </row>
    <row r="123" spans="1:15" hidden="1">
      <c r="A123" s="1455"/>
      <c r="B123" s="1455"/>
      <c r="C123" s="145" t="str">
        <f t="shared" si="2"/>
        <v/>
      </c>
      <c r="D123" s="150"/>
      <c r="E123" s="923"/>
      <c r="F123" s="923"/>
      <c r="G123" s="934"/>
      <c r="H123" s="934"/>
      <c r="I123" s="934"/>
      <c r="J123" s="934"/>
      <c r="K123" s="934"/>
      <c r="L123" s="934"/>
      <c r="M123" s="934"/>
      <c r="N123" s="929"/>
      <c r="O123" s="933" t="str">
        <f t="shared" si="3"/>
        <v/>
      </c>
    </row>
    <row r="124" spans="1:15" hidden="1">
      <c r="A124" s="1455"/>
      <c r="B124" s="1455"/>
      <c r="C124" s="145" t="str">
        <f t="shared" si="2"/>
        <v/>
      </c>
      <c r="D124" s="150"/>
      <c r="E124" s="923"/>
      <c r="F124" s="923"/>
      <c r="G124" s="934"/>
      <c r="H124" s="934"/>
      <c r="I124" s="934"/>
      <c r="J124" s="934"/>
      <c r="K124" s="934"/>
      <c r="L124" s="934"/>
      <c r="M124" s="934"/>
      <c r="N124" s="929"/>
      <c r="O124" s="933" t="str">
        <f t="shared" si="3"/>
        <v/>
      </c>
    </row>
    <row r="125" spans="1:15" hidden="1">
      <c r="A125" s="1455"/>
      <c r="B125" s="1455"/>
      <c r="C125" s="145" t="str">
        <f t="shared" si="2"/>
        <v/>
      </c>
      <c r="D125" s="150"/>
      <c r="E125" s="923"/>
      <c r="F125" s="923"/>
      <c r="G125" s="934"/>
      <c r="H125" s="934"/>
      <c r="I125" s="934"/>
      <c r="J125" s="934"/>
      <c r="K125" s="934"/>
      <c r="L125" s="934"/>
      <c r="M125" s="934"/>
      <c r="N125" s="929"/>
      <c r="O125" s="933" t="str">
        <f t="shared" si="3"/>
        <v/>
      </c>
    </row>
    <row r="126" spans="1:15" hidden="1">
      <c r="A126" s="1455"/>
      <c r="B126" s="1455"/>
      <c r="C126" s="145" t="str">
        <f t="shared" si="2"/>
        <v/>
      </c>
      <c r="D126" s="150"/>
      <c r="E126" s="923"/>
      <c r="F126" s="923"/>
      <c r="G126" s="934"/>
      <c r="H126" s="934"/>
      <c r="I126" s="934"/>
      <c r="J126" s="934"/>
      <c r="K126" s="934"/>
      <c r="L126" s="934"/>
      <c r="M126" s="934"/>
      <c r="N126" s="929"/>
      <c r="O126" s="933" t="str">
        <f t="shared" si="3"/>
        <v/>
      </c>
    </row>
    <row r="127" spans="1:15" hidden="1">
      <c r="A127" s="1455"/>
      <c r="B127" s="1455"/>
      <c r="C127" s="145" t="str">
        <f t="shared" si="2"/>
        <v/>
      </c>
      <c r="D127" s="150"/>
      <c r="E127" s="923"/>
      <c r="F127" s="923"/>
      <c r="G127" s="934"/>
      <c r="H127" s="934"/>
      <c r="I127" s="934"/>
      <c r="J127" s="934"/>
      <c r="K127" s="934"/>
      <c r="L127" s="934"/>
      <c r="M127" s="934"/>
      <c r="N127" s="929"/>
      <c r="O127" s="933" t="str">
        <f t="shared" si="3"/>
        <v/>
      </c>
    </row>
    <row r="128" spans="1:15" hidden="1">
      <c r="A128" s="1455"/>
      <c r="B128" s="1455"/>
      <c r="C128" s="145" t="str">
        <f t="shared" si="2"/>
        <v/>
      </c>
      <c r="D128" s="150"/>
      <c r="E128" s="923"/>
      <c r="F128" s="923"/>
      <c r="G128" s="934"/>
      <c r="H128" s="934"/>
      <c r="I128" s="934"/>
      <c r="J128" s="934"/>
      <c r="K128" s="934"/>
      <c r="L128" s="934"/>
      <c r="M128" s="934"/>
      <c r="N128" s="929"/>
      <c r="O128" s="933" t="str">
        <f t="shared" si="3"/>
        <v/>
      </c>
    </row>
    <row r="129" spans="1:15" hidden="1">
      <c r="A129" s="1455"/>
      <c r="B129" s="1455"/>
      <c r="C129" s="145" t="str">
        <f t="shared" si="2"/>
        <v/>
      </c>
      <c r="D129" s="150"/>
      <c r="E129" s="923"/>
      <c r="F129" s="923"/>
      <c r="G129" s="934"/>
      <c r="H129" s="934"/>
      <c r="I129" s="934"/>
      <c r="J129" s="934"/>
      <c r="K129" s="934"/>
      <c r="L129" s="934"/>
      <c r="M129" s="934"/>
      <c r="N129" s="929"/>
      <c r="O129" s="933" t="str">
        <f t="shared" si="3"/>
        <v/>
      </c>
    </row>
    <row r="130" spans="1:15" hidden="1">
      <c r="A130" s="1455"/>
      <c r="B130" s="1455"/>
      <c r="C130" s="145" t="str">
        <f t="shared" si="2"/>
        <v/>
      </c>
      <c r="D130" s="150"/>
      <c r="E130" s="923"/>
      <c r="F130" s="923"/>
      <c r="G130" s="934"/>
      <c r="H130" s="934"/>
      <c r="I130" s="934"/>
      <c r="J130" s="934"/>
      <c r="K130" s="934"/>
      <c r="L130" s="934"/>
      <c r="M130" s="934"/>
      <c r="N130" s="929"/>
      <c r="O130" s="933" t="str">
        <f t="shared" si="3"/>
        <v/>
      </c>
    </row>
    <row r="131" spans="1:15" hidden="1">
      <c r="A131" s="1455"/>
      <c r="B131" s="1455"/>
      <c r="C131" s="145" t="str">
        <f t="shared" si="2"/>
        <v/>
      </c>
      <c r="D131" s="150"/>
      <c r="E131" s="923"/>
      <c r="F131" s="923"/>
      <c r="G131" s="934"/>
      <c r="H131" s="934"/>
      <c r="I131" s="934"/>
      <c r="J131" s="934"/>
      <c r="K131" s="934"/>
      <c r="L131" s="934"/>
      <c r="M131" s="934"/>
      <c r="N131" s="929"/>
      <c r="O131" s="933" t="str">
        <f t="shared" si="3"/>
        <v/>
      </c>
    </row>
    <row r="132" spans="1:15" hidden="1">
      <c r="A132" s="1455"/>
      <c r="B132" s="1455"/>
      <c r="C132" s="145" t="str">
        <f t="shared" si="2"/>
        <v/>
      </c>
      <c r="D132" s="150"/>
      <c r="E132" s="923"/>
      <c r="F132" s="923"/>
      <c r="G132" s="934"/>
      <c r="H132" s="934"/>
      <c r="I132" s="934"/>
      <c r="J132" s="934"/>
      <c r="K132" s="934"/>
      <c r="L132" s="934"/>
      <c r="M132" s="934"/>
      <c r="N132" s="929"/>
      <c r="O132" s="933" t="str">
        <f t="shared" si="3"/>
        <v/>
      </c>
    </row>
    <row r="133" spans="1:15" hidden="1">
      <c r="A133" s="1455"/>
      <c r="B133" s="1455"/>
      <c r="C133" s="145" t="str">
        <f t="shared" si="2"/>
        <v/>
      </c>
      <c r="D133" s="150"/>
      <c r="E133" s="923"/>
      <c r="F133" s="923"/>
      <c r="G133" s="934"/>
      <c r="H133" s="934"/>
      <c r="I133" s="934"/>
      <c r="J133" s="934"/>
      <c r="K133" s="934"/>
      <c r="L133" s="934"/>
      <c r="M133" s="934"/>
      <c r="N133" s="929"/>
      <c r="O133" s="933" t="str">
        <f t="shared" si="3"/>
        <v/>
      </c>
    </row>
    <row r="134" spans="1:15" hidden="1">
      <c r="A134" s="1455"/>
      <c r="B134" s="1455"/>
      <c r="C134" s="145" t="str">
        <f t="shared" si="2"/>
        <v/>
      </c>
      <c r="D134" s="150"/>
      <c r="E134" s="923"/>
      <c r="F134" s="923"/>
      <c r="G134" s="934"/>
      <c r="H134" s="934"/>
      <c r="I134" s="934"/>
      <c r="J134" s="934"/>
      <c r="K134" s="934"/>
      <c r="L134" s="934"/>
      <c r="M134" s="934"/>
      <c r="N134" s="929"/>
      <c r="O134" s="933" t="str">
        <f t="shared" si="3"/>
        <v/>
      </c>
    </row>
    <row r="135" spans="1:15" hidden="1">
      <c r="A135" s="1455"/>
      <c r="B135" s="1455"/>
      <c r="C135" s="145" t="str">
        <f t="shared" si="2"/>
        <v/>
      </c>
      <c r="D135" s="150"/>
      <c r="E135" s="923"/>
      <c r="F135" s="923"/>
      <c r="G135" s="934"/>
      <c r="H135" s="934"/>
      <c r="I135" s="934"/>
      <c r="J135" s="934"/>
      <c r="K135" s="934"/>
      <c r="L135" s="934"/>
      <c r="M135" s="934"/>
      <c r="N135" s="929"/>
      <c r="O135" s="933" t="str">
        <f t="shared" si="3"/>
        <v/>
      </c>
    </row>
    <row r="136" spans="1:15" hidden="1">
      <c r="A136" s="1455"/>
      <c r="B136" s="1455"/>
      <c r="C136" s="145" t="str">
        <f t="shared" si="2"/>
        <v/>
      </c>
      <c r="D136" s="150"/>
      <c r="E136" s="923"/>
      <c r="F136" s="923"/>
      <c r="G136" s="934"/>
      <c r="H136" s="934"/>
      <c r="I136" s="934"/>
      <c r="J136" s="934"/>
      <c r="K136" s="934"/>
      <c r="L136" s="934"/>
      <c r="M136" s="934"/>
      <c r="N136" s="929"/>
      <c r="O136" s="933" t="str">
        <f t="shared" si="3"/>
        <v/>
      </c>
    </row>
    <row r="137" spans="1:15" hidden="1">
      <c r="A137" s="1455"/>
      <c r="B137" s="1455"/>
      <c r="C137" s="145" t="str">
        <f t="shared" si="2"/>
        <v/>
      </c>
      <c r="D137" s="150"/>
      <c r="E137" s="923"/>
      <c r="F137" s="923"/>
      <c r="G137" s="934"/>
      <c r="H137" s="934"/>
      <c r="I137" s="934"/>
      <c r="J137" s="934"/>
      <c r="K137" s="934"/>
      <c r="L137" s="934"/>
      <c r="M137" s="934"/>
      <c r="N137" s="929"/>
      <c r="O137" s="933" t="str">
        <f t="shared" si="3"/>
        <v/>
      </c>
    </row>
    <row r="138" spans="1:15" hidden="1">
      <c r="A138" s="1455"/>
      <c r="B138" s="1455"/>
      <c r="C138" s="145" t="str">
        <f t="shared" si="2"/>
        <v/>
      </c>
      <c r="D138" s="150"/>
      <c r="E138" s="923"/>
      <c r="F138" s="923"/>
      <c r="G138" s="934"/>
      <c r="H138" s="934"/>
      <c r="I138" s="934"/>
      <c r="J138" s="934"/>
      <c r="K138" s="934"/>
      <c r="L138" s="934"/>
      <c r="M138" s="934"/>
      <c r="N138" s="929"/>
      <c r="O138" s="933" t="str">
        <f t="shared" si="3"/>
        <v/>
      </c>
    </row>
    <row r="139" spans="1:15" hidden="1">
      <c r="A139" s="1455"/>
      <c r="B139" s="1455"/>
      <c r="C139" s="145" t="str">
        <f t="shared" si="2"/>
        <v/>
      </c>
      <c r="D139" s="150"/>
      <c r="E139" s="923"/>
      <c r="F139" s="923"/>
      <c r="G139" s="934"/>
      <c r="H139" s="934"/>
      <c r="I139" s="934"/>
      <c r="J139" s="934"/>
      <c r="K139" s="934"/>
      <c r="L139" s="934"/>
      <c r="M139" s="934"/>
      <c r="N139" s="929"/>
      <c r="O139" s="933" t="str">
        <f t="shared" si="3"/>
        <v/>
      </c>
    </row>
    <row r="140" spans="1:15" hidden="1">
      <c r="A140" s="1455"/>
      <c r="B140" s="1455"/>
      <c r="C140" s="145" t="str">
        <f t="shared" si="2"/>
        <v/>
      </c>
      <c r="D140" s="150"/>
      <c r="E140" s="923"/>
      <c r="F140" s="923"/>
      <c r="G140" s="934"/>
      <c r="H140" s="934"/>
      <c r="I140" s="934"/>
      <c r="J140" s="934"/>
      <c r="K140" s="934"/>
      <c r="L140" s="934"/>
      <c r="M140" s="934"/>
      <c r="N140" s="929"/>
      <c r="O140" s="933" t="str">
        <f t="shared" si="3"/>
        <v/>
      </c>
    </row>
    <row r="141" spans="1:15" hidden="1">
      <c r="A141" s="1455"/>
      <c r="B141" s="1455"/>
      <c r="C141" s="145" t="str">
        <f t="shared" si="2"/>
        <v/>
      </c>
      <c r="D141" s="150"/>
      <c r="E141" s="923"/>
      <c r="F141" s="923"/>
      <c r="G141" s="934"/>
      <c r="H141" s="934"/>
      <c r="I141" s="934"/>
      <c r="J141" s="934"/>
      <c r="K141" s="934"/>
      <c r="L141" s="934"/>
      <c r="M141" s="934"/>
      <c r="N141" s="929"/>
      <c r="O141" s="933" t="str">
        <f t="shared" si="3"/>
        <v/>
      </c>
    </row>
    <row r="142" spans="1:15" hidden="1">
      <c r="A142" s="1455"/>
      <c r="B142" s="1455"/>
      <c r="C142" s="145" t="str">
        <f t="shared" si="2"/>
        <v/>
      </c>
      <c r="D142" s="150"/>
      <c r="E142" s="923"/>
      <c r="F142" s="923"/>
      <c r="G142" s="934"/>
      <c r="H142" s="934"/>
      <c r="I142" s="934"/>
      <c r="J142" s="934"/>
      <c r="K142" s="934"/>
      <c r="L142" s="934"/>
      <c r="M142" s="934"/>
      <c r="N142" s="929"/>
      <c r="O142" s="933" t="str">
        <f t="shared" si="3"/>
        <v/>
      </c>
    </row>
    <row r="143" spans="1:15" hidden="1">
      <c r="A143" s="1455"/>
      <c r="B143" s="1455"/>
      <c r="C143" s="145" t="str">
        <f t="shared" si="2"/>
        <v/>
      </c>
      <c r="D143" s="150"/>
      <c r="E143" s="923"/>
      <c r="F143" s="923"/>
      <c r="G143" s="934"/>
      <c r="H143" s="934"/>
      <c r="I143" s="934"/>
      <c r="J143" s="934"/>
      <c r="K143" s="934"/>
      <c r="L143" s="934"/>
      <c r="M143" s="934"/>
      <c r="N143" s="929"/>
      <c r="O143" s="933" t="str">
        <f t="shared" si="3"/>
        <v/>
      </c>
    </row>
    <row r="144" spans="1:15" hidden="1">
      <c r="A144" s="1455"/>
      <c r="B144" s="1455"/>
      <c r="C144" s="145" t="str">
        <f t="shared" si="2"/>
        <v/>
      </c>
      <c r="D144" s="150"/>
      <c r="E144" s="923"/>
      <c r="F144" s="923"/>
      <c r="G144" s="934"/>
      <c r="H144" s="934"/>
      <c r="I144" s="934"/>
      <c r="J144" s="934"/>
      <c r="K144" s="934"/>
      <c r="L144" s="934"/>
      <c r="M144" s="934"/>
      <c r="N144" s="929"/>
      <c r="O144" s="933" t="str">
        <f t="shared" si="3"/>
        <v/>
      </c>
    </row>
    <row r="145" spans="1:15" hidden="1">
      <c r="A145" s="1455"/>
      <c r="B145" s="1455"/>
      <c r="C145" s="145" t="str">
        <f t="shared" ref="C145:C208" si="4">IF(A145&lt;&gt;"",ROW(),"")</f>
        <v/>
      </c>
      <c r="D145" s="150"/>
      <c r="E145" s="923"/>
      <c r="F145" s="923"/>
      <c r="G145" s="934"/>
      <c r="H145" s="934"/>
      <c r="I145" s="934"/>
      <c r="J145" s="934"/>
      <c r="K145" s="934"/>
      <c r="L145" s="934"/>
      <c r="M145" s="934"/>
      <c r="N145" s="929"/>
      <c r="O145" s="933" t="str">
        <f t="shared" ref="O145:O208" si="5">IF(A145&lt;&gt;"",A145,"")</f>
        <v/>
      </c>
    </row>
    <row r="146" spans="1:15" hidden="1">
      <c r="A146" s="1455"/>
      <c r="B146" s="1455"/>
      <c r="C146" s="145" t="str">
        <f t="shared" si="4"/>
        <v/>
      </c>
      <c r="D146" s="150"/>
      <c r="E146" s="923"/>
      <c r="F146" s="923"/>
      <c r="G146" s="934"/>
      <c r="H146" s="934"/>
      <c r="I146" s="934"/>
      <c r="J146" s="934"/>
      <c r="K146" s="934"/>
      <c r="L146" s="934"/>
      <c r="M146" s="934"/>
      <c r="N146" s="929"/>
      <c r="O146" s="933" t="str">
        <f t="shared" si="5"/>
        <v/>
      </c>
    </row>
    <row r="147" spans="1:15" hidden="1">
      <c r="A147" s="1455"/>
      <c r="B147" s="1455"/>
      <c r="C147" s="145" t="str">
        <f t="shared" si="4"/>
        <v/>
      </c>
      <c r="D147" s="150"/>
      <c r="E147" s="923"/>
      <c r="F147" s="923"/>
      <c r="G147" s="934"/>
      <c r="H147" s="934"/>
      <c r="I147" s="934"/>
      <c r="J147" s="934"/>
      <c r="K147" s="934"/>
      <c r="L147" s="934"/>
      <c r="M147" s="934"/>
      <c r="N147" s="929"/>
      <c r="O147" s="933" t="str">
        <f t="shared" si="5"/>
        <v/>
      </c>
    </row>
    <row r="148" spans="1:15" hidden="1">
      <c r="A148" s="1455"/>
      <c r="B148" s="1455"/>
      <c r="C148" s="145" t="str">
        <f t="shared" si="4"/>
        <v/>
      </c>
      <c r="D148" s="150"/>
      <c r="E148" s="923"/>
      <c r="F148" s="923"/>
      <c r="G148" s="934"/>
      <c r="H148" s="934"/>
      <c r="I148" s="934"/>
      <c r="J148" s="934"/>
      <c r="K148" s="934"/>
      <c r="L148" s="934"/>
      <c r="M148" s="934"/>
      <c r="N148" s="929"/>
      <c r="O148" s="933" t="str">
        <f t="shared" si="5"/>
        <v/>
      </c>
    </row>
    <row r="149" spans="1:15" hidden="1">
      <c r="A149" s="1455"/>
      <c r="B149" s="1455"/>
      <c r="C149" s="145" t="str">
        <f t="shared" si="4"/>
        <v/>
      </c>
      <c r="D149" s="150"/>
      <c r="E149" s="923"/>
      <c r="F149" s="923"/>
      <c r="G149" s="934"/>
      <c r="H149" s="934"/>
      <c r="I149" s="934"/>
      <c r="J149" s="934"/>
      <c r="K149" s="934"/>
      <c r="L149" s="934"/>
      <c r="M149" s="934"/>
      <c r="N149" s="929"/>
      <c r="O149" s="933" t="str">
        <f t="shared" si="5"/>
        <v/>
      </c>
    </row>
    <row r="150" spans="1:15" hidden="1">
      <c r="A150" s="1455"/>
      <c r="B150" s="1455"/>
      <c r="C150" s="145" t="str">
        <f t="shared" si="4"/>
        <v/>
      </c>
      <c r="D150" s="150"/>
      <c r="E150" s="923"/>
      <c r="F150" s="923"/>
      <c r="G150" s="934"/>
      <c r="H150" s="934"/>
      <c r="I150" s="934"/>
      <c r="J150" s="934"/>
      <c r="K150" s="934"/>
      <c r="L150" s="934"/>
      <c r="M150" s="934"/>
      <c r="N150" s="929"/>
      <c r="O150" s="933" t="str">
        <f t="shared" si="5"/>
        <v/>
      </c>
    </row>
    <row r="151" spans="1:15" hidden="1">
      <c r="A151" s="1455"/>
      <c r="B151" s="1455"/>
      <c r="C151" s="145" t="str">
        <f t="shared" si="4"/>
        <v/>
      </c>
      <c r="D151" s="150"/>
      <c r="E151" s="923"/>
      <c r="F151" s="923"/>
      <c r="G151" s="934"/>
      <c r="H151" s="934"/>
      <c r="I151" s="934"/>
      <c r="J151" s="934"/>
      <c r="K151" s="934"/>
      <c r="L151" s="934"/>
      <c r="M151" s="934"/>
      <c r="N151" s="929"/>
      <c r="O151" s="933" t="str">
        <f t="shared" si="5"/>
        <v/>
      </c>
    </row>
    <row r="152" spans="1:15" hidden="1">
      <c r="A152" s="1455"/>
      <c r="B152" s="1455"/>
      <c r="C152" s="145" t="str">
        <f t="shared" si="4"/>
        <v/>
      </c>
      <c r="D152" s="150"/>
      <c r="E152" s="923"/>
      <c r="F152" s="923"/>
      <c r="G152" s="934"/>
      <c r="H152" s="934"/>
      <c r="I152" s="934"/>
      <c r="J152" s="934"/>
      <c r="K152" s="934"/>
      <c r="L152" s="934"/>
      <c r="M152" s="934"/>
      <c r="N152" s="929"/>
      <c r="O152" s="933" t="str">
        <f t="shared" si="5"/>
        <v/>
      </c>
    </row>
    <row r="153" spans="1:15" hidden="1">
      <c r="A153" s="1455"/>
      <c r="B153" s="1455"/>
      <c r="C153" s="145" t="str">
        <f t="shared" si="4"/>
        <v/>
      </c>
      <c r="D153" s="150"/>
      <c r="E153" s="923"/>
      <c r="F153" s="923"/>
      <c r="G153" s="934"/>
      <c r="H153" s="934"/>
      <c r="I153" s="934"/>
      <c r="J153" s="934"/>
      <c r="K153" s="934"/>
      <c r="L153" s="934"/>
      <c r="M153" s="934"/>
      <c r="N153" s="929"/>
      <c r="O153" s="933" t="str">
        <f t="shared" si="5"/>
        <v/>
      </c>
    </row>
    <row r="154" spans="1:15" hidden="1">
      <c r="A154" s="1455"/>
      <c r="B154" s="1455"/>
      <c r="C154" s="145" t="str">
        <f t="shared" si="4"/>
        <v/>
      </c>
      <c r="D154" s="150"/>
      <c r="E154" s="923"/>
      <c r="F154" s="923"/>
      <c r="G154" s="934"/>
      <c r="H154" s="934"/>
      <c r="I154" s="934"/>
      <c r="J154" s="934"/>
      <c r="K154" s="934"/>
      <c r="L154" s="934"/>
      <c r="M154" s="934"/>
      <c r="N154" s="929"/>
      <c r="O154" s="933" t="str">
        <f t="shared" si="5"/>
        <v/>
      </c>
    </row>
    <row r="155" spans="1:15" hidden="1">
      <c r="A155" s="1455"/>
      <c r="B155" s="1455"/>
      <c r="C155" s="145" t="str">
        <f t="shared" si="4"/>
        <v/>
      </c>
      <c r="D155" s="150"/>
      <c r="E155" s="923"/>
      <c r="F155" s="923"/>
      <c r="G155" s="934"/>
      <c r="H155" s="934"/>
      <c r="I155" s="934"/>
      <c r="J155" s="934"/>
      <c r="K155" s="934"/>
      <c r="L155" s="934"/>
      <c r="M155" s="934"/>
      <c r="N155" s="929"/>
      <c r="O155" s="933" t="str">
        <f t="shared" si="5"/>
        <v/>
      </c>
    </row>
    <row r="156" spans="1:15" hidden="1">
      <c r="A156" s="1455"/>
      <c r="B156" s="1455"/>
      <c r="C156" s="145" t="str">
        <f t="shared" si="4"/>
        <v/>
      </c>
      <c r="D156" s="150"/>
      <c r="E156" s="923"/>
      <c r="F156" s="923"/>
      <c r="G156" s="934"/>
      <c r="H156" s="934"/>
      <c r="I156" s="934"/>
      <c r="J156" s="934"/>
      <c r="K156" s="934"/>
      <c r="L156" s="934"/>
      <c r="M156" s="934"/>
      <c r="N156" s="929"/>
      <c r="O156" s="933" t="str">
        <f t="shared" si="5"/>
        <v/>
      </c>
    </row>
    <row r="157" spans="1:15" hidden="1">
      <c r="A157" s="1455"/>
      <c r="B157" s="1455"/>
      <c r="C157" s="145" t="str">
        <f t="shared" si="4"/>
        <v/>
      </c>
      <c r="D157" s="150"/>
      <c r="E157" s="923"/>
      <c r="F157" s="923"/>
      <c r="G157" s="934"/>
      <c r="H157" s="934"/>
      <c r="I157" s="934"/>
      <c r="J157" s="934"/>
      <c r="K157" s="934"/>
      <c r="L157" s="934"/>
      <c r="M157" s="934"/>
      <c r="N157" s="929"/>
      <c r="O157" s="933" t="str">
        <f t="shared" si="5"/>
        <v/>
      </c>
    </row>
    <row r="158" spans="1:15" hidden="1">
      <c r="A158" s="1455"/>
      <c r="B158" s="1455"/>
      <c r="C158" s="145" t="str">
        <f t="shared" si="4"/>
        <v/>
      </c>
      <c r="D158" s="150"/>
      <c r="E158" s="923"/>
      <c r="F158" s="923"/>
      <c r="G158" s="934"/>
      <c r="H158" s="934"/>
      <c r="I158" s="934"/>
      <c r="J158" s="934"/>
      <c r="K158" s="934"/>
      <c r="L158" s="934"/>
      <c r="M158" s="934"/>
      <c r="N158" s="929"/>
      <c r="O158" s="933" t="str">
        <f t="shared" si="5"/>
        <v/>
      </c>
    </row>
    <row r="159" spans="1:15" hidden="1">
      <c r="A159" s="1455"/>
      <c r="B159" s="1455"/>
      <c r="C159" s="145" t="str">
        <f t="shared" si="4"/>
        <v/>
      </c>
      <c r="D159" s="150"/>
      <c r="E159" s="923"/>
      <c r="F159" s="923"/>
      <c r="G159" s="934"/>
      <c r="H159" s="934"/>
      <c r="I159" s="934"/>
      <c r="J159" s="934"/>
      <c r="K159" s="934"/>
      <c r="L159" s="934"/>
      <c r="M159" s="934"/>
      <c r="N159" s="929"/>
      <c r="O159" s="933" t="str">
        <f t="shared" si="5"/>
        <v/>
      </c>
    </row>
    <row r="160" spans="1:15" hidden="1">
      <c r="A160" s="1455"/>
      <c r="B160" s="1455"/>
      <c r="C160" s="145" t="str">
        <f t="shared" si="4"/>
        <v/>
      </c>
      <c r="D160" s="150"/>
      <c r="E160" s="923"/>
      <c r="F160" s="923"/>
      <c r="G160" s="934"/>
      <c r="H160" s="934"/>
      <c r="I160" s="934"/>
      <c r="J160" s="934"/>
      <c r="K160" s="934"/>
      <c r="L160" s="934"/>
      <c r="M160" s="934"/>
      <c r="N160" s="929"/>
      <c r="O160" s="933" t="str">
        <f t="shared" si="5"/>
        <v/>
      </c>
    </row>
    <row r="161" spans="1:15" hidden="1">
      <c r="A161" s="1455"/>
      <c r="B161" s="1455"/>
      <c r="C161" s="145" t="str">
        <f t="shared" si="4"/>
        <v/>
      </c>
      <c r="D161" s="150"/>
      <c r="E161" s="923"/>
      <c r="F161" s="923"/>
      <c r="G161" s="934"/>
      <c r="H161" s="934"/>
      <c r="I161" s="934"/>
      <c r="J161" s="934"/>
      <c r="K161" s="934"/>
      <c r="L161" s="934"/>
      <c r="M161" s="934"/>
      <c r="N161" s="929"/>
      <c r="O161" s="933" t="str">
        <f t="shared" si="5"/>
        <v/>
      </c>
    </row>
    <row r="162" spans="1:15" hidden="1">
      <c r="A162" s="1455"/>
      <c r="B162" s="1455"/>
      <c r="C162" s="145" t="str">
        <f t="shared" si="4"/>
        <v/>
      </c>
      <c r="D162" s="150"/>
      <c r="E162" s="923"/>
      <c r="F162" s="923"/>
      <c r="G162" s="934"/>
      <c r="H162" s="934"/>
      <c r="I162" s="934"/>
      <c r="J162" s="934"/>
      <c r="K162" s="934"/>
      <c r="L162" s="934"/>
      <c r="M162" s="934"/>
      <c r="N162" s="929"/>
      <c r="O162" s="933" t="str">
        <f t="shared" si="5"/>
        <v/>
      </c>
    </row>
    <row r="163" spans="1:15" hidden="1">
      <c r="A163" s="1455"/>
      <c r="B163" s="1455"/>
      <c r="C163" s="145" t="str">
        <f t="shared" si="4"/>
        <v/>
      </c>
      <c r="D163" s="150"/>
      <c r="E163" s="923"/>
      <c r="F163" s="923"/>
      <c r="G163" s="934"/>
      <c r="H163" s="934"/>
      <c r="I163" s="934"/>
      <c r="J163" s="934"/>
      <c r="K163" s="934"/>
      <c r="L163" s="934"/>
      <c r="M163" s="934"/>
      <c r="N163" s="929"/>
      <c r="O163" s="933" t="str">
        <f t="shared" si="5"/>
        <v/>
      </c>
    </row>
    <row r="164" spans="1:15" hidden="1">
      <c r="A164" s="1455"/>
      <c r="B164" s="1455"/>
      <c r="C164" s="145" t="str">
        <f t="shared" si="4"/>
        <v/>
      </c>
      <c r="D164" s="150"/>
      <c r="E164" s="923"/>
      <c r="F164" s="923"/>
      <c r="G164" s="934"/>
      <c r="H164" s="934"/>
      <c r="I164" s="934"/>
      <c r="J164" s="934"/>
      <c r="K164" s="934"/>
      <c r="L164" s="934"/>
      <c r="M164" s="934"/>
      <c r="N164" s="929"/>
      <c r="O164" s="933" t="str">
        <f t="shared" si="5"/>
        <v/>
      </c>
    </row>
    <row r="165" spans="1:15" hidden="1">
      <c r="A165" s="1455"/>
      <c r="B165" s="1455"/>
      <c r="C165" s="145" t="str">
        <f t="shared" si="4"/>
        <v/>
      </c>
      <c r="D165" s="150"/>
      <c r="E165" s="923"/>
      <c r="F165" s="923"/>
      <c r="G165" s="934"/>
      <c r="H165" s="934"/>
      <c r="I165" s="934"/>
      <c r="J165" s="934"/>
      <c r="K165" s="934"/>
      <c r="L165" s="934"/>
      <c r="M165" s="934"/>
      <c r="N165" s="929"/>
      <c r="O165" s="933" t="str">
        <f t="shared" si="5"/>
        <v/>
      </c>
    </row>
    <row r="166" spans="1:15" hidden="1">
      <c r="A166" s="1455"/>
      <c r="B166" s="1455"/>
      <c r="C166" s="145" t="str">
        <f t="shared" si="4"/>
        <v/>
      </c>
      <c r="D166" s="150"/>
      <c r="E166" s="923"/>
      <c r="F166" s="923"/>
      <c r="G166" s="934"/>
      <c r="H166" s="934"/>
      <c r="I166" s="934"/>
      <c r="J166" s="934"/>
      <c r="K166" s="934"/>
      <c r="L166" s="934"/>
      <c r="M166" s="934"/>
      <c r="N166" s="929"/>
      <c r="O166" s="933" t="str">
        <f t="shared" si="5"/>
        <v/>
      </c>
    </row>
    <row r="167" spans="1:15" hidden="1">
      <c r="A167" s="1455"/>
      <c r="B167" s="1455"/>
      <c r="C167" s="145" t="str">
        <f t="shared" si="4"/>
        <v/>
      </c>
      <c r="D167" s="150"/>
      <c r="E167" s="923"/>
      <c r="F167" s="923"/>
      <c r="G167" s="934"/>
      <c r="H167" s="934"/>
      <c r="I167" s="934"/>
      <c r="J167" s="934"/>
      <c r="K167" s="934"/>
      <c r="L167" s="934"/>
      <c r="M167" s="934"/>
      <c r="N167" s="929"/>
      <c r="O167" s="933" t="str">
        <f t="shared" si="5"/>
        <v/>
      </c>
    </row>
    <row r="168" spans="1:15" hidden="1">
      <c r="A168" s="1455"/>
      <c r="B168" s="1455"/>
      <c r="C168" s="145" t="str">
        <f t="shared" si="4"/>
        <v/>
      </c>
      <c r="D168" s="150"/>
      <c r="E168" s="923"/>
      <c r="F168" s="923"/>
      <c r="G168" s="934"/>
      <c r="H168" s="934"/>
      <c r="I168" s="934"/>
      <c r="J168" s="934"/>
      <c r="K168" s="934"/>
      <c r="L168" s="934"/>
      <c r="M168" s="934"/>
      <c r="N168" s="929"/>
      <c r="O168" s="933" t="str">
        <f t="shared" si="5"/>
        <v/>
      </c>
    </row>
    <row r="169" spans="1:15" hidden="1">
      <c r="A169" s="1455"/>
      <c r="B169" s="1455"/>
      <c r="C169" s="145" t="str">
        <f t="shared" si="4"/>
        <v/>
      </c>
      <c r="D169" s="150"/>
      <c r="E169" s="923"/>
      <c r="F169" s="923"/>
      <c r="G169" s="934"/>
      <c r="H169" s="934"/>
      <c r="I169" s="934"/>
      <c r="J169" s="934"/>
      <c r="K169" s="934"/>
      <c r="L169" s="934"/>
      <c r="M169" s="934"/>
      <c r="N169" s="929"/>
      <c r="O169" s="933" t="str">
        <f t="shared" si="5"/>
        <v/>
      </c>
    </row>
    <row r="170" spans="1:15" hidden="1">
      <c r="A170" s="1455"/>
      <c r="B170" s="1455"/>
      <c r="C170" s="145" t="str">
        <f t="shared" si="4"/>
        <v/>
      </c>
      <c r="D170" s="150"/>
      <c r="E170" s="923"/>
      <c r="F170" s="923"/>
      <c r="G170" s="934"/>
      <c r="H170" s="934"/>
      <c r="I170" s="934"/>
      <c r="J170" s="934"/>
      <c r="K170" s="934"/>
      <c r="L170" s="934"/>
      <c r="M170" s="934"/>
      <c r="N170" s="929"/>
      <c r="O170" s="933" t="str">
        <f t="shared" si="5"/>
        <v/>
      </c>
    </row>
    <row r="171" spans="1:15" hidden="1">
      <c r="A171" s="1455"/>
      <c r="B171" s="1455"/>
      <c r="C171" s="145" t="str">
        <f t="shared" si="4"/>
        <v/>
      </c>
      <c r="D171" s="150"/>
      <c r="E171" s="923"/>
      <c r="F171" s="923"/>
      <c r="G171" s="934"/>
      <c r="H171" s="934"/>
      <c r="I171" s="934"/>
      <c r="J171" s="934"/>
      <c r="K171" s="934"/>
      <c r="L171" s="934"/>
      <c r="M171" s="934"/>
      <c r="N171" s="929"/>
      <c r="O171" s="933" t="str">
        <f t="shared" si="5"/>
        <v/>
      </c>
    </row>
    <row r="172" spans="1:15" hidden="1">
      <c r="A172" s="1455"/>
      <c r="B172" s="1455"/>
      <c r="C172" s="145" t="str">
        <f t="shared" si="4"/>
        <v/>
      </c>
      <c r="D172" s="150"/>
      <c r="E172" s="923"/>
      <c r="F172" s="923"/>
      <c r="G172" s="934"/>
      <c r="H172" s="934"/>
      <c r="I172" s="934"/>
      <c r="J172" s="934"/>
      <c r="K172" s="934"/>
      <c r="L172" s="934"/>
      <c r="M172" s="934"/>
      <c r="N172" s="929"/>
      <c r="O172" s="933" t="str">
        <f t="shared" si="5"/>
        <v/>
      </c>
    </row>
    <row r="173" spans="1:15" hidden="1">
      <c r="A173" s="1455"/>
      <c r="B173" s="1455"/>
      <c r="C173" s="145" t="str">
        <f t="shared" si="4"/>
        <v/>
      </c>
      <c r="D173" s="150"/>
      <c r="E173" s="923"/>
      <c r="F173" s="923"/>
      <c r="G173" s="934"/>
      <c r="H173" s="934"/>
      <c r="I173" s="934"/>
      <c r="J173" s="934"/>
      <c r="K173" s="934"/>
      <c r="L173" s="934"/>
      <c r="M173" s="934"/>
      <c r="N173" s="929"/>
      <c r="O173" s="933" t="str">
        <f t="shared" si="5"/>
        <v/>
      </c>
    </row>
    <row r="174" spans="1:15" hidden="1">
      <c r="A174" s="1455"/>
      <c r="B174" s="1455"/>
      <c r="C174" s="145" t="str">
        <f t="shared" si="4"/>
        <v/>
      </c>
      <c r="D174" s="150"/>
      <c r="E174" s="923"/>
      <c r="F174" s="923"/>
      <c r="G174" s="934"/>
      <c r="H174" s="934"/>
      <c r="I174" s="934"/>
      <c r="J174" s="934"/>
      <c r="K174" s="934"/>
      <c r="L174" s="934"/>
      <c r="M174" s="934"/>
      <c r="N174" s="929"/>
      <c r="O174" s="933" t="str">
        <f t="shared" si="5"/>
        <v/>
      </c>
    </row>
    <row r="175" spans="1:15" hidden="1">
      <c r="A175" s="1455"/>
      <c r="B175" s="1455"/>
      <c r="C175" s="145" t="str">
        <f t="shared" si="4"/>
        <v/>
      </c>
      <c r="D175" s="150"/>
      <c r="E175" s="923"/>
      <c r="F175" s="923"/>
      <c r="G175" s="934"/>
      <c r="H175" s="934"/>
      <c r="I175" s="934"/>
      <c r="J175" s="934"/>
      <c r="K175" s="934"/>
      <c r="L175" s="934"/>
      <c r="M175" s="934"/>
      <c r="N175" s="929"/>
      <c r="O175" s="933" t="str">
        <f t="shared" si="5"/>
        <v/>
      </c>
    </row>
    <row r="176" spans="1:15" hidden="1">
      <c r="A176" s="1455"/>
      <c r="B176" s="1455"/>
      <c r="C176" s="145" t="str">
        <f t="shared" si="4"/>
        <v/>
      </c>
      <c r="D176" s="150"/>
      <c r="E176" s="923"/>
      <c r="F176" s="923"/>
      <c r="G176" s="934"/>
      <c r="H176" s="934"/>
      <c r="I176" s="934"/>
      <c r="J176" s="934"/>
      <c r="K176" s="934"/>
      <c r="L176" s="934"/>
      <c r="M176" s="934"/>
      <c r="N176" s="929"/>
      <c r="O176" s="933" t="str">
        <f t="shared" si="5"/>
        <v/>
      </c>
    </row>
    <row r="177" spans="1:15" hidden="1">
      <c r="A177" s="1455"/>
      <c r="B177" s="1455"/>
      <c r="C177" s="145" t="str">
        <f t="shared" si="4"/>
        <v/>
      </c>
      <c r="D177" s="150"/>
      <c r="E177" s="923"/>
      <c r="F177" s="923"/>
      <c r="G177" s="934"/>
      <c r="H177" s="934"/>
      <c r="I177" s="934"/>
      <c r="J177" s="934"/>
      <c r="K177" s="934"/>
      <c r="L177" s="934"/>
      <c r="M177" s="934"/>
      <c r="N177" s="929"/>
      <c r="O177" s="933" t="str">
        <f t="shared" si="5"/>
        <v/>
      </c>
    </row>
    <row r="178" spans="1:15" hidden="1">
      <c r="A178" s="1455"/>
      <c r="B178" s="1455"/>
      <c r="C178" s="145" t="str">
        <f t="shared" si="4"/>
        <v/>
      </c>
      <c r="D178" s="150"/>
      <c r="E178" s="923"/>
      <c r="F178" s="923"/>
      <c r="G178" s="934"/>
      <c r="H178" s="934"/>
      <c r="I178" s="934"/>
      <c r="J178" s="934"/>
      <c r="K178" s="934"/>
      <c r="L178" s="934"/>
      <c r="M178" s="934"/>
      <c r="N178" s="929"/>
      <c r="O178" s="933" t="str">
        <f t="shared" si="5"/>
        <v/>
      </c>
    </row>
    <row r="179" spans="1:15" hidden="1">
      <c r="A179" s="1455"/>
      <c r="B179" s="1455"/>
      <c r="C179" s="145" t="str">
        <f t="shared" si="4"/>
        <v/>
      </c>
      <c r="D179" s="150"/>
      <c r="E179" s="923"/>
      <c r="F179" s="923"/>
      <c r="G179" s="934"/>
      <c r="H179" s="934"/>
      <c r="I179" s="934"/>
      <c r="J179" s="934"/>
      <c r="K179" s="934"/>
      <c r="L179" s="934"/>
      <c r="M179" s="934"/>
      <c r="N179" s="929"/>
      <c r="O179" s="933" t="str">
        <f t="shared" si="5"/>
        <v/>
      </c>
    </row>
    <row r="180" spans="1:15" hidden="1">
      <c r="A180" s="1455"/>
      <c r="B180" s="1455"/>
      <c r="C180" s="145" t="str">
        <f t="shared" si="4"/>
        <v/>
      </c>
      <c r="D180" s="150"/>
      <c r="E180" s="923"/>
      <c r="F180" s="923"/>
      <c r="G180" s="934"/>
      <c r="H180" s="934"/>
      <c r="I180" s="934"/>
      <c r="J180" s="934"/>
      <c r="K180" s="934"/>
      <c r="L180" s="934"/>
      <c r="M180" s="934"/>
      <c r="N180" s="929"/>
      <c r="O180" s="933" t="str">
        <f t="shared" si="5"/>
        <v/>
      </c>
    </row>
    <row r="181" spans="1:15" hidden="1">
      <c r="A181" s="1455"/>
      <c r="B181" s="1455"/>
      <c r="C181" s="145" t="str">
        <f t="shared" si="4"/>
        <v/>
      </c>
      <c r="D181" s="150"/>
      <c r="E181" s="923"/>
      <c r="F181" s="923"/>
      <c r="G181" s="934"/>
      <c r="H181" s="934"/>
      <c r="I181" s="934"/>
      <c r="J181" s="934"/>
      <c r="K181" s="934"/>
      <c r="L181" s="934"/>
      <c r="M181" s="934"/>
      <c r="N181" s="929"/>
      <c r="O181" s="933" t="str">
        <f t="shared" si="5"/>
        <v/>
      </c>
    </row>
    <row r="182" spans="1:15" hidden="1">
      <c r="A182" s="1455"/>
      <c r="B182" s="1455"/>
      <c r="C182" s="145" t="str">
        <f t="shared" si="4"/>
        <v/>
      </c>
      <c r="D182" s="150"/>
      <c r="E182" s="923"/>
      <c r="F182" s="923"/>
      <c r="G182" s="934"/>
      <c r="H182" s="934"/>
      <c r="I182" s="934"/>
      <c r="J182" s="934"/>
      <c r="K182" s="934"/>
      <c r="L182" s="934"/>
      <c r="M182" s="934"/>
      <c r="N182" s="929"/>
      <c r="O182" s="933" t="str">
        <f t="shared" si="5"/>
        <v/>
      </c>
    </row>
    <row r="183" spans="1:15" hidden="1">
      <c r="A183" s="1455"/>
      <c r="B183" s="1455"/>
      <c r="C183" s="145" t="str">
        <f t="shared" si="4"/>
        <v/>
      </c>
      <c r="D183" s="150"/>
      <c r="E183" s="923"/>
      <c r="F183" s="923"/>
      <c r="G183" s="934"/>
      <c r="H183" s="934"/>
      <c r="I183" s="934"/>
      <c r="J183" s="934"/>
      <c r="K183" s="934"/>
      <c r="L183" s="934"/>
      <c r="M183" s="934"/>
      <c r="N183" s="929"/>
      <c r="O183" s="933" t="str">
        <f t="shared" si="5"/>
        <v/>
      </c>
    </row>
    <row r="184" spans="1:15" hidden="1">
      <c r="A184" s="1455"/>
      <c r="B184" s="1455"/>
      <c r="C184" s="145" t="str">
        <f t="shared" si="4"/>
        <v/>
      </c>
      <c r="D184" s="150"/>
      <c r="E184" s="923"/>
      <c r="F184" s="923"/>
      <c r="G184" s="934"/>
      <c r="H184" s="934"/>
      <c r="I184" s="934"/>
      <c r="J184" s="934"/>
      <c r="K184" s="934"/>
      <c r="L184" s="934"/>
      <c r="M184" s="934"/>
      <c r="N184" s="929"/>
      <c r="O184" s="933" t="str">
        <f t="shared" si="5"/>
        <v/>
      </c>
    </row>
    <row r="185" spans="1:15" hidden="1">
      <c r="A185" s="1455"/>
      <c r="B185" s="1455"/>
      <c r="C185" s="145" t="str">
        <f t="shared" si="4"/>
        <v/>
      </c>
      <c r="D185" s="150"/>
      <c r="E185" s="923"/>
      <c r="F185" s="923"/>
      <c r="G185" s="934"/>
      <c r="H185" s="934"/>
      <c r="I185" s="934"/>
      <c r="J185" s="934"/>
      <c r="K185" s="934"/>
      <c r="L185" s="934"/>
      <c r="M185" s="934"/>
      <c r="N185" s="929"/>
      <c r="O185" s="933" t="str">
        <f t="shared" si="5"/>
        <v/>
      </c>
    </row>
    <row r="186" spans="1:15" hidden="1">
      <c r="A186" s="1455"/>
      <c r="B186" s="1455"/>
      <c r="C186" s="145" t="str">
        <f t="shared" si="4"/>
        <v/>
      </c>
      <c r="D186" s="150"/>
      <c r="E186" s="923"/>
      <c r="F186" s="923"/>
      <c r="G186" s="934"/>
      <c r="H186" s="934"/>
      <c r="I186" s="934"/>
      <c r="J186" s="934"/>
      <c r="K186" s="934"/>
      <c r="L186" s="934"/>
      <c r="M186" s="934"/>
      <c r="N186" s="929"/>
      <c r="O186" s="933" t="str">
        <f t="shared" si="5"/>
        <v/>
      </c>
    </row>
    <row r="187" spans="1:15" hidden="1">
      <c r="A187" s="1455"/>
      <c r="B187" s="1455"/>
      <c r="C187" s="145" t="str">
        <f t="shared" si="4"/>
        <v/>
      </c>
      <c r="D187" s="150"/>
      <c r="E187" s="923"/>
      <c r="F187" s="923"/>
      <c r="G187" s="934"/>
      <c r="H187" s="934"/>
      <c r="I187" s="934"/>
      <c r="J187" s="934"/>
      <c r="K187" s="934"/>
      <c r="L187" s="934"/>
      <c r="M187" s="934"/>
      <c r="N187" s="929"/>
      <c r="O187" s="933" t="str">
        <f t="shared" si="5"/>
        <v/>
      </c>
    </row>
    <row r="188" spans="1:15" hidden="1">
      <c r="A188" s="1455"/>
      <c r="B188" s="1455"/>
      <c r="C188" s="145" t="str">
        <f t="shared" si="4"/>
        <v/>
      </c>
      <c r="D188" s="150"/>
      <c r="E188" s="923"/>
      <c r="F188" s="923"/>
      <c r="G188" s="934"/>
      <c r="H188" s="934"/>
      <c r="I188" s="934"/>
      <c r="J188" s="934"/>
      <c r="K188" s="934"/>
      <c r="L188" s="934"/>
      <c r="M188" s="934"/>
      <c r="N188" s="929"/>
      <c r="O188" s="933" t="str">
        <f t="shared" si="5"/>
        <v/>
      </c>
    </row>
    <row r="189" spans="1:15" hidden="1">
      <c r="A189" s="1455"/>
      <c r="B189" s="1455"/>
      <c r="C189" s="145" t="str">
        <f t="shared" si="4"/>
        <v/>
      </c>
      <c r="D189" s="150"/>
      <c r="E189" s="923"/>
      <c r="F189" s="923"/>
      <c r="G189" s="934"/>
      <c r="H189" s="934"/>
      <c r="I189" s="934"/>
      <c r="J189" s="934"/>
      <c r="K189" s="934"/>
      <c r="L189" s="934"/>
      <c r="M189" s="934"/>
      <c r="N189" s="929"/>
      <c r="O189" s="933" t="str">
        <f t="shared" si="5"/>
        <v/>
      </c>
    </row>
    <row r="190" spans="1:15" hidden="1">
      <c r="A190" s="1455"/>
      <c r="B190" s="1455"/>
      <c r="C190" s="145" t="str">
        <f t="shared" si="4"/>
        <v/>
      </c>
      <c r="D190" s="150"/>
      <c r="E190" s="923"/>
      <c r="F190" s="923"/>
      <c r="G190" s="934"/>
      <c r="H190" s="934"/>
      <c r="I190" s="934"/>
      <c r="J190" s="934"/>
      <c r="K190" s="934"/>
      <c r="L190" s="934"/>
      <c r="M190" s="934"/>
      <c r="N190" s="929"/>
      <c r="O190" s="933" t="str">
        <f t="shared" si="5"/>
        <v/>
      </c>
    </row>
    <row r="191" spans="1:15" hidden="1">
      <c r="A191" s="1455"/>
      <c r="B191" s="1455"/>
      <c r="C191" s="145" t="str">
        <f t="shared" si="4"/>
        <v/>
      </c>
      <c r="D191" s="150"/>
      <c r="E191" s="923"/>
      <c r="F191" s="923"/>
      <c r="G191" s="934"/>
      <c r="H191" s="934"/>
      <c r="I191" s="934"/>
      <c r="J191" s="934"/>
      <c r="K191" s="934"/>
      <c r="L191" s="934"/>
      <c r="M191" s="934"/>
      <c r="N191" s="929"/>
      <c r="O191" s="933" t="str">
        <f t="shared" si="5"/>
        <v/>
      </c>
    </row>
    <row r="192" spans="1:15" hidden="1">
      <c r="A192" s="1455"/>
      <c r="B192" s="1455"/>
      <c r="C192" s="145" t="str">
        <f t="shared" si="4"/>
        <v/>
      </c>
      <c r="D192" s="150"/>
      <c r="E192" s="923"/>
      <c r="F192" s="923"/>
      <c r="G192" s="934"/>
      <c r="H192" s="934"/>
      <c r="I192" s="934"/>
      <c r="J192" s="934"/>
      <c r="K192" s="934"/>
      <c r="L192" s="934"/>
      <c r="M192" s="934"/>
      <c r="N192" s="929"/>
      <c r="O192" s="933" t="str">
        <f t="shared" si="5"/>
        <v/>
      </c>
    </row>
    <row r="193" spans="1:15" hidden="1">
      <c r="A193" s="1455"/>
      <c r="B193" s="1455"/>
      <c r="C193" s="145" t="str">
        <f t="shared" si="4"/>
        <v/>
      </c>
      <c r="D193" s="150"/>
      <c r="E193" s="923"/>
      <c r="F193" s="923"/>
      <c r="G193" s="934"/>
      <c r="H193" s="934"/>
      <c r="I193" s="934"/>
      <c r="J193" s="934"/>
      <c r="K193" s="934"/>
      <c r="L193" s="934"/>
      <c r="M193" s="934"/>
      <c r="N193" s="929"/>
      <c r="O193" s="933" t="str">
        <f t="shared" si="5"/>
        <v/>
      </c>
    </row>
    <row r="194" spans="1:15" hidden="1">
      <c r="A194" s="1455"/>
      <c r="B194" s="1455"/>
      <c r="C194" s="145" t="str">
        <f t="shared" si="4"/>
        <v/>
      </c>
      <c r="D194" s="150"/>
      <c r="E194" s="923"/>
      <c r="F194" s="923"/>
      <c r="G194" s="934"/>
      <c r="H194" s="934"/>
      <c r="I194" s="934"/>
      <c r="J194" s="934"/>
      <c r="K194" s="934"/>
      <c r="L194" s="934"/>
      <c r="M194" s="934"/>
      <c r="N194" s="929"/>
      <c r="O194" s="933" t="str">
        <f t="shared" si="5"/>
        <v/>
      </c>
    </row>
    <row r="195" spans="1:15" hidden="1">
      <c r="A195" s="1455"/>
      <c r="B195" s="1455"/>
      <c r="C195" s="145" t="str">
        <f t="shared" si="4"/>
        <v/>
      </c>
      <c r="D195" s="150"/>
      <c r="E195" s="923"/>
      <c r="F195" s="923"/>
      <c r="G195" s="934"/>
      <c r="H195" s="934"/>
      <c r="I195" s="934"/>
      <c r="J195" s="934"/>
      <c r="K195" s="934"/>
      <c r="L195" s="934"/>
      <c r="M195" s="934"/>
      <c r="N195" s="929"/>
      <c r="O195" s="933" t="str">
        <f t="shared" si="5"/>
        <v/>
      </c>
    </row>
    <row r="196" spans="1:15" hidden="1">
      <c r="A196" s="1455"/>
      <c r="B196" s="1455"/>
      <c r="C196" s="145" t="str">
        <f t="shared" si="4"/>
        <v/>
      </c>
      <c r="D196" s="150"/>
      <c r="E196" s="923"/>
      <c r="F196" s="923"/>
      <c r="G196" s="934"/>
      <c r="H196" s="934"/>
      <c r="I196" s="934"/>
      <c r="J196" s="934"/>
      <c r="K196" s="934"/>
      <c r="L196" s="934"/>
      <c r="M196" s="934"/>
      <c r="N196" s="929"/>
      <c r="O196" s="933" t="str">
        <f t="shared" si="5"/>
        <v/>
      </c>
    </row>
    <row r="197" spans="1:15" hidden="1">
      <c r="A197" s="1455"/>
      <c r="B197" s="1455"/>
      <c r="C197" s="145" t="str">
        <f t="shared" si="4"/>
        <v/>
      </c>
      <c r="D197" s="150"/>
      <c r="E197" s="923"/>
      <c r="F197" s="923"/>
      <c r="G197" s="934"/>
      <c r="H197" s="934"/>
      <c r="I197" s="934"/>
      <c r="J197" s="934"/>
      <c r="K197" s="934"/>
      <c r="L197" s="934"/>
      <c r="M197" s="934"/>
      <c r="N197" s="929"/>
      <c r="O197" s="933" t="str">
        <f t="shared" si="5"/>
        <v/>
      </c>
    </row>
    <row r="198" spans="1:15" hidden="1">
      <c r="A198" s="1455"/>
      <c r="B198" s="1455"/>
      <c r="C198" s="145" t="str">
        <f t="shared" si="4"/>
        <v/>
      </c>
      <c r="D198" s="150"/>
      <c r="E198" s="923"/>
      <c r="F198" s="923"/>
      <c r="G198" s="934"/>
      <c r="H198" s="934"/>
      <c r="I198" s="934"/>
      <c r="J198" s="934"/>
      <c r="K198" s="934"/>
      <c r="L198" s="934"/>
      <c r="M198" s="934"/>
      <c r="N198" s="929"/>
      <c r="O198" s="933" t="str">
        <f t="shared" si="5"/>
        <v/>
      </c>
    </row>
    <row r="199" spans="1:15" hidden="1">
      <c r="A199" s="1455"/>
      <c r="B199" s="1455"/>
      <c r="C199" s="145" t="str">
        <f t="shared" si="4"/>
        <v/>
      </c>
      <c r="D199" s="150"/>
      <c r="E199" s="923"/>
      <c r="F199" s="923"/>
      <c r="G199" s="934"/>
      <c r="H199" s="934"/>
      <c r="I199" s="934"/>
      <c r="J199" s="934"/>
      <c r="K199" s="934"/>
      <c r="L199" s="934"/>
      <c r="M199" s="934"/>
      <c r="N199" s="929"/>
      <c r="O199" s="933" t="str">
        <f t="shared" si="5"/>
        <v/>
      </c>
    </row>
    <row r="200" spans="1:15" hidden="1">
      <c r="A200" s="1455"/>
      <c r="B200" s="1455"/>
      <c r="C200" s="145" t="str">
        <f t="shared" si="4"/>
        <v/>
      </c>
      <c r="D200" s="150"/>
      <c r="E200" s="923"/>
      <c r="F200" s="923"/>
      <c r="G200" s="934"/>
      <c r="H200" s="934"/>
      <c r="I200" s="934"/>
      <c r="J200" s="934"/>
      <c r="K200" s="934"/>
      <c r="L200" s="934"/>
      <c r="M200" s="934"/>
      <c r="N200" s="929"/>
      <c r="O200" s="933" t="str">
        <f t="shared" si="5"/>
        <v/>
      </c>
    </row>
    <row r="201" spans="1:15" hidden="1">
      <c r="A201" s="1455"/>
      <c r="B201" s="1455"/>
      <c r="C201" s="145" t="str">
        <f t="shared" si="4"/>
        <v/>
      </c>
      <c r="D201" s="150"/>
      <c r="E201" s="923"/>
      <c r="F201" s="923"/>
      <c r="G201" s="934"/>
      <c r="H201" s="934"/>
      <c r="I201" s="934"/>
      <c r="J201" s="934"/>
      <c r="K201" s="934"/>
      <c r="L201" s="934"/>
      <c r="M201" s="934"/>
      <c r="N201" s="929"/>
      <c r="O201" s="933" t="str">
        <f t="shared" si="5"/>
        <v/>
      </c>
    </row>
    <row r="202" spans="1:15" hidden="1">
      <c r="A202" s="1455"/>
      <c r="B202" s="1455"/>
      <c r="C202" s="145" t="str">
        <f t="shared" si="4"/>
        <v/>
      </c>
      <c r="D202" s="150"/>
      <c r="E202" s="923"/>
      <c r="F202" s="923"/>
      <c r="G202" s="934"/>
      <c r="H202" s="934"/>
      <c r="I202" s="934"/>
      <c r="J202" s="934"/>
      <c r="K202" s="934"/>
      <c r="L202" s="934"/>
      <c r="M202" s="934"/>
      <c r="N202" s="929"/>
      <c r="O202" s="933" t="str">
        <f t="shared" si="5"/>
        <v/>
      </c>
    </row>
    <row r="203" spans="1:15" hidden="1">
      <c r="A203" s="1455"/>
      <c r="B203" s="1455"/>
      <c r="C203" s="145" t="str">
        <f t="shared" si="4"/>
        <v/>
      </c>
      <c r="D203" s="150"/>
      <c r="E203" s="923"/>
      <c r="F203" s="923"/>
      <c r="G203" s="934"/>
      <c r="H203" s="934"/>
      <c r="I203" s="934"/>
      <c r="J203" s="934"/>
      <c r="K203" s="934"/>
      <c r="L203" s="934"/>
      <c r="M203" s="934"/>
      <c r="N203" s="929"/>
      <c r="O203" s="933" t="str">
        <f t="shared" si="5"/>
        <v/>
      </c>
    </row>
    <row r="204" spans="1:15" hidden="1">
      <c r="A204" s="1455"/>
      <c r="B204" s="1455"/>
      <c r="C204" s="145" t="str">
        <f t="shared" si="4"/>
        <v/>
      </c>
      <c r="D204" s="150"/>
      <c r="E204" s="923"/>
      <c r="F204" s="923"/>
      <c r="G204" s="934"/>
      <c r="H204" s="934"/>
      <c r="I204" s="934"/>
      <c r="J204" s="934"/>
      <c r="K204" s="934"/>
      <c r="L204" s="934"/>
      <c r="M204" s="934"/>
      <c r="N204" s="929"/>
      <c r="O204" s="933" t="str">
        <f t="shared" si="5"/>
        <v/>
      </c>
    </row>
    <row r="205" spans="1:15" hidden="1">
      <c r="A205" s="1455"/>
      <c r="B205" s="1455"/>
      <c r="C205" s="145" t="str">
        <f t="shared" si="4"/>
        <v/>
      </c>
      <c r="D205" s="150"/>
      <c r="E205" s="923"/>
      <c r="F205" s="923"/>
      <c r="G205" s="934"/>
      <c r="H205" s="934"/>
      <c r="I205" s="934"/>
      <c r="J205" s="934"/>
      <c r="K205" s="934"/>
      <c r="L205" s="934"/>
      <c r="M205" s="934"/>
      <c r="N205" s="929"/>
      <c r="O205" s="933" t="str">
        <f t="shared" si="5"/>
        <v/>
      </c>
    </row>
    <row r="206" spans="1:15" hidden="1">
      <c r="A206" s="1455"/>
      <c r="B206" s="1455"/>
      <c r="C206" s="145" t="str">
        <f t="shared" si="4"/>
        <v/>
      </c>
      <c r="D206" s="150"/>
      <c r="E206" s="923"/>
      <c r="F206" s="923"/>
      <c r="G206" s="934"/>
      <c r="H206" s="934"/>
      <c r="I206" s="934"/>
      <c r="J206" s="934"/>
      <c r="K206" s="934"/>
      <c r="L206" s="934"/>
      <c r="M206" s="934"/>
      <c r="N206" s="929"/>
      <c r="O206" s="933" t="str">
        <f t="shared" si="5"/>
        <v/>
      </c>
    </row>
    <row r="207" spans="1:15" hidden="1">
      <c r="A207" s="1455"/>
      <c r="B207" s="1455"/>
      <c r="C207" s="145" t="str">
        <f t="shared" si="4"/>
        <v/>
      </c>
      <c r="D207" s="150"/>
      <c r="E207" s="923"/>
      <c r="F207" s="923"/>
      <c r="G207" s="934"/>
      <c r="H207" s="934"/>
      <c r="I207" s="934"/>
      <c r="J207" s="934"/>
      <c r="K207" s="934"/>
      <c r="L207" s="934"/>
      <c r="M207" s="934"/>
      <c r="N207" s="929"/>
      <c r="O207" s="933" t="str">
        <f t="shared" si="5"/>
        <v/>
      </c>
    </row>
    <row r="208" spans="1:15" hidden="1">
      <c r="A208" s="1455"/>
      <c r="B208" s="1455"/>
      <c r="C208" s="145" t="str">
        <f t="shared" si="4"/>
        <v/>
      </c>
      <c r="D208" s="150"/>
      <c r="E208" s="923"/>
      <c r="F208" s="923"/>
      <c r="G208" s="934"/>
      <c r="H208" s="934"/>
      <c r="I208" s="934"/>
      <c r="J208" s="934"/>
      <c r="K208" s="934"/>
      <c r="L208" s="934"/>
      <c r="M208" s="934"/>
      <c r="N208" s="929"/>
      <c r="O208" s="933" t="str">
        <f t="shared" si="5"/>
        <v/>
      </c>
    </row>
    <row r="209" spans="1:15" hidden="1">
      <c r="A209" s="1455"/>
      <c r="B209" s="1455"/>
      <c r="C209" s="145" t="str">
        <f t="shared" ref="C209:C272" si="6">IF(A209&lt;&gt;"",ROW(),"")</f>
        <v/>
      </c>
      <c r="D209" s="150"/>
      <c r="E209" s="923"/>
      <c r="F209" s="923"/>
      <c r="G209" s="934"/>
      <c r="H209" s="934"/>
      <c r="I209" s="934"/>
      <c r="J209" s="934"/>
      <c r="K209" s="934"/>
      <c r="L209" s="934"/>
      <c r="M209" s="934"/>
      <c r="N209" s="929"/>
      <c r="O209" s="933" t="str">
        <f t="shared" ref="O209:O272" si="7">IF(A209&lt;&gt;"",A209,"")</f>
        <v/>
      </c>
    </row>
    <row r="210" spans="1:15" hidden="1">
      <c r="A210" s="1455"/>
      <c r="B210" s="1455"/>
      <c r="C210" s="145" t="str">
        <f t="shared" si="6"/>
        <v/>
      </c>
      <c r="D210" s="150"/>
      <c r="E210" s="923"/>
      <c r="F210" s="923"/>
      <c r="G210" s="934"/>
      <c r="H210" s="934"/>
      <c r="I210" s="934"/>
      <c r="J210" s="934"/>
      <c r="K210" s="934"/>
      <c r="L210" s="934"/>
      <c r="M210" s="934"/>
      <c r="N210" s="929"/>
      <c r="O210" s="933" t="str">
        <f t="shared" si="7"/>
        <v/>
      </c>
    </row>
    <row r="211" spans="1:15" hidden="1">
      <c r="A211" s="1455"/>
      <c r="B211" s="1455"/>
      <c r="C211" s="145" t="str">
        <f t="shared" si="6"/>
        <v/>
      </c>
      <c r="D211" s="150"/>
      <c r="E211" s="923"/>
      <c r="F211" s="923"/>
      <c r="G211" s="934"/>
      <c r="H211" s="934"/>
      <c r="I211" s="934"/>
      <c r="J211" s="934"/>
      <c r="K211" s="934"/>
      <c r="L211" s="934"/>
      <c r="M211" s="934"/>
      <c r="N211" s="929"/>
      <c r="O211" s="933" t="str">
        <f t="shared" si="7"/>
        <v/>
      </c>
    </row>
    <row r="212" spans="1:15" hidden="1">
      <c r="A212" s="1455"/>
      <c r="B212" s="1455"/>
      <c r="C212" s="145" t="str">
        <f t="shared" si="6"/>
        <v/>
      </c>
      <c r="D212" s="150"/>
      <c r="E212" s="923"/>
      <c r="F212" s="923"/>
      <c r="G212" s="934"/>
      <c r="H212" s="934"/>
      <c r="I212" s="934"/>
      <c r="J212" s="934"/>
      <c r="K212" s="934"/>
      <c r="L212" s="934"/>
      <c r="M212" s="934"/>
      <c r="N212" s="929"/>
      <c r="O212" s="933" t="str">
        <f t="shared" si="7"/>
        <v/>
      </c>
    </row>
    <row r="213" spans="1:15" hidden="1">
      <c r="A213" s="1455"/>
      <c r="B213" s="1455"/>
      <c r="C213" s="145" t="str">
        <f t="shared" si="6"/>
        <v/>
      </c>
      <c r="D213" s="150"/>
      <c r="E213" s="923"/>
      <c r="F213" s="923"/>
      <c r="G213" s="934"/>
      <c r="H213" s="934"/>
      <c r="I213" s="934"/>
      <c r="J213" s="934"/>
      <c r="K213" s="934"/>
      <c r="L213" s="934"/>
      <c r="M213" s="934"/>
      <c r="N213" s="929"/>
      <c r="O213" s="933" t="str">
        <f t="shared" si="7"/>
        <v/>
      </c>
    </row>
    <row r="214" spans="1:15" hidden="1">
      <c r="A214" s="1455"/>
      <c r="B214" s="1455"/>
      <c r="C214" s="145" t="str">
        <f t="shared" si="6"/>
        <v/>
      </c>
      <c r="D214" s="150"/>
      <c r="E214" s="923"/>
      <c r="F214" s="923"/>
      <c r="G214" s="934"/>
      <c r="H214" s="934"/>
      <c r="I214" s="934"/>
      <c r="J214" s="934"/>
      <c r="K214" s="934"/>
      <c r="L214" s="934"/>
      <c r="M214" s="934"/>
      <c r="N214" s="929"/>
      <c r="O214" s="933" t="str">
        <f t="shared" si="7"/>
        <v/>
      </c>
    </row>
    <row r="215" spans="1:15" hidden="1">
      <c r="A215" s="1455"/>
      <c r="B215" s="1455"/>
      <c r="C215" s="145" t="str">
        <f t="shared" si="6"/>
        <v/>
      </c>
      <c r="D215" s="150"/>
      <c r="E215" s="923"/>
      <c r="F215" s="923"/>
      <c r="G215" s="934"/>
      <c r="H215" s="934"/>
      <c r="I215" s="934"/>
      <c r="J215" s="934"/>
      <c r="K215" s="934"/>
      <c r="L215" s="934"/>
      <c r="M215" s="934"/>
      <c r="N215" s="929"/>
      <c r="O215" s="933" t="str">
        <f t="shared" si="7"/>
        <v/>
      </c>
    </row>
    <row r="216" spans="1:15" hidden="1">
      <c r="A216" s="1455"/>
      <c r="B216" s="1455"/>
      <c r="C216" s="145" t="str">
        <f t="shared" si="6"/>
        <v/>
      </c>
      <c r="D216" s="150"/>
      <c r="E216" s="923"/>
      <c r="F216" s="923"/>
      <c r="G216" s="934"/>
      <c r="H216" s="934"/>
      <c r="I216" s="934"/>
      <c r="J216" s="934"/>
      <c r="K216" s="934"/>
      <c r="L216" s="934"/>
      <c r="M216" s="934"/>
      <c r="N216" s="929"/>
      <c r="O216" s="933" t="str">
        <f t="shared" si="7"/>
        <v/>
      </c>
    </row>
    <row r="217" spans="1:15" hidden="1">
      <c r="A217" s="1455"/>
      <c r="B217" s="1455"/>
      <c r="C217" s="145" t="str">
        <f t="shared" si="6"/>
        <v/>
      </c>
      <c r="D217" s="150"/>
      <c r="E217" s="923"/>
      <c r="F217" s="923"/>
      <c r="G217" s="934"/>
      <c r="H217" s="934"/>
      <c r="I217" s="934"/>
      <c r="J217" s="934"/>
      <c r="K217" s="934"/>
      <c r="L217" s="934"/>
      <c r="M217" s="934"/>
      <c r="N217" s="929"/>
      <c r="O217" s="933" t="str">
        <f t="shared" si="7"/>
        <v/>
      </c>
    </row>
    <row r="218" spans="1:15" hidden="1">
      <c r="A218" s="1455"/>
      <c r="B218" s="1455"/>
      <c r="C218" s="145" t="str">
        <f t="shared" si="6"/>
        <v/>
      </c>
      <c r="D218" s="150"/>
      <c r="E218" s="923"/>
      <c r="F218" s="923"/>
      <c r="G218" s="934"/>
      <c r="H218" s="934"/>
      <c r="I218" s="934"/>
      <c r="J218" s="934"/>
      <c r="K218" s="934"/>
      <c r="L218" s="934"/>
      <c r="M218" s="934"/>
      <c r="N218" s="929"/>
      <c r="O218" s="933" t="str">
        <f t="shared" si="7"/>
        <v/>
      </c>
    </row>
    <row r="219" spans="1:15" hidden="1">
      <c r="A219" s="1455"/>
      <c r="B219" s="1455"/>
      <c r="C219" s="145" t="str">
        <f t="shared" si="6"/>
        <v/>
      </c>
      <c r="D219" s="150"/>
      <c r="E219" s="923"/>
      <c r="F219" s="923"/>
      <c r="G219" s="934"/>
      <c r="H219" s="934"/>
      <c r="I219" s="934"/>
      <c r="J219" s="934"/>
      <c r="K219" s="934"/>
      <c r="L219" s="934"/>
      <c r="M219" s="934"/>
      <c r="N219" s="929"/>
      <c r="O219" s="933" t="str">
        <f t="shared" si="7"/>
        <v/>
      </c>
    </row>
    <row r="220" spans="1:15" hidden="1">
      <c r="A220" s="1455"/>
      <c r="B220" s="1455"/>
      <c r="C220" s="145" t="str">
        <f t="shared" si="6"/>
        <v/>
      </c>
      <c r="D220" s="150"/>
      <c r="E220" s="923"/>
      <c r="F220" s="923"/>
      <c r="G220" s="934"/>
      <c r="H220" s="934"/>
      <c r="I220" s="934"/>
      <c r="J220" s="934"/>
      <c r="K220" s="934"/>
      <c r="L220" s="934"/>
      <c r="M220" s="934"/>
      <c r="N220" s="929"/>
      <c r="O220" s="933" t="str">
        <f t="shared" si="7"/>
        <v/>
      </c>
    </row>
    <row r="221" spans="1:15" hidden="1">
      <c r="A221" s="1455"/>
      <c r="B221" s="1455"/>
      <c r="C221" s="145" t="str">
        <f t="shared" si="6"/>
        <v/>
      </c>
      <c r="D221" s="150"/>
      <c r="E221" s="923"/>
      <c r="F221" s="923"/>
      <c r="G221" s="934"/>
      <c r="H221" s="934"/>
      <c r="I221" s="934"/>
      <c r="J221" s="934"/>
      <c r="K221" s="934"/>
      <c r="L221" s="934"/>
      <c r="M221" s="934"/>
      <c r="N221" s="929"/>
      <c r="O221" s="933" t="str">
        <f t="shared" si="7"/>
        <v/>
      </c>
    </row>
    <row r="222" spans="1:15" hidden="1">
      <c r="A222" s="1455"/>
      <c r="B222" s="1455"/>
      <c r="C222" s="145" t="str">
        <f t="shared" si="6"/>
        <v/>
      </c>
      <c r="D222" s="150"/>
      <c r="E222" s="923"/>
      <c r="F222" s="923"/>
      <c r="G222" s="934"/>
      <c r="H222" s="934"/>
      <c r="I222" s="934"/>
      <c r="J222" s="934"/>
      <c r="K222" s="934"/>
      <c r="L222" s="934"/>
      <c r="M222" s="934"/>
      <c r="N222" s="929"/>
      <c r="O222" s="933" t="str">
        <f t="shared" si="7"/>
        <v/>
      </c>
    </row>
    <row r="223" spans="1:15" hidden="1">
      <c r="A223" s="1455"/>
      <c r="B223" s="1455"/>
      <c r="C223" s="145" t="str">
        <f t="shared" si="6"/>
        <v/>
      </c>
      <c r="D223" s="150"/>
      <c r="E223" s="923"/>
      <c r="F223" s="923"/>
      <c r="G223" s="934"/>
      <c r="H223" s="934"/>
      <c r="I223" s="934"/>
      <c r="J223" s="934"/>
      <c r="K223" s="934"/>
      <c r="L223" s="934"/>
      <c r="M223" s="934"/>
      <c r="N223" s="929"/>
      <c r="O223" s="933" t="str">
        <f t="shared" si="7"/>
        <v/>
      </c>
    </row>
    <row r="224" spans="1:15" hidden="1">
      <c r="A224" s="1455"/>
      <c r="B224" s="1455"/>
      <c r="C224" s="145" t="str">
        <f t="shared" si="6"/>
        <v/>
      </c>
      <c r="D224" s="150"/>
      <c r="E224" s="923"/>
      <c r="F224" s="923"/>
      <c r="G224" s="934"/>
      <c r="H224" s="934"/>
      <c r="I224" s="934"/>
      <c r="J224" s="934"/>
      <c r="K224" s="934"/>
      <c r="L224" s="934"/>
      <c r="M224" s="934"/>
      <c r="N224" s="929"/>
      <c r="O224" s="933" t="str">
        <f t="shared" si="7"/>
        <v/>
      </c>
    </row>
    <row r="225" spans="1:15" hidden="1">
      <c r="A225" s="1455"/>
      <c r="B225" s="1455"/>
      <c r="C225" s="145" t="str">
        <f t="shared" si="6"/>
        <v/>
      </c>
      <c r="D225" s="150"/>
      <c r="E225" s="923"/>
      <c r="F225" s="923"/>
      <c r="G225" s="934"/>
      <c r="H225" s="934"/>
      <c r="I225" s="934"/>
      <c r="J225" s="934"/>
      <c r="K225" s="934"/>
      <c r="L225" s="934"/>
      <c r="M225" s="934"/>
      <c r="N225" s="929"/>
      <c r="O225" s="933" t="str">
        <f t="shared" si="7"/>
        <v/>
      </c>
    </row>
    <row r="226" spans="1:15" hidden="1">
      <c r="A226" s="1455"/>
      <c r="B226" s="1455"/>
      <c r="C226" s="145" t="str">
        <f t="shared" si="6"/>
        <v/>
      </c>
      <c r="D226" s="150"/>
      <c r="E226" s="923"/>
      <c r="F226" s="923"/>
      <c r="G226" s="934"/>
      <c r="H226" s="934"/>
      <c r="I226" s="934"/>
      <c r="J226" s="934"/>
      <c r="K226" s="934"/>
      <c r="L226" s="934"/>
      <c r="M226" s="934"/>
      <c r="N226" s="929"/>
      <c r="O226" s="933" t="str">
        <f t="shared" si="7"/>
        <v/>
      </c>
    </row>
    <row r="227" spans="1:15" hidden="1">
      <c r="A227" s="1455"/>
      <c r="B227" s="1455"/>
      <c r="C227" s="145" t="str">
        <f t="shared" si="6"/>
        <v/>
      </c>
      <c r="D227" s="150"/>
      <c r="E227" s="923"/>
      <c r="F227" s="923"/>
      <c r="G227" s="934"/>
      <c r="H227" s="934"/>
      <c r="I227" s="934"/>
      <c r="J227" s="934"/>
      <c r="K227" s="934"/>
      <c r="L227" s="934"/>
      <c r="M227" s="934"/>
      <c r="N227" s="929"/>
      <c r="O227" s="933" t="str">
        <f t="shared" si="7"/>
        <v/>
      </c>
    </row>
    <row r="228" spans="1:15" hidden="1">
      <c r="A228" s="1455"/>
      <c r="B228" s="1455"/>
      <c r="C228" s="145" t="str">
        <f t="shared" si="6"/>
        <v/>
      </c>
      <c r="D228" s="150"/>
      <c r="E228" s="923"/>
      <c r="F228" s="923"/>
      <c r="G228" s="934"/>
      <c r="H228" s="934"/>
      <c r="I228" s="934"/>
      <c r="J228" s="934"/>
      <c r="K228" s="934"/>
      <c r="L228" s="934"/>
      <c r="M228" s="934"/>
      <c r="N228" s="929"/>
      <c r="O228" s="933" t="str">
        <f t="shared" si="7"/>
        <v/>
      </c>
    </row>
    <row r="229" spans="1:15" hidden="1">
      <c r="A229" s="1455"/>
      <c r="B229" s="1455"/>
      <c r="C229" s="145" t="str">
        <f t="shared" si="6"/>
        <v/>
      </c>
      <c r="D229" s="150"/>
      <c r="E229" s="923"/>
      <c r="F229" s="923"/>
      <c r="G229" s="934"/>
      <c r="H229" s="934"/>
      <c r="I229" s="934"/>
      <c r="J229" s="934"/>
      <c r="K229" s="934"/>
      <c r="L229" s="934"/>
      <c r="M229" s="934"/>
      <c r="N229" s="929"/>
      <c r="O229" s="933" t="str">
        <f t="shared" si="7"/>
        <v/>
      </c>
    </row>
    <row r="230" spans="1:15" hidden="1">
      <c r="A230" s="1455"/>
      <c r="B230" s="1455"/>
      <c r="C230" s="145" t="str">
        <f t="shared" si="6"/>
        <v/>
      </c>
      <c r="D230" s="150"/>
      <c r="E230" s="923"/>
      <c r="F230" s="923"/>
      <c r="G230" s="934"/>
      <c r="H230" s="934"/>
      <c r="I230" s="934"/>
      <c r="J230" s="934"/>
      <c r="K230" s="934"/>
      <c r="L230" s="934"/>
      <c r="M230" s="934"/>
      <c r="N230" s="929"/>
      <c r="O230" s="933" t="str">
        <f t="shared" si="7"/>
        <v/>
      </c>
    </row>
    <row r="231" spans="1:15" hidden="1">
      <c r="A231" s="1455"/>
      <c r="B231" s="1455"/>
      <c r="C231" s="145" t="str">
        <f t="shared" si="6"/>
        <v/>
      </c>
      <c r="D231" s="150"/>
      <c r="E231" s="923"/>
      <c r="F231" s="923"/>
      <c r="G231" s="934"/>
      <c r="H231" s="934"/>
      <c r="I231" s="934"/>
      <c r="J231" s="934"/>
      <c r="K231" s="934"/>
      <c r="L231" s="934"/>
      <c r="M231" s="934"/>
      <c r="N231" s="929"/>
      <c r="O231" s="933" t="str">
        <f t="shared" si="7"/>
        <v/>
      </c>
    </row>
    <row r="232" spans="1:15" hidden="1">
      <c r="A232" s="1455"/>
      <c r="B232" s="1455"/>
      <c r="C232" s="145" t="str">
        <f t="shared" si="6"/>
        <v/>
      </c>
      <c r="D232" s="150"/>
      <c r="E232" s="923"/>
      <c r="F232" s="923"/>
      <c r="G232" s="934"/>
      <c r="H232" s="934"/>
      <c r="I232" s="934"/>
      <c r="J232" s="934"/>
      <c r="K232" s="934"/>
      <c r="L232" s="934"/>
      <c r="M232" s="934"/>
      <c r="N232" s="929"/>
      <c r="O232" s="933" t="str">
        <f t="shared" si="7"/>
        <v/>
      </c>
    </row>
    <row r="233" spans="1:15" hidden="1">
      <c r="A233" s="1455"/>
      <c r="B233" s="1455"/>
      <c r="C233" s="145" t="str">
        <f t="shared" si="6"/>
        <v/>
      </c>
      <c r="D233" s="150"/>
      <c r="E233" s="923"/>
      <c r="F233" s="923"/>
      <c r="G233" s="934"/>
      <c r="H233" s="934"/>
      <c r="I233" s="934"/>
      <c r="J233" s="934"/>
      <c r="K233" s="934"/>
      <c r="L233" s="934"/>
      <c r="M233" s="934"/>
      <c r="N233" s="929"/>
      <c r="O233" s="933" t="str">
        <f t="shared" si="7"/>
        <v/>
      </c>
    </row>
    <row r="234" spans="1:15" hidden="1">
      <c r="A234" s="1455"/>
      <c r="B234" s="1455"/>
      <c r="C234" s="145" t="str">
        <f t="shared" si="6"/>
        <v/>
      </c>
      <c r="D234" s="150"/>
      <c r="E234" s="923"/>
      <c r="F234" s="923"/>
      <c r="G234" s="934"/>
      <c r="H234" s="934"/>
      <c r="I234" s="934"/>
      <c r="J234" s="934"/>
      <c r="K234" s="934"/>
      <c r="L234" s="934"/>
      <c r="M234" s="934"/>
      <c r="N234" s="929"/>
      <c r="O234" s="933" t="str">
        <f t="shared" si="7"/>
        <v/>
      </c>
    </row>
    <row r="235" spans="1:15" hidden="1">
      <c r="A235" s="1455"/>
      <c r="B235" s="1455"/>
      <c r="C235" s="145" t="str">
        <f t="shared" si="6"/>
        <v/>
      </c>
      <c r="D235" s="150"/>
      <c r="E235" s="923"/>
      <c r="F235" s="923"/>
      <c r="G235" s="934"/>
      <c r="H235" s="934"/>
      <c r="I235" s="934"/>
      <c r="J235" s="934"/>
      <c r="K235" s="934"/>
      <c r="L235" s="934"/>
      <c r="M235" s="934"/>
      <c r="N235" s="929"/>
      <c r="O235" s="933" t="str">
        <f t="shared" si="7"/>
        <v/>
      </c>
    </row>
    <row r="236" spans="1:15" hidden="1">
      <c r="A236" s="1455"/>
      <c r="B236" s="1455"/>
      <c r="C236" s="145" t="str">
        <f t="shared" si="6"/>
        <v/>
      </c>
      <c r="D236" s="150"/>
      <c r="E236" s="923"/>
      <c r="F236" s="923"/>
      <c r="G236" s="934"/>
      <c r="H236" s="934"/>
      <c r="I236" s="934"/>
      <c r="J236" s="934"/>
      <c r="K236" s="934"/>
      <c r="L236" s="934"/>
      <c r="M236" s="934"/>
      <c r="N236" s="929"/>
      <c r="O236" s="933" t="str">
        <f t="shared" si="7"/>
        <v/>
      </c>
    </row>
    <row r="237" spans="1:15" hidden="1">
      <c r="A237" s="1455"/>
      <c r="B237" s="1455"/>
      <c r="C237" s="145" t="str">
        <f t="shared" si="6"/>
        <v/>
      </c>
      <c r="D237" s="150"/>
      <c r="E237" s="923"/>
      <c r="F237" s="923"/>
      <c r="G237" s="934"/>
      <c r="H237" s="934"/>
      <c r="I237" s="934"/>
      <c r="J237" s="934"/>
      <c r="K237" s="934"/>
      <c r="L237" s="934"/>
      <c r="M237" s="934"/>
      <c r="N237" s="929"/>
      <c r="O237" s="933" t="str">
        <f t="shared" si="7"/>
        <v/>
      </c>
    </row>
    <row r="238" spans="1:15" hidden="1">
      <c r="A238" s="1455"/>
      <c r="B238" s="1455"/>
      <c r="C238" s="145" t="str">
        <f t="shared" si="6"/>
        <v/>
      </c>
      <c r="D238" s="150"/>
      <c r="E238" s="923"/>
      <c r="F238" s="923"/>
      <c r="G238" s="934"/>
      <c r="H238" s="934"/>
      <c r="I238" s="934"/>
      <c r="J238" s="934"/>
      <c r="K238" s="934"/>
      <c r="L238" s="934"/>
      <c r="M238" s="934"/>
      <c r="N238" s="929"/>
      <c r="O238" s="933" t="str">
        <f t="shared" si="7"/>
        <v/>
      </c>
    </row>
    <row r="239" spans="1:15" hidden="1">
      <c r="A239" s="1455"/>
      <c r="B239" s="1455"/>
      <c r="C239" s="145" t="str">
        <f t="shared" si="6"/>
        <v/>
      </c>
      <c r="D239" s="150"/>
      <c r="E239" s="923"/>
      <c r="F239" s="923"/>
      <c r="G239" s="934"/>
      <c r="H239" s="934"/>
      <c r="I239" s="934"/>
      <c r="J239" s="934"/>
      <c r="K239" s="934"/>
      <c r="L239" s="934"/>
      <c r="M239" s="934"/>
      <c r="N239" s="929"/>
      <c r="O239" s="933" t="str">
        <f t="shared" si="7"/>
        <v/>
      </c>
    </row>
    <row r="240" spans="1:15" hidden="1">
      <c r="A240" s="1455"/>
      <c r="B240" s="1455"/>
      <c r="C240" s="145" t="str">
        <f t="shared" si="6"/>
        <v/>
      </c>
      <c r="D240" s="150"/>
      <c r="E240" s="923"/>
      <c r="F240" s="923"/>
      <c r="G240" s="934"/>
      <c r="H240" s="934"/>
      <c r="I240" s="934"/>
      <c r="J240" s="934"/>
      <c r="K240" s="934"/>
      <c r="L240" s="934"/>
      <c r="M240" s="934"/>
      <c r="N240" s="929"/>
      <c r="O240" s="933" t="str">
        <f t="shared" si="7"/>
        <v/>
      </c>
    </row>
    <row r="241" spans="1:15" hidden="1">
      <c r="A241" s="1455"/>
      <c r="B241" s="1455"/>
      <c r="C241" s="145" t="str">
        <f t="shared" si="6"/>
        <v/>
      </c>
      <c r="D241" s="150"/>
      <c r="E241" s="923"/>
      <c r="F241" s="923"/>
      <c r="G241" s="934"/>
      <c r="H241" s="934"/>
      <c r="I241" s="934"/>
      <c r="J241" s="934"/>
      <c r="K241" s="934"/>
      <c r="L241" s="934"/>
      <c r="M241" s="934"/>
      <c r="N241" s="929"/>
      <c r="O241" s="933" t="str">
        <f t="shared" si="7"/>
        <v/>
      </c>
    </row>
    <row r="242" spans="1:15" hidden="1">
      <c r="A242" s="1455"/>
      <c r="B242" s="1455"/>
      <c r="C242" s="145" t="str">
        <f t="shared" si="6"/>
        <v/>
      </c>
      <c r="D242" s="150"/>
      <c r="E242" s="923"/>
      <c r="F242" s="923"/>
      <c r="G242" s="934"/>
      <c r="H242" s="934"/>
      <c r="I242" s="934"/>
      <c r="J242" s="934"/>
      <c r="K242" s="934"/>
      <c r="L242" s="934"/>
      <c r="M242" s="934"/>
      <c r="N242" s="929"/>
      <c r="O242" s="933" t="str">
        <f t="shared" si="7"/>
        <v/>
      </c>
    </row>
    <row r="243" spans="1:15" hidden="1">
      <c r="A243" s="1455"/>
      <c r="B243" s="1455"/>
      <c r="C243" s="145" t="str">
        <f t="shared" si="6"/>
        <v/>
      </c>
      <c r="D243" s="150"/>
      <c r="E243" s="923"/>
      <c r="F243" s="923"/>
      <c r="G243" s="934"/>
      <c r="H243" s="934"/>
      <c r="I243" s="934"/>
      <c r="J243" s="934"/>
      <c r="K243" s="934"/>
      <c r="L243" s="934"/>
      <c r="M243" s="934"/>
      <c r="N243" s="929"/>
      <c r="O243" s="933" t="str">
        <f t="shared" si="7"/>
        <v/>
      </c>
    </row>
    <row r="244" spans="1:15" hidden="1">
      <c r="A244" s="1455"/>
      <c r="B244" s="1455"/>
      <c r="C244" s="145" t="str">
        <f t="shared" si="6"/>
        <v/>
      </c>
      <c r="D244" s="150"/>
      <c r="E244" s="923"/>
      <c r="F244" s="923"/>
      <c r="G244" s="934"/>
      <c r="H244" s="934"/>
      <c r="I244" s="934"/>
      <c r="J244" s="934"/>
      <c r="K244" s="934"/>
      <c r="L244" s="934"/>
      <c r="M244" s="934"/>
      <c r="N244" s="929"/>
      <c r="O244" s="933" t="str">
        <f t="shared" si="7"/>
        <v/>
      </c>
    </row>
    <row r="245" spans="1:15" hidden="1">
      <c r="A245" s="1455"/>
      <c r="B245" s="1455"/>
      <c r="C245" s="145" t="str">
        <f t="shared" si="6"/>
        <v/>
      </c>
      <c r="D245" s="150"/>
      <c r="E245" s="923"/>
      <c r="F245" s="923"/>
      <c r="G245" s="934"/>
      <c r="H245" s="934"/>
      <c r="I245" s="934"/>
      <c r="J245" s="934"/>
      <c r="K245" s="934"/>
      <c r="L245" s="934"/>
      <c r="M245" s="934"/>
      <c r="N245" s="929"/>
      <c r="O245" s="933" t="str">
        <f t="shared" si="7"/>
        <v/>
      </c>
    </row>
    <row r="246" spans="1:15" hidden="1">
      <c r="A246" s="1455"/>
      <c r="B246" s="1455"/>
      <c r="C246" s="145" t="str">
        <f t="shared" si="6"/>
        <v/>
      </c>
      <c r="D246" s="150"/>
      <c r="E246" s="923"/>
      <c r="F246" s="923"/>
      <c r="G246" s="934"/>
      <c r="H246" s="934"/>
      <c r="I246" s="934"/>
      <c r="J246" s="934"/>
      <c r="K246" s="934"/>
      <c r="L246" s="934"/>
      <c r="M246" s="934"/>
      <c r="N246" s="929"/>
      <c r="O246" s="933" t="str">
        <f t="shared" si="7"/>
        <v/>
      </c>
    </row>
    <row r="247" spans="1:15" hidden="1">
      <c r="A247" s="1455"/>
      <c r="B247" s="1455"/>
      <c r="C247" s="145" t="str">
        <f t="shared" si="6"/>
        <v/>
      </c>
      <c r="D247" s="150"/>
      <c r="E247" s="923"/>
      <c r="F247" s="923"/>
      <c r="G247" s="934"/>
      <c r="H247" s="934"/>
      <c r="I247" s="934"/>
      <c r="J247" s="934"/>
      <c r="K247" s="934"/>
      <c r="L247" s="934"/>
      <c r="M247" s="934"/>
      <c r="N247" s="929"/>
      <c r="O247" s="933" t="str">
        <f t="shared" si="7"/>
        <v/>
      </c>
    </row>
    <row r="248" spans="1:15" hidden="1">
      <c r="A248" s="1455"/>
      <c r="B248" s="1455"/>
      <c r="C248" s="145" t="str">
        <f t="shared" si="6"/>
        <v/>
      </c>
      <c r="D248" s="150"/>
      <c r="E248" s="923"/>
      <c r="F248" s="923"/>
      <c r="G248" s="934"/>
      <c r="H248" s="934"/>
      <c r="I248" s="934"/>
      <c r="J248" s="934"/>
      <c r="K248" s="934"/>
      <c r="L248" s="934"/>
      <c r="M248" s="934"/>
      <c r="N248" s="929"/>
      <c r="O248" s="933" t="str">
        <f t="shared" si="7"/>
        <v/>
      </c>
    </row>
    <row r="249" spans="1:15" hidden="1">
      <c r="A249" s="1455"/>
      <c r="B249" s="1455"/>
      <c r="C249" s="145" t="str">
        <f t="shared" si="6"/>
        <v/>
      </c>
      <c r="D249" s="150"/>
      <c r="E249" s="923"/>
      <c r="F249" s="923"/>
      <c r="G249" s="934"/>
      <c r="H249" s="934"/>
      <c r="I249" s="934"/>
      <c r="J249" s="934"/>
      <c r="K249" s="934"/>
      <c r="L249" s="934"/>
      <c r="M249" s="934"/>
      <c r="N249" s="929"/>
      <c r="O249" s="933" t="str">
        <f t="shared" si="7"/>
        <v/>
      </c>
    </row>
    <row r="250" spans="1:15" hidden="1">
      <c r="A250" s="1455"/>
      <c r="B250" s="1455"/>
      <c r="C250" s="145" t="str">
        <f t="shared" si="6"/>
        <v/>
      </c>
      <c r="D250" s="150"/>
      <c r="E250" s="923"/>
      <c r="F250" s="923"/>
      <c r="G250" s="934"/>
      <c r="H250" s="934"/>
      <c r="I250" s="934"/>
      <c r="J250" s="934"/>
      <c r="K250" s="934"/>
      <c r="L250" s="934"/>
      <c r="M250" s="934"/>
      <c r="N250" s="929"/>
      <c r="O250" s="933" t="str">
        <f t="shared" si="7"/>
        <v/>
      </c>
    </row>
    <row r="251" spans="1:15" hidden="1">
      <c r="A251" s="1455"/>
      <c r="B251" s="1455"/>
      <c r="C251" s="145" t="str">
        <f t="shared" si="6"/>
        <v/>
      </c>
      <c r="D251" s="150"/>
      <c r="E251" s="923"/>
      <c r="F251" s="923"/>
      <c r="G251" s="934"/>
      <c r="H251" s="934"/>
      <c r="I251" s="934"/>
      <c r="J251" s="934"/>
      <c r="K251" s="934"/>
      <c r="L251" s="934"/>
      <c r="M251" s="934"/>
      <c r="N251" s="929"/>
      <c r="O251" s="933" t="str">
        <f t="shared" si="7"/>
        <v/>
      </c>
    </row>
    <row r="252" spans="1:15" hidden="1">
      <c r="A252" s="1455"/>
      <c r="B252" s="1455"/>
      <c r="C252" s="145" t="str">
        <f t="shared" si="6"/>
        <v/>
      </c>
      <c r="D252" s="150"/>
      <c r="E252" s="923"/>
      <c r="F252" s="923"/>
      <c r="G252" s="934"/>
      <c r="H252" s="934"/>
      <c r="I252" s="934"/>
      <c r="J252" s="934"/>
      <c r="K252" s="934"/>
      <c r="L252" s="934"/>
      <c r="M252" s="934"/>
      <c r="N252" s="929"/>
      <c r="O252" s="933" t="str">
        <f t="shared" si="7"/>
        <v/>
      </c>
    </row>
    <row r="253" spans="1:15" hidden="1">
      <c r="A253" s="1455"/>
      <c r="B253" s="1455"/>
      <c r="C253" s="145" t="str">
        <f t="shared" si="6"/>
        <v/>
      </c>
      <c r="D253" s="150"/>
      <c r="E253" s="923"/>
      <c r="F253" s="923"/>
      <c r="G253" s="934"/>
      <c r="H253" s="934"/>
      <c r="I253" s="934"/>
      <c r="J253" s="934"/>
      <c r="K253" s="934"/>
      <c r="L253" s="934"/>
      <c r="M253" s="934"/>
      <c r="N253" s="929"/>
      <c r="O253" s="933" t="str">
        <f t="shared" si="7"/>
        <v/>
      </c>
    </row>
    <row r="254" spans="1:15" hidden="1">
      <c r="A254" s="1455"/>
      <c r="B254" s="1455"/>
      <c r="C254" s="145" t="str">
        <f t="shared" si="6"/>
        <v/>
      </c>
      <c r="D254" s="150"/>
      <c r="E254" s="923"/>
      <c r="F254" s="923"/>
      <c r="G254" s="934"/>
      <c r="H254" s="934"/>
      <c r="I254" s="934"/>
      <c r="J254" s="934"/>
      <c r="K254" s="934"/>
      <c r="L254" s="934"/>
      <c r="M254" s="934"/>
      <c r="N254" s="929"/>
      <c r="O254" s="933" t="str">
        <f t="shared" si="7"/>
        <v/>
      </c>
    </row>
    <row r="255" spans="1:15" hidden="1">
      <c r="A255" s="1455"/>
      <c r="B255" s="1455"/>
      <c r="C255" s="145" t="str">
        <f t="shared" si="6"/>
        <v/>
      </c>
      <c r="D255" s="150"/>
      <c r="E255" s="923"/>
      <c r="F255" s="923"/>
      <c r="G255" s="934"/>
      <c r="H255" s="934"/>
      <c r="I255" s="934"/>
      <c r="J255" s="934"/>
      <c r="K255" s="934"/>
      <c r="L255" s="934"/>
      <c r="M255" s="934"/>
      <c r="N255" s="929"/>
      <c r="O255" s="933" t="str">
        <f t="shared" si="7"/>
        <v/>
      </c>
    </row>
    <row r="256" spans="1:15" hidden="1">
      <c r="A256" s="1455"/>
      <c r="B256" s="1455"/>
      <c r="C256" s="145" t="str">
        <f t="shared" si="6"/>
        <v/>
      </c>
      <c r="D256" s="150"/>
      <c r="E256" s="923"/>
      <c r="F256" s="923"/>
      <c r="G256" s="934"/>
      <c r="H256" s="934"/>
      <c r="I256" s="934"/>
      <c r="J256" s="934"/>
      <c r="K256" s="934"/>
      <c r="L256" s="934"/>
      <c r="M256" s="934"/>
      <c r="N256" s="929"/>
      <c r="O256" s="933" t="str">
        <f t="shared" si="7"/>
        <v/>
      </c>
    </row>
    <row r="257" spans="1:15" hidden="1">
      <c r="A257" s="1455"/>
      <c r="B257" s="1455"/>
      <c r="C257" s="145" t="str">
        <f t="shared" si="6"/>
        <v/>
      </c>
      <c r="D257" s="150"/>
      <c r="E257" s="923"/>
      <c r="F257" s="923"/>
      <c r="G257" s="934"/>
      <c r="H257" s="934"/>
      <c r="I257" s="934"/>
      <c r="J257" s="934"/>
      <c r="K257" s="934"/>
      <c r="L257" s="934"/>
      <c r="M257" s="934"/>
      <c r="N257" s="929"/>
      <c r="O257" s="933" t="str">
        <f t="shared" si="7"/>
        <v/>
      </c>
    </row>
    <row r="258" spans="1:15" hidden="1">
      <c r="A258" s="1455"/>
      <c r="B258" s="1455"/>
      <c r="C258" s="145" t="str">
        <f t="shared" si="6"/>
        <v/>
      </c>
      <c r="D258" s="150"/>
      <c r="E258" s="923"/>
      <c r="F258" s="923"/>
      <c r="G258" s="934"/>
      <c r="H258" s="934"/>
      <c r="I258" s="934"/>
      <c r="J258" s="934"/>
      <c r="K258" s="934"/>
      <c r="L258" s="934"/>
      <c r="M258" s="934"/>
      <c r="N258" s="929"/>
      <c r="O258" s="933" t="str">
        <f t="shared" si="7"/>
        <v/>
      </c>
    </row>
    <row r="259" spans="1:15" hidden="1">
      <c r="A259" s="1455"/>
      <c r="B259" s="1455"/>
      <c r="C259" s="145" t="str">
        <f t="shared" si="6"/>
        <v/>
      </c>
      <c r="D259" s="150"/>
      <c r="E259" s="923"/>
      <c r="F259" s="923"/>
      <c r="G259" s="934"/>
      <c r="H259" s="934"/>
      <c r="I259" s="934"/>
      <c r="J259" s="934"/>
      <c r="K259" s="934"/>
      <c r="L259" s="934"/>
      <c r="M259" s="934"/>
      <c r="N259" s="929"/>
      <c r="O259" s="933" t="str">
        <f t="shared" si="7"/>
        <v/>
      </c>
    </row>
    <row r="260" spans="1:15" hidden="1">
      <c r="A260" s="1455"/>
      <c r="B260" s="1455"/>
      <c r="C260" s="145" t="str">
        <f t="shared" si="6"/>
        <v/>
      </c>
      <c r="D260" s="150"/>
      <c r="E260" s="923"/>
      <c r="F260" s="923"/>
      <c r="G260" s="934"/>
      <c r="H260" s="934"/>
      <c r="I260" s="934"/>
      <c r="J260" s="934"/>
      <c r="K260" s="934"/>
      <c r="L260" s="934"/>
      <c r="M260" s="934"/>
      <c r="N260" s="929"/>
      <c r="O260" s="933" t="str">
        <f t="shared" si="7"/>
        <v/>
      </c>
    </row>
    <row r="261" spans="1:15" hidden="1">
      <c r="A261" s="1455"/>
      <c r="B261" s="1455"/>
      <c r="C261" s="145" t="str">
        <f t="shared" si="6"/>
        <v/>
      </c>
      <c r="D261" s="150"/>
      <c r="E261" s="923"/>
      <c r="F261" s="923"/>
      <c r="G261" s="934"/>
      <c r="H261" s="934"/>
      <c r="I261" s="934"/>
      <c r="J261" s="934"/>
      <c r="K261" s="934"/>
      <c r="L261" s="934"/>
      <c r="M261" s="934"/>
      <c r="N261" s="929"/>
      <c r="O261" s="933" t="str">
        <f t="shared" si="7"/>
        <v/>
      </c>
    </row>
    <row r="262" spans="1:15" hidden="1">
      <c r="A262" s="1455"/>
      <c r="B262" s="1455"/>
      <c r="C262" s="145" t="str">
        <f t="shared" si="6"/>
        <v/>
      </c>
      <c r="D262" s="150"/>
      <c r="E262" s="923"/>
      <c r="F262" s="923"/>
      <c r="G262" s="934"/>
      <c r="H262" s="934"/>
      <c r="I262" s="934"/>
      <c r="J262" s="934"/>
      <c r="K262" s="934"/>
      <c r="L262" s="934"/>
      <c r="M262" s="934"/>
      <c r="N262" s="929"/>
      <c r="O262" s="933" t="str">
        <f t="shared" si="7"/>
        <v/>
      </c>
    </row>
    <row r="263" spans="1:15" hidden="1">
      <c r="A263" s="1455"/>
      <c r="B263" s="1455"/>
      <c r="C263" s="145" t="str">
        <f t="shared" si="6"/>
        <v/>
      </c>
      <c r="D263" s="150"/>
      <c r="E263" s="923"/>
      <c r="F263" s="923"/>
      <c r="G263" s="934"/>
      <c r="H263" s="934"/>
      <c r="I263" s="934"/>
      <c r="J263" s="934"/>
      <c r="K263" s="934"/>
      <c r="L263" s="934"/>
      <c r="M263" s="934"/>
      <c r="N263" s="929"/>
      <c r="O263" s="933" t="str">
        <f t="shared" si="7"/>
        <v/>
      </c>
    </row>
    <row r="264" spans="1:15" hidden="1">
      <c r="A264" s="1455"/>
      <c r="B264" s="1455"/>
      <c r="C264" s="145" t="str">
        <f t="shared" si="6"/>
        <v/>
      </c>
      <c r="D264" s="150"/>
      <c r="E264" s="923"/>
      <c r="F264" s="923"/>
      <c r="G264" s="934"/>
      <c r="H264" s="934"/>
      <c r="I264" s="934"/>
      <c r="J264" s="934"/>
      <c r="K264" s="934"/>
      <c r="L264" s="934"/>
      <c r="M264" s="934"/>
      <c r="N264" s="929"/>
      <c r="O264" s="933" t="str">
        <f t="shared" si="7"/>
        <v/>
      </c>
    </row>
    <row r="265" spans="1:15" hidden="1">
      <c r="A265" s="1455"/>
      <c r="B265" s="1455"/>
      <c r="C265" s="145" t="str">
        <f t="shared" si="6"/>
        <v/>
      </c>
      <c r="D265" s="150"/>
      <c r="E265" s="923"/>
      <c r="F265" s="923"/>
      <c r="G265" s="934"/>
      <c r="H265" s="934"/>
      <c r="I265" s="934"/>
      <c r="J265" s="934"/>
      <c r="K265" s="934"/>
      <c r="L265" s="934"/>
      <c r="M265" s="934"/>
      <c r="N265" s="929"/>
      <c r="O265" s="933" t="str">
        <f t="shared" si="7"/>
        <v/>
      </c>
    </row>
    <row r="266" spans="1:15" hidden="1">
      <c r="A266" s="1455"/>
      <c r="B266" s="1455"/>
      <c r="C266" s="145" t="str">
        <f t="shared" si="6"/>
        <v/>
      </c>
      <c r="D266" s="150"/>
      <c r="E266" s="923"/>
      <c r="F266" s="923"/>
      <c r="G266" s="934"/>
      <c r="H266" s="934"/>
      <c r="I266" s="934"/>
      <c r="J266" s="934"/>
      <c r="K266" s="934"/>
      <c r="L266" s="934"/>
      <c r="M266" s="934"/>
      <c r="N266" s="929"/>
      <c r="O266" s="933" t="str">
        <f t="shared" si="7"/>
        <v/>
      </c>
    </row>
    <row r="267" spans="1:15" hidden="1">
      <c r="A267" s="1455"/>
      <c r="B267" s="1455"/>
      <c r="C267" s="145" t="str">
        <f t="shared" si="6"/>
        <v/>
      </c>
      <c r="D267" s="150"/>
      <c r="E267" s="923"/>
      <c r="F267" s="923"/>
      <c r="G267" s="934"/>
      <c r="H267" s="934"/>
      <c r="I267" s="934"/>
      <c r="J267" s="934"/>
      <c r="K267" s="934"/>
      <c r="L267" s="934"/>
      <c r="M267" s="934"/>
      <c r="N267" s="929"/>
      <c r="O267" s="933" t="str">
        <f t="shared" si="7"/>
        <v/>
      </c>
    </row>
    <row r="268" spans="1:15" hidden="1">
      <c r="A268" s="1455"/>
      <c r="B268" s="1455"/>
      <c r="C268" s="145" t="str">
        <f t="shared" si="6"/>
        <v/>
      </c>
      <c r="D268" s="150"/>
      <c r="E268" s="923"/>
      <c r="F268" s="923"/>
      <c r="G268" s="934"/>
      <c r="H268" s="934"/>
      <c r="I268" s="934"/>
      <c r="J268" s="934"/>
      <c r="K268" s="934"/>
      <c r="L268" s="934"/>
      <c r="M268" s="934"/>
      <c r="N268" s="929"/>
      <c r="O268" s="933" t="str">
        <f t="shared" si="7"/>
        <v/>
      </c>
    </row>
    <row r="269" spans="1:15" hidden="1">
      <c r="A269" s="1455"/>
      <c r="B269" s="1455"/>
      <c r="C269" s="145" t="str">
        <f t="shared" si="6"/>
        <v/>
      </c>
      <c r="D269" s="150"/>
      <c r="E269" s="923"/>
      <c r="F269" s="923"/>
      <c r="G269" s="934"/>
      <c r="H269" s="934"/>
      <c r="I269" s="934"/>
      <c r="J269" s="934"/>
      <c r="K269" s="934"/>
      <c r="L269" s="934"/>
      <c r="M269" s="934"/>
      <c r="N269" s="929"/>
      <c r="O269" s="933" t="str">
        <f t="shared" si="7"/>
        <v/>
      </c>
    </row>
    <row r="270" spans="1:15" hidden="1">
      <c r="A270" s="1455"/>
      <c r="B270" s="1455"/>
      <c r="C270" s="145" t="str">
        <f t="shared" si="6"/>
        <v/>
      </c>
      <c r="D270" s="150"/>
      <c r="E270" s="923"/>
      <c r="F270" s="923"/>
      <c r="G270" s="934"/>
      <c r="H270" s="934"/>
      <c r="I270" s="934"/>
      <c r="J270" s="934"/>
      <c r="K270" s="934"/>
      <c r="L270" s="934"/>
      <c r="M270" s="934"/>
      <c r="N270" s="929"/>
      <c r="O270" s="933" t="str">
        <f t="shared" si="7"/>
        <v/>
      </c>
    </row>
    <row r="271" spans="1:15" hidden="1">
      <c r="A271" s="1455"/>
      <c r="B271" s="1455"/>
      <c r="C271" s="145" t="str">
        <f t="shared" si="6"/>
        <v/>
      </c>
      <c r="D271" s="150"/>
      <c r="E271" s="923"/>
      <c r="F271" s="923"/>
      <c r="G271" s="934"/>
      <c r="H271" s="934"/>
      <c r="I271" s="934"/>
      <c r="J271" s="934"/>
      <c r="K271" s="934"/>
      <c r="L271" s="934"/>
      <c r="M271" s="934"/>
      <c r="N271" s="929"/>
      <c r="O271" s="933" t="str">
        <f t="shared" si="7"/>
        <v/>
      </c>
    </row>
    <row r="272" spans="1:15" hidden="1">
      <c r="A272" s="1455"/>
      <c r="B272" s="1455"/>
      <c r="C272" s="145" t="str">
        <f t="shared" si="6"/>
        <v/>
      </c>
      <c r="D272" s="150"/>
      <c r="E272" s="923"/>
      <c r="F272" s="923"/>
      <c r="G272" s="934"/>
      <c r="H272" s="934"/>
      <c r="I272" s="934"/>
      <c r="J272" s="934"/>
      <c r="K272" s="934"/>
      <c r="L272" s="934"/>
      <c r="M272" s="934"/>
      <c r="N272" s="929"/>
      <c r="O272" s="933" t="str">
        <f t="shared" si="7"/>
        <v/>
      </c>
    </row>
    <row r="273" spans="1:15" hidden="1">
      <c r="A273" s="1455"/>
      <c r="B273" s="1455"/>
      <c r="C273" s="145" t="str">
        <f t="shared" ref="C273:C336" si="8">IF(A273&lt;&gt;"",ROW(),"")</f>
        <v/>
      </c>
      <c r="D273" s="150"/>
      <c r="E273" s="923"/>
      <c r="F273" s="923"/>
      <c r="G273" s="934"/>
      <c r="H273" s="934"/>
      <c r="I273" s="934"/>
      <c r="J273" s="934"/>
      <c r="K273" s="934"/>
      <c r="L273" s="934"/>
      <c r="M273" s="934"/>
      <c r="N273" s="929"/>
      <c r="O273" s="933" t="str">
        <f t="shared" ref="O273:O336" si="9">IF(A273&lt;&gt;"",A273,"")</f>
        <v/>
      </c>
    </row>
    <row r="274" spans="1:15" hidden="1">
      <c r="A274" s="1455"/>
      <c r="B274" s="1455"/>
      <c r="C274" s="145" t="str">
        <f t="shared" si="8"/>
        <v/>
      </c>
      <c r="D274" s="150"/>
      <c r="E274" s="923"/>
      <c r="F274" s="923"/>
      <c r="G274" s="934"/>
      <c r="H274" s="934"/>
      <c r="I274" s="934"/>
      <c r="J274" s="934"/>
      <c r="K274" s="934"/>
      <c r="L274" s="934"/>
      <c r="M274" s="934"/>
      <c r="N274" s="929"/>
      <c r="O274" s="933" t="str">
        <f t="shared" si="9"/>
        <v/>
      </c>
    </row>
    <row r="275" spans="1:15" hidden="1">
      <c r="A275" s="1455"/>
      <c r="B275" s="1455"/>
      <c r="C275" s="145" t="str">
        <f t="shared" si="8"/>
        <v/>
      </c>
      <c r="D275" s="150"/>
      <c r="E275" s="923"/>
      <c r="F275" s="923"/>
      <c r="G275" s="934"/>
      <c r="H275" s="934"/>
      <c r="I275" s="934"/>
      <c r="J275" s="934"/>
      <c r="K275" s="934"/>
      <c r="L275" s="934"/>
      <c r="M275" s="934"/>
      <c r="N275" s="929"/>
      <c r="O275" s="933" t="str">
        <f t="shared" si="9"/>
        <v/>
      </c>
    </row>
    <row r="276" spans="1:15" hidden="1">
      <c r="A276" s="1455"/>
      <c r="B276" s="1455"/>
      <c r="C276" s="145" t="str">
        <f t="shared" si="8"/>
        <v/>
      </c>
      <c r="D276" s="150"/>
      <c r="E276" s="923"/>
      <c r="F276" s="923"/>
      <c r="G276" s="934"/>
      <c r="H276" s="934"/>
      <c r="I276" s="934"/>
      <c r="J276" s="934"/>
      <c r="K276" s="934"/>
      <c r="L276" s="934"/>
      <c r="M276" s="934"/>
      <c r="N276" s="929"/>
      <c r="O276" s="933" t="str">
        <f t="shared" si="9"/>
        <v/>
      </c>
    </row>
    <row r="277" spans="1:15" hidden="1">
      <c r="A277" s="1455"/>
      <c r="B277" s="1455"/>
      <c r="C277" s="145" t="str">
        <f t="shared" si="8"/>
        <v/>
      </c>
      <c r="D277" s="150"/>
      <c r="E277" s="923"/>
      <c r="F277" s="923"/>
      <c r="G277" s="934"/>
      <c r="H277" s="934"/>
      <c r="I277" s="934"/>
      <c r="J277" s="934"/>
      <c r="K277" s="934"/>
      <c r="L277" s="934"/>
      <c r="M277" s="934"/>
      <c r="N277" s="929"/>
      <c r="O277" s="933" t="str">
        <f t="shared" si="9"/>
        <v/>
      </c>
    </row>
    <row r="278" spans="1:15" hidden="1">
      <c r="A278" s="1455"/>
      <c r="B278" s="1455"/>
      <c r="C278" s="145" t="str">
        <f t="shared" si="8"/>
        <v/>
      </c>
      <c r="D278" s="150"/>
      <c r="E278" s="923"/>
      <c r="F278" s="923"/>
      <c r="G278" s="934"/>
      <c r="H278" s="934"/>
      <c r="I278" s="934"/>
      <c r="J278" s="934"/>
      <c r="K278" s="934"/>
      <c r="L278" s="934"/>
      <c r="M278" s="934"/>
      <c r="N278" s="929"/>
      <c r="O278" s="933" t="str">
        <f t="shared" si="9"/>
        <v/>
      </c>
    </row>
    <row r="279" spans="1:15" hidden="1">
      <c r="A279" s="1455"/>
      <c r="B279" s="1455"/>
      <c r="C279" s="145" t="str">
        <f t="shared" si="8"/>
        <v/>
      </c>
      <c r="D279" s="150"/>
      <c r="E279" s="923"/>
      <c r="F279" s="923"/>
      <c r="G279" s="934"/>
      <c r="H279" s="934"/>
      <c r="I279" s="934"/>
      <c r="J279" s="934"/>
      <c r="K279" s="934"/>
      <c r="L279" s="934"/>
      <c r="M279" s="934"/>
      <c r="N279" s="929"/>
      <c r="O279" s="933" t="str">
        <f t="shared" si="9"/>
        <v/>
      </c>
    </row>
    <row r="280" spans="1:15" hidden="1">
      <c r="A280" s="1455"/>
      <c r="B280" s="1455"/>
      <c r="C280" s="145" t="str">
        <f t="shared" si="8"/>
        <v/>
      </c>
      <c r="D280" s="150"/>
      <c r="E280" s="923"/>
      <c r="F280" s="923"/>
      <c r="G280" s="934"/>
      <c r="H280" s="934"/>
      <c r="I280" s="934"/>
      <c r="J280" s="934"/>
      <c r="K280" s="934"/>
      <c r="L280" s="934"/>
      <c r="M280" s="934"/>
      <c r="N280" s="929"/>
      <c r="O280" s="933" t="str">
        <f t="shared" si="9"/>
        <v/>
      </c>
    </row>
    <row r="281" spans="1:15" hidden="1">
      <c r="A281" s="1455"/>
      <c r="B281" s="1455"/>
      <c r="C281" s="145" t="str">
        <f t="shared" si="8"/>
        <v/>
      </c>
      <c r="D281" s="150"/>
      <c r="E281" s="923"/>
      <c r="F281" s="923"/>
      <c r="G281" s="934"/>
      <c r="H281" s="934"/>
      <c r="I281" s="934"/>
      <c r="J281" s="934"/>
      <c r="K281" s="934"/>
      <c r="L281" s="934"/>
      <c r="M281" s="934"/>
      <c r="N281" s="929"/>
      <c r="O281" s="933" t="str">
        <f t="shared" si="9"/>
        <v/>
      </c>
    </row>
    <row r="282" spans="1:15" hidden="1">
      <c r="A282" s="1455"/>
      <c r="B282" s="1455"/>
      <c r="C282" s="145" t="str">
        <f t="shared" si="8"/>
        <v/>
      </c>
      <c r="D282" s="150"/>
      <c r="E282" s="923"/>
      <c r="F282" s="923"/>
      <c r="G282" s="934"/>
      <c r="H282" s="934"/>
      <c r="I282" s="934"/>
      <c r="J282" s="934"/>
      <c r="K282" s="934"/>
      <c r="L282" s="934"/>
      <c r="M282" s="934"/>
      <c r="N282" s="929"/>
      <c r="O282" s="933" t="str">
        <f t="shared" si="9"/>
        <v/>
      </c>
    </row>
    <row r="283" spans="1:15" hidden="1">
      <c r="A283" s="1455"/>
      <c r="B283" s="1455"/>
      <c r="C283" s="145" t="str">
        <f t="shared" si="8"/>
        <v/>
      </c>
      <c r="D283" s="150"/>
      <c r="E283" s="923"/>
      <c r="F283" s="923"/>
      <c r="G283" s="934"/>
      <c r="H283" s="934"/>
      <c r="I283" s="934"/>
      <c r="J283" s="934"/>
      <c r="K283" s="934"/>
      <c r="L283" s="934"/>
      <c r="M283" s="934"/>
      <c r="N283" s="929"/>
      <c r="O283" s="933" t="str">
        <f t="shared" si="9"/>
        <v/>
      </c>
    </row>
    <row r="284" spans="1:15" hidden="1">
      <c r="A284" s="1455"/>
      <c r="B284" s="1455"/>
      <c r="C284" s="145" t="str">
        <f t="shared" si="8"/>
        <v/>
      </c>
      <c r="D284" s="150"/>
      <c r="E284" s="923"/>
      <c r="F284" s="923"/>
      <c r="G284" s="934"/>
      <c r="H284" s="934"/>
      <c r="I284" s="934"/>
      <c r="J284" s="934"/>
      <c r="K284" s="934"/>
      <c r="L284" s="934"/>
      <c r="M284" s="934"/>
      <c r="N284" s="929"/>
      <c r="O284" s="933" t="str">
        <f t="shared" si="9"/>
        <v/>
      </c>
    </row>
    <row r="285" spans="1:15" hidden="1">
      <c r="A285" s="1455"/>
      <c r="B285" s="1455"/>
      <c r="C285" s="145" t="str">
        <f t="shared" si="8"/>
        <v/>
      </c>
      <c r="D285" s="150"/>
      <c r="E285" s="923"/>
      <c r="F285" s="923"/>
      <c r="G285" s="934"/>
      <c r="H285" s="934"/>
      <c r="I285" s="934"/>
      <c r="J285" s="934"/>
      <c r="K285" s="934"/>
      <c r="L285" s="934"/>
      <c r="M285" s="934"/>
      <c r="N285" s="929"/>
      <c r="O285" s="933" t="str">
        <f t="shared" si="9"/>
        <v/>
      </c>
    </row>
    <row r="286" spans="1:15" hidden="1">
      <c r="A286" s="1455"/>
      <c r="B286" s="1455"/>
      <c r="C286" s="145" t="str">
        <f t="shared" si="8"/>
        <v/>
      </c>
      <c r="D286" s="150"/>
      <c r="E286" s="923"/>
      <c r="F286" s="923"/>
      <c r="G286" s="934"/>
      <c r="H286" s="934"/>
      <c r="I286" s="934"/>
      <c r="J286" s="934"/>
      <c r="K286" s="934"/>
      <c r="L286" s="934"/>
      <c r="M286" s="934"/>
      <c r="N286" s="929"/>
      <c r="O286" s="933" t="str">
        <f t="shared" si="9"/>
        <v/>
      </c>
    </row>
    <row r="287" spans="1:15" hidden="1">
      <c r="A287" s="1455"/>
      <c r="B287" s="1455"/>
      <c r="C287" s="145" t="str">
        <f t="shared" si="8"/>
        <v/>
      </c>
      <c r="D287" s="150"/>
      <c r="E287" s="923"/>
      <c r="F287" s="923"/>
      <c r="G287" s="934"/>
      <c r="H287" s="934"/>
      <c r="I287" s="934"/>
      <c r="J287" s="934"/>
      <c r="K287" s="934"/>
      <c r="L287" s="934"/>
      <c r="M287" s="934"/>
      <c r="N287" s="929"/>
      <c r="O287" s="933" t="str">
        <f t="shared" si="9"/>
        <v/>
      </c>
    </row>
    <row r="288" spans="1:15" hidden="1">
      <c r="A288" s="1455"/>
      <c r="B288" s="1455"/>
      <c r="C288" s="145" t="str">
        <f t="shared" si="8"/>
        <v/>
      </c>
      <c r="D288" s="150"/>
      <c r="E288" s="923"/>
      <c r="F288" s="923"/>
      <c r="G288" s="934"/>
      <c r="H288" s="934"/>
      <c r="I288" s="934"/>
      <c r="J288" s="934"/>
      <c r="K288" s="934"/>
      <c r="L288" s="934"/>
      <c r="M288" s="934"/>
      <c r="N288" s="929"/>
      <c r="O288" s="933" t="str">
        <f t="shared" si="9"/>
        <v/>
      </c>
    </row>
    <row r="289" spans="1:15" hidden="1">
      <c r="A289" s="1455"/>
      <c r="B289" s="1455"/>
      <c r="C289" s="145" t="str">
        <f t="shared" si="8"/>
        <v/>
      </c>
      <c r="D289" s="150"/>
      <c r="E289" s="923"/>
      <c r="F289" s="923"/>
      <c r="G289" s="934"/>
      <c r="H289" s="934"/>
      <c r="I289" s="934"/>
      <c r="J289" s="934"/>
      <c r="K289" s="934"/>
      <c r="L289" s="934"/>
      <c r="M289" s="934"/>
      <c r="N289" s="929"/>
      <c r="O289" s="933" t="str">
        <f t="shared" si="9"/>
        <v/>
      </c>
    </row>
    <row r="290" spans="1:15" hidden="1">
      <c r="A290" s="1455"/>
      <c r="B290" s="1455"/>
      <c r="C290" s="145" t="str">
        <f t="shared" si="8"/>
        <v/>
      </c>
      <c r="D290" s="150"/>
      <c r="E290" s="923"/>
      <c r="F290" s="923"/>
      <c r="G290" s="934"/>
      <c r="H290" s="934"/>
      <c r="I290" s="934"/>
      <c r="J290" s="934"/>
      <c r="K290" s="934"/>
      <c r="L290" s="934"/>
      <c r="M290" s="934"/>
      <c r="N290" s="929"/>
      <c r="O290" s="933" t="str">
        <f t="shared" si="9"/>
        <v/>
      </c>
    </row>
    <row r="291" spans="1:15" hidden="1">
      <c r="A291" s="1455"/>
      <c r="B291" s="1455"/>
      <c r="C291" s="145" t="str">
        <f t="shared" si="8"/>
        <v/>
      </c>
      <c r="D291" s="150"/>
      <c r="E291" s="923"/>
      <c r="F291" s="923"/>
      <c r="G291" s="934"/>
      <c r="H291" s="934"/>
      <c r="I291" s="934"/>
      <c r="J291" s="934"/>
      <c r="K291" s="934"/>
      <c r="L291" s="934"/>
      <c r="M291" s="934"/>
      <c r="N291" s="929"/>
      <c r="O291" s="933" t="str">
        <f t="shared" si="9"/>
        <v/>
      </c>
    </row>
    <row r="292" spans="1:15" hidden="1">
      <c r="A292" s="1455"/>
      <c r="B292" s="1455"/>
      <c r="C292" s="145" t="str">
        <f t="shared" si="8"/>
        <v/>
      </c>
      <c r="D292" s="150"/>
      <c r="E292" s="923"/>
      <c r="F292" s="923"/>
      <c r="G292" s="934"/>
      <c r="H292" s="934"/>
      <c r="I292" s="934"/>
      <c r="J292" s="934"/>
      <c r="K292" s="934"/>
      <c r="L292" s="934"/>
      <c r="M292" s="934"/>
      <c r="N292" s="929"/>
      <c r="O292" s="933" t="str">
        <f t="shared" si="9"/>
        <v/>
      </c>
    </row>
    <row r="293" spans="1:15" hidden="1">
      <c r="A293" s="1455"/>
      <c r="B293" s="1455"/>
      <c r="C293" s="145" t="str">
        <f t="shared" si="8"/>
        <v/>
      </c>
      <c r="D293" s="150"/>
      <c r="E293" s="923"/>
      <c r="F293" s="923"/>
      <c r="G293" s="934"/>
      <c r="H293" s="934"/>
      <c r="I293" s="934"/>
      <c r="J293" s="934"/>
      <c r="K293" s="934"/>
      <c r="L293" s="934"/>
      <c r="M293" s="934"/>
      <c r="N293" s="929"/>
      <c r="O293" s="933" t="str">
        <f t="shared" si="9"/>
        <v/>
      </c>
    </row>
    <row r="294" spans="1:15" hidden="1">
      <c r="A294" s="1455"/>
      <c r="B294" s="1455"/>
      <c r="C294" s="145" t="str">
        <f t="shared" si="8"/>
        <v/>
      </c>
      <c r="D294" s="150"/>
      <c r="E294" s="923"/>
      <c r="F294" s="923"/>
      <c r="G294" s="934"/>
      <c r="H294" s="934"/>
      <c r="I294" s="934"/>
      <c r="J294" s="934"/>
      <c r="K294" s="934"/>
      <c r="L294" s="934"/>
      <c r="M294" s="934"/>
      <c r="N294" s="929"/>
      <c r="O294" s="933" t="str">
        <f t="shared" si="9"/>
        <v/>
      </c>
    </row>
    <row r="295" spans="1:15" hidden="1">
      <c r="A295" s="1455"/>
      <c r="B295" s="1455"/>
      <c r="C295" s="145" t="str">
        <f t="shared" si="8"/>
        <v/>
      </c>
      <c r="D295" s="150"/>
      <c r="E295" s="923"/>
      <c r="F295" s="923"/>
      <c r="G295" s="934"/>
      <c r="H295" s="934"/>
      <c r="I295" s="934"/>
      <c r="J295" s="934"/>
      <c r="K295" s="934"/>
      <c r="L295" s="934"/>
      <c r="M295" s="934"/>
      <c r="N295" s="929"/>
      <c r="O295" s="933" t="str">
        <f t="shared" si="9"/>
        <v/>
      </c>
    </row>
    <row r="296" spans="1:15" hidden="1">
      <c r="A296" s="1455"/>
      <c r="B296" s="1455"/>
      <c r="C296" s="145" t="str">
        <f t="shared" si="8"/>
        <v/>
      </c>
      <c r="D296" s="150"/>
      <c r="E296" s="923"/>
      <c r="F296" s="923"/>
      <c r="G296" s="934"/>
      <c r="H296" s="934"/>
      <c r="I296" s="934"/>
      <c r="J296" s="934"/>
      <c r="K296" s="934"/>
      <c r="L296" s="934"/>
      <c r="M296" s="934"/>
      <c r="N296" s="929"/>
      <c r="O296" s="933" t="str">
        <f t="shared" si="9"/>
        <v/>
      </c>
    </row>
    <row r="297" spans="1:15" hidden="1">
      <c r="A297" s="1455"/>
      <c r="B297" s="1455"/>
      <c r="C297" s="145" t="str">
        <f t="shared" si="8"/>
        <v/>
      </c>
      <c r="D297" s="150"/>
      <c r="E297" s="923"/>
      <c r="F297" s="923"/>
      <c r="G297" s="934"/>
      <c r="H297" s="934"/>
      <c r="I297" s="934"/>
      <c r="J297" s="934"/>
      <c r="K297" s="934"/>
      <c r="L297" s="934"/>
      <c r="M297" s="934"/>
      <c r="N297" s="929"/>
      <c r="O297" s="933" t="str">
        <f t="shared" si="9"/>
        <v/>
      </c>
    </row>
    <row r="298" spans="1:15" hidden="1">
      <c r="A298" s="1455"/>
      <c r="B298" s="1455"/>
      <c r="C298" s="145" t="str">
        <f t="shared" si="8"/>
        <v/>
      </c>
      <c r="D298" s="150"/>
      <c r="E298" s="923"/>
      <c r="F298" s="923"/>
      <c r="G298" s="934"/>
      <c r="H298" s="934"/>
      <c r="I298" s="934"/>
      <c r="J298" s="934"/>
      <c r="K298" s="934"/>
      <c r="L298" s="934"/>
      <c r="M298" s="934"/>
      <c r="N298" s="929"/>
      <c r="O298" s="933" t="str">
        <f t="shared" si="9"/>
        <v/>
      </c>
    </row>
    <row r="299" spans="1:15" hidden="1">
      <c r="A299" s="1455"/>
      <c r="B299" s="1455"/>
      <c r="C299" s="145" t="str">
        <f t="shared" si="8"/>
        <v/>
      </c>
      <c r="D299" s="150"/>
      <c r="E299" s="923"/>
      <c r="F299" s="923"/>
      <c r="G299" s="934"/>
      <c r="H299" s="934"/>
      <c r="I299" s="934"/>
      <c r="J299" s="934"/>
      <c r="K299" s="934"/>
      <c r="L299" s="934"/>
      <c r="M299" s="934"/>
      <c r="N299" s="929"/>
      <c r="O299" s="933" t="str">
        <f t="shared" si="9"/>
        <v/>
      </c>
    </row>
    <row r="300" spans="1:15" hidden="1">
      <c r="A300" s="1455"/>
      <c r="B300" s="1455"/>
      <c r="C300" s="145" t="str">
        <f t="shared" si="8"/>
        <v/>
      </c>
      <c r="D300" s="150"/>
      <c r="E300" s="923"/>
      <c r="F300" s="923"/>
      <c r="G300" s="934"/>
      <c r="H300" s="934"/>
      <c r="I300" s="934"/>
      <c r="J300" s="934"/>
      <c r="K300" s="934"/>
      <c r="L300" s="934"/>
      <c r="M300" s="934"/>
      <c r="N300" s="929"/>
      <c r="O300" s="933" t="str">
        <f t="shared" si="9"/>
        <v/>
      </c>
    </row>
    <row r="301" spans="1:15" hidden="1">
      <c r="A301" s="1455"/>
      <c r="B301" s="1455"/>
      <c r="C301" s="145" t="str">
        <f t="shared" si="8"/>
        <v/>
      </c>
      <c r="D301" s="150"/>
      <c r="E301" s="923"/>
      <c r="F301" s="923"/>
      <c r="G301" s="934"/>
      <c r="H301" s="934"/>
      <c r="I301" s="934"/>
      <c r="J301" s="934"/>
      <c r="K301" s="934"/>
      <c r="L301" s="934"/>
      <c r="M301" s="934"/>
      <c r="N301" s="929"/>
      <c r="O301" s="933" t="str">
        <f t="shared" si="9"/>
        <v/>
      </c>
    </row>
    <row r="302" spans="1:15" hidden="1">
      <c r="A302" s="1455"/>
      <c r="B302" s="1455"/>
      <c r="C302" s="145" t="str">
        <f t="shared" si="8"/>
        <v/>
      </c>
      <c r="D302" s="150"/>
      <c r="E302" s="923"/>
      <c r="F302" s="923"/>
      <c r="G302" s="934"/>
      <c r="H302" s="934"/>
      <c r="I302" s="934"/>
      <c r="J302" s="934"/>
      <c r="K302" s="934"/>
      <c r="L302" s="934"/>
      <c r="M302" s="934"/>
      <c r="N302" s="929"/>
      <c r="O302" s="933" t="str">
        <f t="shared" si="9"/>
        <v/>
      </c>
    </row>
    <row r="303" spans="1:15" hidden="1">
      <c r="A303" s="1455"/>
      <c r="B303" s="1455"/>
      <c r="C303" s="145" t="str">
        <f t="shared" si="8"/>
        <v/>
      </c>
      <c r="D303" s="150"/>
      <c r="E303" s="923"/>
      <c r="F303" s="923"/>
      <c r="G303" s="934"/>
      <c r="H303" s="934"/>
      <c r="I303" s="934"/>
      <c r="J303" s="934"/>
      <c r="K303" s="934"/>
      <c r="L303" s="934"/>
      <c r="M303" s="934"/>
      <c r="N303" s="929"/>
      <c r="O303" s="933" t="str">
        <f t="shared" si="9"/>
        <v/>
      </c>
    </row>
    <row r="304" spans="1:15" hidden="1">
      <c r="A304" s="1455"/>
      <c r="B304" s="1455"/>
      <c r="C304" s="145" t="str">
        <f t="shared" si="8"/>
        <v/>
      </c>
      <c r="D304" s="150"/>
      <c r="E304" s="923"/>
      <c r="F304" s="923"/>
      <c r="G304" s="934"/>
      <c r="H304" s="934"/>
      <c r="I304" s="934"/>
      <c r="J304" s="934"/>
      <c r="K304" s="934"/>
      <c r="L304" s="934"/>
      <c r="M304" s="934"/>
      <c r="N304" s="929"/>
      <c r="O304" s="933" t="str">
        <f t="shared" si="9"/>
        <v/>
      </c>
    </row>
    <row r="305" spans="1:15" hidden="1">
      <c r="A305" s="1455"/>
      <c r="B305" s="1455"/>
      <c r="C305" s="145" t="str">
        <f t="shared" si="8"/>
        <v/>
      </c>
      <c r="D305" s="150"/>
      <c r="E305" s="923"/>
      <c r="F305" s="923"/>
      <c r="G305" s="934"/>
      <c r="H305" s="934"/>
      <c r="I305" s="934"/>
      <c r="J305" s="934"/>
      <c r="K305" s="934"/>
      <c r="L305" s="934"/>
      <c r="M305" s="934"/>
      <c r="N305" s="929"/>
      <c r="O305" s="933" t="str">
        <f t="shared" si="9"/>
        <v/>
      </c>
    </row>
    <row r="306" spans="1:15" hidden="1">
      <c r="A306" s="1455"/>
      <c r="B306" s="1455"/>
      <c r="C306" s="145" t="str">
        <f t="shared" si="8"/>
        <v/>
      </c>
      <c r="D306" s="150"/>
      <c r="E306" s="923"/>
      <c r="F306" s="923"/>
      <c r="G306" s="934"/>
      <c r="H306" s="934"/>
      <c r="I306" s="934"/>
      <c r="J306" s="934"/>
      <c r="K306" s="934"/>
      <c r="L306" s="934"/>
      <c r="M306" s="934"/>
      <c r="N306" s="929"/>
      <c r="O306" s="933" t="str">
        <f t="shared" si="9"/>
        <v/>
      </c>
    </row>
    <row r="307" spans="1:15" hidden="1">
      <c r="A307" s="1455"/>
      <c r="B307" s="1455"/>
      <c r="C307" s="145" t="str">
        <f t="shared" si="8"/>
        <v/>
      </c>
      <c r="D307" s="150"/>
      <c r="E307" s="923"/>
      <c r="F307" s="923"/>
      <c r="G307" s="934"/>
      <c r="H307" s="934"/>
      <c r="I307" s="934"/>
      <c r="J307" s="934"/>
      <c r="K307" s="934"/>
      <c r="L307" s="934"/>
      <c r="M307" s="934"/>
      <c r="N307" s="929"/>
      <c r="O307" s="933" t="str">
        <f t="shared" si="9"/>
        <v/>
      </c>
    </row>
    <row r="308" spans="1:15" hidden="1">
      <c r="A308" s="1455"/>
      <c r="B308" s="1455"/>
      <c r="C308" s="145" t="str">
        <f t="shared" si="8"/>
        <v/>
      </c>
      <c r="D308" s="150"/>
      <c r="E308" s="923"/>
      <c r="F308" s="923"/>
      <c r="G308" s="934"/>
      <c r="H308" s="934"/>
      <c r="I308" s="934"/>
      <c r="J308" s="934"/>
      <c r="K308" s="934"/>
      <c r="L308" s="934"/>
      <c r="M308" s="934"/>
      <c r="N308" s="929"/>
      <c r="O308" s="933" t="str">
        <f t="shared" si="9"/>
        <v/>
      </c>
    </row>
    <row r="309" spans="1:15" hidden="1">
      <c r="A309" s="1455"/>
      <c r="B309" s="1455"/>
      <c r="C309" s="145" t="str">
        <f t="shared" si="8"/>
        <v/>
      </c>
      <c r="D309" s="150"/>
      <c r="E309" s="923"/>
      <c r="F309" s="923"/>
      <c r="G309" s="934"/>
      <c r="H309" s="934"/>
      <c r="I309" s="934"/>
      <c r="J309" s="934"/>
      <c r="K309" s="934"/>
      <c r="L309" s="934"/>
      <c r="M309" s="934"/>
      <c r="N309" s="929"/>
      <c r="O309" s="933" t="str">
        <f t="shared" si="9"/>
        <v/>
      </c>
    </row>
    <row r="310" spans="1:15" hidden="1">
      <c r="A310" s="1455"/>
      <c r="B310" s="1455"/>
      <c r="C310" s="145" t="str">
        <f t="shared" si="8"/>
        <v/>
      </c>
      <c r="D310" s="150"/>
      <c r="E310" s="923"/>
      <c r="F310" s="923"/>
      <c r="G310" s="934"/>
      <c r="H310" s="934"/>
      <c r="I310" s="934"/>
      <c r="J310" s="934"/>
      <c r="K310" s="934"/>
      <c r="L310" s="934"/>
      <c r="M310" s="934"/>
      <c r="N310" s="929"/>
      <c r="O310" s="933" t="str">
        <f t="shared" si="9"/>
        <v/>
      </c>
    </row>
    <row r="311" spans="1:15" hidden="1">
      <c r="A311" s="1455"/>
      <c r="B311" s="1455"/>
      <c r="C311" s="145" t="str">
        <f t="shared" si="8"/>
        <v/>
      </c>
      <c r="D311" s="150"/>
      <c r="E311" s="923"/>
      <c r="F311" s="923"/>
      <c r="G311" s="934"/>
      <c r="H311" s="934"/>
      <c r="I311" s="934"/>
      <c r="J311" s="934"/>
      <c r="K311" s="934"/>
      <c r="L311" s="934"/>
      <c r="M311" s="934"/>
      <c r="N311" s="929"/>
      <c r="O311" s="933" t="str">
        <f t="shared" si="9"/>
        <v/>
      </c>
    </row>
    <row r="312" spans="1:15" hidden="1">
      <c r="A312" s="1455"/>
      <c r="B312" s="1455"/>
      <c r="C312" s="145" t="str">
        <f t="shared" si="8"/>
        <v/>
      </c>
      <c r="D312" s="150"/>
      <c r="E312" s="923"/>
      <c r="F312" s="923"/>
      <c r="G312" s="934"/>
      <c r="H312" s="934"/>
      <c r="I312" s="934"/>
      <c r="J312" s="934"/>
      <c r="K312" s="934"/>
      <c r="L312" s="934"/>
      <c r="M312" s="934"/>
      <c r="N312" s="929"/>
      <c r="O312" s="933" t="str">
        <f t="shared" si="9"/>
        <v/>
      </c>
    </row>
    <row r="313" spans="1:15" hidden="1">
      <c r="A313" s="1455"/>
      <c r="B313" s="1455"/>
      <c r="C313" s="145" t="str">
        <f t="shared" si="8"/>
        <v/>
      </c>
      <c r="D313" s="150"/>
      <c r="E313" s="923"/>
      <c r="F313" s="923"/>
      <c r="G313" s="934"/>
      <c r="H313" s="934"/>
      <c r="I313" s="934"/>
      <c r="J313" s="934"/>
      <c r="K313" s="934"/>
      <c r="L313" s="934"/>
      <c r="M313" s="934"/>
      <c r="N313" s="929"/>
      <c r="O313" s="933" t="str">
        <f t="shared" si="9"/>
        <v/>
      </c>
    </row>
    <row r="314" spans="1:15" hidden="1">
      <c r="A314" s="1455"/>
      <c r="B314" s="1455"/>
      <c r="C314" s="145" t="str">
        <f t="shared" si="8"/>
        <v/>
      </c>
      <c r="D314" s="150"/>
      <c r="E314" s="923"/>
      <c r="F314" s="923"/>
      <c r="G314" s="934"/>
      <c r="H314" s="934"/>
      <c r="I314" s="934"/>
      <c r="J314" s="934"/>
      <c r="K314" s="934"/>
      <c r="L314" s="934"/>
      <c r="M314" s="934"/>
      <c r="N314" s="929"/>
      <c r="O314" s="933" t="str">
        <f t="shared" si="9"/>
        <v/>
      </c>
    </row>
    <row r="315" spans="1:15" hidden="1">
      <c r="A315" s="1455"/>
      <c r="B315" s="1455"/>
      <c r="C315" s="145" t="str">
        <f t="shared" si="8"/>
        <v/>
      </c>
      <c r="D315" s="150"/>
      <c r="E315" s="923"/>
      <c r="F315" s="923"/>
      <c r="G315" s="934"/>
      <c r="H315" s="934"/>
      <c r="I315" s="934"/>
      <c r="J315" s="934"/>
      <c r="K315" s="934"/>
      <c r="L315" s="934"/>
      <c r="M315" s="934"/>
      <c r="N315" s="929"/>
      <c r="O315" s="933" t="str">
        <f t="shared" si="9"/>
        <v/>
      </c>
    </row>
    <row r="316" spans="1:15" hidden="1">
      <c r="A316" s="1455"/>
      <c r="B316" s="1455"/>
      <c r="C316" s="145" t="str">
        <f t="shared" si="8"/>
        <v/>
      </c>
      <c r="D316" s="150"/>
      <c r="E316" s="923"/>
      <c r="F316" s="923"/>
      <c r="G316" s="934"/>
      <c r="H316" s="934"/>
      <c r="I316" s="934"/>
      <c r="J316" s="934"/>
      <c r="K316" s="934"/>
      <c r="L316" s="934"/>
      <c r="M316" s="934"/>
      <c r="N316" s="929"/>
      <c r="O316" s="933" t="str">
        <f t="shared" si="9"/>
        <v/>
      </c>
    </row>
    <row r="317" spans="1:15" hidden="1">
      <c r="A317" s="1455"/>
      <c r="B317" s="1455"/>
      <c r="C317" s="145" t="str">
        <f t="shared" si="8"/>
        <v/>
      </c>
      <c r="D317" s="150"/>
      <c r="E317" s="923"/>
      <c r="F317" s="923"/>
      <c r="G317" s="934"/>
      <c r="H317" s="934"/>
      <c r="I317" s="934"/>
      <c r="J317" s="934"/>
      <c r="K317" s="934"/>
      <c r="L317" s="934"/>
      <c r="M317" s="934"/>
      <c r="N317" s="929"/>
      <c r="O317" s="933" t="str">
        <f t="shared" si="9"/>
        <v/>
      </c>
    </row>
    <row r="318" spans="1:15" hidden="1">
      <c r="A318" s="1455"/>
      <c r="B318" s="1455"/>
      <c r="C318" s="145" t="str">
        <f t="shared" si="8"/>
        <v/>
      </c>
      <c r="D318" s="150"/>
      <c r="E318" s="923"/>
      <c r="F318" s="923"/>
      <c r="G318" s="934"/>
      <c r="H318" s="934"/>
      <c r="I318" s="934"/>
      <c r="J318" s="934"/>
      <c r="K318" s="934"/>
      <c r="L318" s="934"/>
      <c r="M318" s="934"/>
      <c r="N318" s="929"/>
      <c r="O318" s="933" t="str">
        <f t="shared" si="9"/>
        <v/>
      </c>
    </row>
    <row r="319" spans="1:15" hidden="1">
      <c r="A319" s="1455"/>
      <c r="B319" s="1455"/>
      <c r="C319" s="145" t="str">
        <f t="shared" si="8"/>
        <v/>
      </c>
      <c r="D319" s="150"/>
      <c r="E319" s="923"/>
      <c r="F319" s="923"/>
      <c r="G319" s="934"/>
      <c r="H319" s="934"/>
      <c r="I319" s="934"/>
      <c r="J319" s="934"/>
      <c r="K319" s="934"/>
      <c r="L319" s="934"/>
      <c r="M319" s="934"/>
      <c r="N319" s="929"/>
      <c r="O319" s="933" t="str">
        <f t="shared" si="9"/>
        <v/>
      </c>
    </row>
    <row r="320" spans="1:15" hidden="1">
      <c r="A320" s="1455"/>
      <c r="B320" s="1455"/>
      <c r="C320" s="145" t="str">
        <f t="shared" si="8"/>
        <v/>
      </c>
      <c r="D320" s="150"/>
      <c r="E320" s="923"/>
      <c r="F320" s="923"/>
      <c r="G320" s="934"/>
      <c r="H320" s="934"/>
      <c r="I320" s="934"/>
      <c r="J320" s="934"/>
      <c r="K320" s="934"/>
      <c r="L320" s="934"/>
      <c r="M320" s="934"/>
      <c r="N320" s="929"/>
      <c r="O320" s="933" t="str">
        <f t="shared" si="9"/>
        <v/>
      </c>
    </row>
    <row r="321" spans="1:15" hidden="1">
      <c r="A321" s="1455"/>
      <c r="B321" s="1455"/>
      <c r="C321" s="145" t="str">
        <f t="shared" si="8"/>
        <v/>
      </c>
      <c r="D321" s="150"/>
      <c r="E321" s="923"/>
      <c r="F321" s="923"/>
      <c r="G321" s="934"/>
      <c r="H321" s="934"/>
      <c r="I321" s="934"/>
      <c r="J321" s="934"/>
      <c r="K321" s="934"/>
      <c r="L321" s="934"/>
      <c r="M321" s="934"/>
      <c r="N321" s="929"/>
      <c r="O321" s="933" t="str">
        <f t="shared" si="9"/>
        <v/>
      </c>
    </row>
    <row r="322" spans="1:15" hidden="1">
      <c r="A322" s="1455"/>
      <c r="B322" s="1455"/>
      <c r="C322" s="145" t="str">
        <f t="shared" si="8"/>
        <v/>
      </c>
      <c r="D322" s="150"/>
      <c r="E322" s="923"/>
      <c r="F322" s="923"/>
      <c r="G322" s="934"/>
      <c r="H322" s="934"/>
      <c r="I322" s="934"/>
      <c r="J322" s="934"/>
      <c r="K322" s="934"/>
      <c r="L322" s="934"/>
      <c r="M322" s="934"/>
      <c r="N322" s="929"/>
      <c r="O322" s="933" t="str">
        <f t="shared" si="9"/>
        <v/>
      </c>
    </row>
    <row r="323" spans="1:15" hidden="1">
      <c r="A323" s="1455"/>
      <c r="B323" s="1455"/>
      <c r="C323" s="145" t="str">
        <f t="shared" si="8"/>
        <v/>
      </c>
      <c r="D323" s="150"/>
      <c r="E323" s="923"/>
      <c r="F323" s="923"/>
      <c r="G323" s="934"/>
      <c r="H323" s="934"/>
      <c r="I323" s="934"/>
      <c r="J323" s="934"/>
      <c r="K323" s="934"/>
      <c r="L323" s="934"/>
      <c r="M323" s="934"/>
      <c r="N323" s="929"/>
      <c r="O323" s="933" t="str">
        <f t="shared" si="9"/>
        <v/>
      </c>
    </row>
    <row r="324" spans="1:15" hidden="1">
      <c r="A324" s="1455"/>
      <c r="B324" s="1455"/>
      <c r="C324" s="145" t="str">
        <f t="shared" si="8"/>
        <v/>
      </c>
      <c r="D324" s="150"/>
      <c r="E324" s="923"/>
      <c r="F324" s="923"/>
      <c r="G324" s="934"/>
      <c r="H324" s="934"/>
      <c r="I324" s="934"/>
      <c r="J324" s="934"/>
      <c r="K324" s="934"/>
      <c r="L324" s="934"/>
      <c r="M324" s="934"/>
      <c r="N324" s="929"/>
      <c r="O324" s="933" t="str">
        <f t="shared" si="9"/>
        <v/>
      </c>
    </row>
    <row r="325" spans="1:15" hidden="1">
      <c r="A325" s="1455"/>
      <c r="B325" s="1455"/>
      <c r="C325" s="145" t="str">
        <f t="shared" si="8"/>
        <v/>
      </c>
      <c r="D325" s="150"/>
      <c r="E325" s="923"/>
      <c r="F325" s="923"/>
      <c r="G325" s="934"/>
      <c r="H325" s="934"/>
      <c r="I325" s="934"/>
      <c r="J325" s="934"/>
      <c r="K325" s="934"/>
      <c r="L325" s="934"/>
      <c r="M325" s="934"/>
      <c r="N325" s="929"/>
      <c r="O325" s="933" t="str">
        <f t="shared" si="9"/>
        <v/>
      </c>
    </row>
    <row r="326" spans="1:15" hidden="1">
      <c r="A326" s="1455"/>
      <c r="B326" s="1455"/>
      <c r="C326" s="145" t="str">
        <f t="shared" si="8"/>
        <v/>
      </c>
      <c r="D326" s="150"/>
      <c r="E326" s="923"/>
      <c r="F326" s="923"/>
      <c r="G326" s="934"/>
      <c r="H326" s="934"/>
      <c r="I326" s="934"/>
      <c r="J326" s="934"/>
      <c r="K326" s="934"/>
      <c r="L326" s="934"/>
      <c r="M326" s="934"/>
      <c r="N326" s="929"/>
      <c r="O326" s="933" t="str">
        <f t="shared" si="9"/>
        <v/>
      </c>
    </row>
    <row r="327" spans="1:15" hidden="1">
      <c r="A327" s="1455"/>
      <c r="B327" s="1455"/>
      <c r="C327" s="145" t="str">
        <f t="shared" si="8"/>
        <v/>
      </c>
      <c r="D327" s="150"/>
      <c r="E327" s="923"/>
      <c r="F327" s="923"/>
      <c r="G327" s="934"/>
      <c r="H327" s="934"/>
      <c r="I327" s="934"/>
      <c r="J327" s="934"/>
      <c r="K327" s="934"/>
      <c r="L327" s="934"/>
      <c r="M327" s="934"/>
      <c r="N327" s="929"/>
      <c r="O327" s="933" t="str">
        <f t="shared" si="9"/>
        <v/>
      </c>
    </row>
    <row r="328" spans="1:15" hidden="1">
      <c r="A328" s="1455"/>
      <c r="B328" s="1455"/>
      <c r="C328" s="145" t="str">
        <f t="shared" si="8"/>
        <v/>
      </c>
      <c r="D328" s="150"/>
      <c r="E328" s="923"/>
      <c r="F328" s="923"/>
      <c r="G328" s="934"/>
      <c r="H328" s="934"/>
      <c r="I328" s="934"/>
      <c r="J328" s="934"/>
      <c r="K328" s="934"/>
      <c r="L328" s="934"/>
      <c r="M328" s="934"/>
      <c r="N328" s="929"/>
      <c r="O328" s="933" t="str">
        <f t="shared" si="9"/>
        <v/>
      </c>
    </row>
    <row r="329" spans="1:15" hidden="1">
      <c r="A329" s="1455"/>
      <c r="B329" s="1455"/>
      <c r="C329" s="145" t="str">
        <f t="shared" si="8"/>
        <v/>
      </c>
      <c r="D329" s="150"/>
      <c r="E329" s="923"/>
      <c r="F329" s="923"/>
      <c r="G329" s="934"/>
      <c r="H329" s="934"/>
      <c r="I329" s="934"/>
      <c r="J329" s="934"/>
      <c r="K329" s="934"/>
      <c r="L329" s="934"/>
      <c r="M329" s="934"/>
      <c r="N329" s="929"/>
      <c r="O329" s="933" t="str">
        <f t="shared" si="9"/>
        <v/>
      </c>
    </row>
    <row r="330" spans="1:15" hidden="1">
      <c r="A330" s="1455"/>
      <c r="B330" s="1455"/>
      <c r="C330" s="145" t="str">
        <f t="shared" si="8"/>
        <v/>
      </c>
      <c r="D330" s="150"/>
      <c r="E330" s="923"/>
      <c r="F330" s="923"/>
      <c r="G330" s="934"/>
      <c r="H330" s="934"/>
      <c r="I330" s="934"/>
      <c r="J330" s="934"/>
      <c r="K330" s="934"/>
      <c r="L330" s="934"/>
      <c r="M330" s="934"/>
      <c r="N330" s="929"/>
      <c r="O330" s="933" t="str">
        <f t="shared" si="9"/>
        <v/>
      </c>
    </row>
    <row r="331" spans="1:15" hidden="1">
      <c r="A331" s="1455"/>
      <c r="B331" s="1455"/>
      <c r="C331" s="145" t="str">
        <f t="shared" si="8"/>
        <v/>
      </c>
      <c r="D331" s="150"/>
      <c r="E331" s="923"/>
      <c r="F331" s="923"/>
      <c r="G331" s="934"/>
      <c r="H331" s="934"/>
      <c r="I331" s="934"/>
      <c r="J331" s="934"/>
      <c r="K331" s="934"/>
      <c r="L331" s="934"/>
      <c r="M331" s="934"/>
      <c r="N331" s="929"/>
      <c r="O331" s="933" t="str">
        <f t="shared" si="9"/>
        <v/>
      </c>
    </row>
    <row r="332" spans="1:15" hidden="1">
      <c r="A332" s="1455"/>
      <c r="B332" s="1455"/>
      <c r="C332" s="145" t="str">
        <f t="shared" si="8"/>
        <v/>
      </c>
      <c r="D332" s="150"/>
      <c r="E332" s="923"/>
      <c r="F332" s="923"/>
      <c r="G332" s="934"/>
      <c r="H332" s="934"/>
      <c r="I332" s="934"/>
      <c r="J332" s="934"/>
      <c r="K332" s="934"/>
      <c r="L332" s="934"/>
      <c r="M332" s="934"/>
      <c r="N332" s="929"/>
      <c r="O332" s="933" t="str">
        <f t="shared" si="9"/>
        <v/>
      </c>
    </row>
    <row r="333" spans="1:15" hidden="1">
      <c r="A333" s="1455"/>
      <c r="B333" s="1455"/>
      <c r="C333" s="145" t="str">
        <f t="shared" si="8"/>
        <v/>
      </c>
      <c r="D333" s="150"/>
      <c r="E333" s="923"/>
      <c r="F333" s="923"/>
      <c r="G333" s="934"/>
      <c r="H333" s="934"/>
      <c r="I333" s="934"/>
      <c r="J333" s="934"/>
      <c r="K333" s="934"/>
      <c r="L333" s="934"/>
      <c r="M333" s="934"/>
      <c r="N333" s="929"/>
      <c r="O333" s="933" t="str">
        <f t="shared" si="9"/>
        <v/>
      </c>
    </row>
    <row r="334" spans="1:15" hidden="1">
      <c r="A334" s="1455"/>
      <c r="B334" s="1455"/>
      <c r="C334" s="145" t="str">
        <f t="shared" si="8"/>
        <v/>
      </c>
      <c r="D334" s="150"/>
      <c r="E334" s="923"/>
      <c r="F334" s="923"/>
      <c r="G334" s="934"/>
      <c r="H334" s="934"/>
      <c r="I334" s="934"/>
      <c r="J334" s="934"/>
      <c r="K334" s="934"/>
      <c r="L334" s="934"/>
      <c r="M334" s="934"/>
      <c r="N334" s="929"/>
      <c r="O334" s="933" t="str">
        <f t="shared" si="9"/>
        <v/>
      </c>
    </row>
    <row r="335" spans="1:15" hidden="1">
      <c r="A335" s="1455"/>
      <c r="B335" s="1455"/>
      <c r="C335" s="145" t="str">
        <f t="shared" si="8"/>
        <v/>
      </c>
      <c r="D335" s="150"/>
      <c r="E335" s="923"/>
      <c r="F335" s="923"/>
      <c r="G335" s="934"/>
      <c r="H335" s="934"/>
      <c r="I335" s="934"/>
      <c r="J335" s="934"/>
      <c r="K335" s="934"/>
      <c r="L335" s="934"/>
      <c r="M335" s="934"/>
      <c r="N335" s="929"/>
      <c r="O335" s="933" t="str">
        <f t="shared" si="9"/>
        <v/>
      </c>
    </row>
    <row r="336" spans="1:15" hidden="1">
      <c r="A336" s="1455"/>
      <c r="B336" s="1455"/>
      <c r="C336" s="145" t="str">
        <f t="shared" si="8"/>
        <v/>
      </c>
      <c r="D336" s="150"/>
      <c r="E336" s="923"/>
      <c r="F336" s="923"/>
      <c r="G336" s="934"/>
      <c r="H336" s="934"/>
      <c r="I336" s="934"/>
      <c r="J336" s="934"/>
      <c r="K336" s="934"/>
      <c r="L336" s="934"/>
      <c r="M336" s="934"/>
      <c r="N336" s="929"/>
      <c r="O336" s="933" t="str">
        <f t="shared" si="9"/>
        <v/>
      </c>
    </row>
    <row r="337" spans="1:15" hidden="1">
      <c r="A337" s="1455"/>
      <c r="B337" s="1455"/>
      <c r="C337" s="145" t="str">
        <f t="shared" ref="C337:C400" si="10">IF(A337&lt;&gt;"",ROW(),"")</f>
        <v/>
      </c>
      <c r="D337" s="150"/>
      <c r="E337" s="923"/>
      <c r="F337" s="923"/>
      <c r="G337" s="934"/>
      <c r="H337" s="934"/>
      <c r="I337" s="934"/>
      <c r="J337" s="934"/>
      <c r="K337" s="934"/>
      <c r="L337" s="934"/>
      <c r="M337" s="934"/>
      <c r="N337" s="929"/>
      <c r="O337" s="933" t="str">
        <f t="shared" ref="O337:O400" si="11">IF(A337&lt;&gt;"",A337,"")</f>
        <v/>
      </c>
    </row>
    <row r="338" spans="1:15" hidden="1">
      <c r="A338" s="1455"/>
      <c r="B338" s="1455"/>
      <c r="C338" s="145" t="str">
        <f t="shared" si="10"/>
        <v/>
      </c>
      <c r="D338" s="150"/>
      <c r="E338" s="923"/>
      <c r="F338" s="923"/>
      <c r="G338" s="934"/>
      <c r="H338" s="934"/>
      <c r="I338" s="934"/>
      <c r="J338" s="934"/>
      <c r="K338" s="934"/>
      <c r="L338" s="934"/>
      <c r="M338" s="934"/>
      <c r="N338" s="929"/>
      <c r="O338" s="933" t="str">
        <f t="shared" si="11"/>
        <v/>
      </c>
    </row>
    <row r="339" spans="1:15" hidden="1">
      <c r="A339" s="1455"/>
      <c r="B339" s="1455"/>
      <c r="C339" s="145" t="str">
        <f t="shared" si="10"/>
        <v/>
      </c>
      <c r="D339" s="150"/>
      <c r="E339" s="923"/>
      <c r="F339" s="923"/>
      <c r="G339" s="934"/>
      <c r="H339" s="934"/>
      <c r="I339" s="934"/>
      <c r="J339" s="934"/>
      <c r="K339" s="934"/>
      <c r="L339" s="934"/>
      <c r="M339" s="934"/>
      <c r="N339" s="929"/>
      <c r="O339" s="933" t="str">
        <f t="shared" si="11"/>
        <v/>
      </c>
    </row>
    <row r="340" spans="1:15" hidden="1">
      <c r="A340" s="1455"/>
      <c r="B340" s="1455"/>
      <c r="C340" s="145" t="str">
        <f t="shared" si="10"/>
        <v/>
      </c>
      <c r="D340" s="150"/>
      <c r="E340" s="923"/>
      <c r="F340" s="923"/>
      <c r="G340" s="934"/>
      <c r="H340" s="934"/>
      <c r="I340" s="934"/>
      <c r="J340" s="934"/>
      <c r="K340" s="934"/>
      <c r="L340" s="934"/>
      <c r="M340" s="934"/>
      <c r="N340" s="929"/>
      <c r="O340" s="933" t="str">
        <f t="shared" si="11"/>
        <v/>
      </c>
    </row>
    <row r="341" spans="1:15" hidden="1">
      <c r="A341" s="1455"/>
      <c r="B341" s="1455"/>
      <c r="C341" s="145" t="str">
        <f t="shared" si="10"/>
        <v/>
      </c>
      <c r="D341" s="150"/>
      <c r="E341" s="923"/>
      <c r="F341" s="923"/>
      <c r="G341" s="934"/>
      <c r="H341" s="934"/>
      <c r="I341" s="934"/>
      <c r="J341" s="934"/>
      <c r="K341" s="934"/>
      <c r="L341" s="934"/>
      <c r="M341" s="934"/>
      <c r="N341" s="929"/>
      <c r="O341" s="933" t="str">
        <f t="shared" si="11"/>
        <v/>
      </c>
    </row>
    <row r="342" spans="1:15" hidden="1">
      <c r="A342" s="1455"/>
      <c r="B342" s="1455"/>
      <c r="C342" s="145" t="str">
        <f t="shared" si="10"/>
        <v/>
      </c>
      <c r="D342" s="150"/>
      <c r="E342" s="923"/>
      <c r="F342" s="923"/>
      <c r="G342" s="934"/>
      <c r="H342" s="934"/>
      <c r="I342" s="934"/>
      <c r="J342" s="934"/>
      <c r="K342" s="934"/>
      <c r="L342" s="934"/>
      <c r="M342" s="934"/>
      <c r="N342" s="929"/>
      <c r="O342" s="933" t="str">
        <f t="shared" si="11"/>
        <v/>
      </c>
    </row>
    <row r="343" spans="1:15" hidden="1">
      <c r="A343" s="1455"/>
      <c r="B343" s="1455"/>
      <c r="C343" s="145" t="str">
        <f t="shared" si="10"/>
        <v/>
      </c>
      <c r="D343" s="150"/>
      <c r="E343" s="923"/>
      <c r="F343" s="923"/>
      <c r="G343" s="934"/>
      <c r="H343" s="934"/>
      <c r="I343" s="934"/>
      <c r="J343" s="934"/>
      <c r="K343" s="934"/>
      <c r="L343" s="934"/>
      <c r="M343" s="934"/>
      <c r="N343" s="929"/>
      <c r="O343" s="933" t="str">
        <f t="shared" si="11"/>
        <v/>
      </c>
    </row>
    <row r="344" spans="1:15" hidden="1">
      <c r="A344" s="1455"/>
      <c r="B344" s="1455"/>
      <c r="C344" s="145" t="str">
        <f t="shared" si="10"/>
        <v/>
      </c>
      <c r="D344" s="150"/>
      <c r="E344" s="923"/>
      <c r="F344" s="923"/>
      <c r="G344" s="934"/>
      <c r="H344" s="934"/>
      <c r="I344" s="934"/>
      <c r="J344" s="934"/>
      <c r="K344" s="934"/>
      <c r="L344" s="934"/>
      <c r="M344" s="934"/>
      <c r="N344" s="929"/>
      <c r="O344" s="933" t="str">
        <f t="shared" si="11"/>
        <v/>
      </c>
    </row>
    <row r="345" spans="1:15" hidden="1">
      <c r="A345" s="1455"/>
      <c r="B345" s="1455"/>
      <c r="C345" s="145" t="str">
        <f t="shared" si="10"/>
        <v/>
      </c>
      <c r="D345" s="150"/>
      <c r="E345" s="923"/>
      <c r="F345" s="923"/>
      <c r="G345" s="934"/>
      <c r="H345" s="934"/>
      <c r="I345" s="934"/>
      <c r="J345" s="934"/>
      <c r="K345" s="934"/>
      <c r="L345" s="934"/>
      <c r="M345" s="934"/>
      <c r="N345" s="929"/>
      <c r="O345" s="933" t="str">
        <f t="shared" si="11"/>
        <v/>
      </c>
    </row>
    <row r="346" spans="1:15" hidden="1">
      <c r="A346" s="1455"/>
      <c r="B346" s="1455"/>
      <c r="C346" s="145" t="str">
        <f t="shared" si="10"/>
        <v/>
      </c>
      <c r="D346" s="150"/>
      <c r="E346" s="923"/>
      <c r="F346" s="923"/>
      <c r="G346" s="934"/>
      <c r="H346" s="934"/>
      <c r="I346" s="934"/>
      <c r="J346" s="934"/>
      <c r="K346" s="934"/>
      <c r="L346" s="934"/>
      <c r="M346" s="934"/>
      <c r="N346" s="929"/>
      <c r="O346" s="933" t="str">
        <f t="shared" si="11"/>
        <v/>
      </c>
    </row>
    <row r="347" spans="1:15" hidden="1">
      <c r="A347" s="1455"/>
      <c r="B347" s="1455"/>
      <c r="C347" s="145" t="str">
        <f t="shared" si="10"/>
        <v/>
      </c>
      <c r="D347" s="150"/>
      <c r="E347" s="923"/>
      <c r="F347" s="923"/>
      <c r="G347" s="934"/>
      <c r="H347" s="934"/>
      <c r="I347" s="934"/>
      <c r="J347" s="934"/>
      <c r="K347" s="934"/>
      <c r="L347" s="934"/>
      <c r="M347" s="934"/>
      <c r="N347" s="929"/>
      <c r="O347" s="933" t="str">
        <f t="shared" si="11"/>
        <v/>
      </c>
    </row>
    <row r="348" spans="1:15" hidden="1">
      <c r="A348" s="1455"/>
      <c r="B348" s="1455"/>
      <c r="C348" s="145" t="str">
        <f t="shared" si="10"/>
        <v/>
      </c>
      <c r="D348" s="150"/>
      <c r="E348" s="923"/>
      <c r="F348" s="923"/>
      <c r="G348" s="934"/>
      <c r="H348" s="934"/>
      <c r="I348" s="934"/>
      <c r="J348" s="934"/>
      <c r="K348" s="934"/>
      <c r="L348" s="934"/>
      <c r="M348" s="934"/>
      <c r="N348" s="929"/>
      <c r="O348" s="933" t="str">
        <f t="shared" si="11"/>
        <v/>
      </c>
    </row>
    <row r="349" spans="1:15" hidden="1">
      <c r="A349" s="1455"/>
      <c r="B349" s="1455"/>
      <c r="C349" s="145" t="str">
        <f t="shared" si="10"/>
        <v/>
      </c>
      <c r="D349" s="150"/>
      <c r="E349" s="923"/>
      <c r="F349" s="923"/>
      <c r="G349" s="934"/>
      <c r="H349" s="934"/>
      <c r="I349" s="934"/>
      <c r="J349" s="934"/>
      <c r="K349" s="934"/>
      <c r="L349" s="934"/>
      <c r="M349" s="934"/>
      <c r="N349" s="929"/>
      <c r="O349" s="933" t="str">
        <f t="shared" si="11"/>
        <v/>
      </c>
    </row>
    <row r="350" spans="1:15" hidden="1">
      <c r="A350" s="1455"/>
      <c r="B350" s="1455"/>
      <c r="C350" s="145" t="str">
        <f t="shared" si="10"/>
        <v/>
      </c>
      <c r="D350" s="150"/>
      <c r="E350" s="923"/>
      <c r="F350" s="923"/>
      <c r="G350" s="934"/>
      <c r="H350" s="934"/>
      <c r="I350" s="934"/>
      <c r="J350" s="934"/>
      <c r="K350" s="934"/>
      <c r="L350" s="934"/>
      <c r="M350" s="934"/>
      <c r="N350" s="929"/>
      <c r="O350" s="933" t="str">
        <f t="shared" si="11"/>
        <v/>
      </c>
    </row>
    <row r="351" spans="1:15" hidden="1">
      <c r="A351" s="1455"/>
      <c r="B351" s="1455"/>
      <c r="C351" s="145" t="str">
        <f t="shared" si="10"/>
        <v/>
      </c>
      <c r="D351" s="150"/>
      <c r="E351" s="923"/>
      <c r="F351" s="923"/>
      <c r="G351" s="934"/>
      <c r="H351" s="934"/>
      <c r="I351" s="934"/>
      <c r="J351" s="934"/>
      <c r="K351" s="934"/>
      <c r="L351" s="934"/>
      <c r="M351" s="934"/>
      <c r="N351" s="929"/>
      <c r="O351" s="933" t="str">
        <f t="shared" si="11"/>
        <v/>
      </c>
    </row>
    <row r="352" spans="1:15" hidden="1">
      <c r="A352" s="1455"/>
      <c r="B352" s="1455"/>
      <c r="C352" s="145" t="str">
        <f t="shared" si="10"/>
        <v/>
      </c>
      <c r="D352" s="150"/>
      <c r="E352" s="923"/>
      <c r="F352" s="923"/>
      <c r="G352" s="934"/>
      <c r="H352" s="934"/>
      <c r="I352" s="934"/>
      <c r="J352" s="934"/>
      <c r="K352" s="934"/>
      <c r="L352" s="934"/>
      <c r="M352" s="934"/>
      <c r="N352" s="929"/>
      <c r="O352" s="933" t="str">
        <f t="shared" si="11"/>
        <v/>
      </c>
    </row>
    <row r="353" spans="1:15" hidden="1">
      <c r="A353" s="1455"/>
      <c r="B353" s="1455"/>
      <c r="C353" s="145" t="str">
        <f t="shared" si="10"/>
        <v/>
      </c>
      <c r="D353" s="150"/>
      <c r="E353" s="923"/>
      <c r="F353" s="923"/>
      <c r="G353" s="934"/>
      <c r="H353" s="934"/>
      <c r="I353" s="934"/>
      <c r="J353" s="934"/>
      <c r="K353" s="934"/>
      <c r="L353" s="934"/>
      <c r="M353" s="934"/>
      <c r="N353" s="929"/>
      <c r="O353" s="933" t="str">
        <f t="shared" si="11"/>
        <v/>
      </c>
    </row>
    <row r="354" spans="1:15" hidden="1">
      <c r="A354" s="1455"/>
      <c r="B354" s="1455"/>
      <c r="C354" s="145" t="str">
        <f t="shared" si="10"/>
        <v/>
      </c>
      <c r="D354" s="150"/>
      <c r="E354" s="923"/>
      <c r="F354" s="923"/>
      <c r="G354" s="934"/>
      <c r="H354" s="934"/>
      <c r="I354" s="934"/>
      <c r="J354" s="934"/>
      <c r="K354" s="934"/>
      <c r="L354" s="934"/>
      <c r="M354" s="934"/>
      <c r="N354" s="929"/>
      <c r="O354" s="933" t="str">
        <f t="shared" si="11"/>
        <v/>
      </c>
    </row>
    <row r="355" spans="1:15" hidden="1">
      <c r="A355" s="1455"/>
      <c r="B355" s="1455"/>
      <c r="C355" s="145" t="str">
        <f t="shared" si="10"/>
        <v/>
      </c>
      <c r="D355" s="150"/>
      <c r="E355" s="923"/>
      <c r="F355" s="923"/>
      <c r="G355" s="934"/>
      <c r="H355" s="934"/>
      <c r="I355" s="934"/>
      <c r="J355" s="934"/>
      <c r="K355" s="934"/>
      <c r="L355" s="934"/>
      <c r="M355" s="934"/>
      <c r="N355" s="929"/>
      <c r="O355" s="933" t="str">
        <f t="shared" si="11"/>
        <v/>
      </c>
    </row>
    <row r="356" spans="1:15" hidden="1">
      <c r="A356" s="1455"/>
      <c r="B356" s="1455"/>
      <c r="C356" s="145" t="str">
        <f t="shared" si="10"/>
        <v/>
      </c>
      <c r="D356" s="150"/>
      <c r="E356" s="923"/>
      <c r="F356" s="923"/>
      <c r="G356" s="934"/>
      <c r="H356" s="934"/>
      <c r="I356" s="934"/>
      <c r="J356" s="934"/>
      <c r="K356" s="934"/>
      <c r="L356" s="934"/>
      <c r="M356" s="934"/>
      <c r="N356" s="929"/>
      <c r="O356" s="933" t="str">
        <f t="shared" si="11"/>
        <v/>
      </c>
    </row>
    <row r="357" spans="1:15" hidden="1">
      <c r="A357" s="1455"/>
      <c r="B357" s="1455"/>
      <c r="C357" s="145" t="str">
        <f t="shared" si="10"/>
        <v/>
      </c>
      <c r="D357" s="150"/>
      <c r="E357" s="923"/>
      <c r="F357" s="923"/>
      <c r="G357" s="934"/>
      <c r="H357" s="934"/>
      <c r="I357" s="934"/>
      <c r="J357" s="934"/>
      <c r="K357" s="934"/>
      <c r="L357" s="934"/>
      <c r="M357" s="934"/>
      <c r="N357" s="929"/>
      <c r="O357" s="933" t="str">
        <f t="shared" si="11"/>
        <v/>
      </c>
    </row>
    <row r="358" spans="1:15" hidden="1">
      <c r="A358" s="1455"/>
      <c r="B358" s="1455"/>
      <c r="C358" s="145" t="str">
        <f t="shared" si="10"/>
        <v/>
      </c>
      <c r="D358" s="150"/>
      <c r="E358" s="923"/>
      <c r="F358" s="923"/>
      <c r="G358" s="934"/>
      <c r="H358" s="934"/>
      <c r="I358" s="934"/>
      <c r="J358" s="934"/>
      <c r="K358" s="934"/>
      <c r="L358" s="934"/>
      <c r="M358" s="934"/>
      <c r="N358" s="929"/>
      <c r="O358" s="933" t="str">
        <f t="shared" si="11"/>
        <v/>
      </c>
    </row>
    <row r="359" spans="1:15" hidden="1">
      <c r="A359" s="1455"/>
      <c r="B359" s="1455"/>
      <c r="C359" s="145" t="str">
        <f t="shared" si="10"/>
        <v/>
      </c>
      <c r="D359" s="150"/>
      <c r="E359" s="923"/>
      <c r="F359" s="923"/>
      <c r="G359" s="934"/>
      <c r="H359" s="934"/>
      <c r="I359" s="934"/>
      <c r="J359" s="934"/>
      <c r="K359" s="934"/>
      <c r="L359" s="934"/>
      <c r="M359" s="934"/>
      <c r="N359" s="929"/>
      <c r="O359" s="933" t="str">
        <f t="shared" si="11"/>
        <v/>
      </c>
    </row>
    <row r="360" spans="1:15" hidden="1">
      <c r="A360" s="1455"/>
      <c r="B360" s="1455"/>
      <c r="C360" s="145" t="str">
        <f t="shared" si="10"/>
        <v/>
      </c>
      <c r="D360" s="150"/>
      <c r="E360" s="923"/>
      <c r="F360" s="923"/>
      <c r="G360" s="934"/>
      <c r="H360" s="934"/>
      <c r="I360" s="934"/>
      <c r="J360" s="934"/>
      <c r="K360" s="934"/>
      <c r="L360" s="934"/>
      <c r="M360" s="934"/>
      <c r="N360" s="929"/>
      <c r="O360" s="933" t="str">
        <f t="shared" si="11"/>
        <v/>
      </c>
    </row>
    <row r="361" spans="1:15" hidden="1">
      <c r="A361" s="1455"/>
      <c r="B361" s="1455"/>
      <c r="C361" s="145" t="str">
        <f t="shared" si="10"/>
        <v/>
      </c>
      <c r="D361" s="150"/>
      <c r="E361" s="923"/>
      <c r="F361" s="923"/>
      <c r="G361" s="934"/>
      <c r="H361" s="934"/>
      <c r="I361" s="934"/>
      <c r="J361" s="934"/>
      <c r="K361" s="934"/>
      <c r="L361" s="934"/>
      <c r="M361" s="934"/>
      <c r="N361" s="929"/>
      <c r="O361" s="933" t="str">
        <f t="shared" si="11"/>
        <v/>
      </c>
    </row>
    <row r="362" spans="1:15" hidden="1">
      <c r="A362" s="1455"/>
      <c r="B362" s="1455"/>
      <c r="C362" s="145" t="str">
        <f t="shared" si="10"/>
        <v/>
      </c>
      <c r="D362" s="150"/>
      <c r="E362" s="923"/>
      <c r="F362" s="923"/>
      <c r="G362" s="934"/>
      <c r="H362" s="934"/>
      <c r="I362" s="934"/>
      <c r="J362" s="934"/>
      <c r="K362" s="934"/>
      <c r="L362" s="934"/>
      <c r="M362" s="934"/>
      <c r="N362" s="929"/>
      <c r="O362" s="933" t="str">
        <f t="shared" si="11"/>
        <v/>
      </c>
    </row>
    <row r="363" spans="1:15" hidden="1">
      <c r="A363" s="1455"/>
      <c r="B363" s="1455"/>
      <c r="C363" s="145" t="str">
        <f t="shared" si="10"/>
        <v/>
      </c>
      <c r="D363" s="150"/>
      <c r="E363" s="923"/>
      <c r="F363" s="923"/>
      <c r="G363" s="934"/>
      <c r="H363" s="934"/>
      <c r="I363" s="934"/>
      <c r="J363" s="934"/>
      <c r="K363" s="934"/>
      <c r="L363" s="934"/>
      <c r="M363" s="934"/>
      <c r="N363" s="929"/>
      <c r="O363" s="933" t="str">
        <f t="shared" si="11"/>
        <v/>
      </c>
    </row>
    <row r="364" spans="1:15" hidden="1">
      <c r="A364" s="1455"/>
      <c r="B364" s="1455"/>
      <c r="C364" s="145" t="str">
        <f t="shared" si="10"/>
        <v/>
      </c>
      <c r="D364" s="150"/>
      <c r="E364" s="923"/>
      <c r="F364" s="923"/>
      <c r="G364" s="934"/>
      <c r="H364" s="934"/>
      <c r="I364" s="934"/>
      <c r="J364" s="934"/>
      <c r="K364" s="934"/>
      <c r="L364" s="934"/>
      <c r="M364" s="934"/>
      <c r="N364" s="929"/>
      <c r="O364" s="933" t="str">
        <f t="shared" si="11"/>
        <v/>
      </c>
    </row>
    <row r="365" spans="1:15" hidden="1">
      <c r="A365" s="1455"/>
      <c r="B365" s="1455"/>
      <c r="C365" s="145" t="str">
        <f t="shared" si="10"/>
        <v/>
      </c>
      <c r="D365" s="150"/>
      <c r="E365" s="923"/>
      <c r="F365" s="923"/>
      <c r="G365" s="934"/>
      <c r="H365" s="934"/>
      <c r="I365" s="934"/>
      <c r="J365" s="934"/>
      <c r="K365" s="934"/>
      <c r="L365" s="934"/>
      <c r="M365" s="934"/>
      <c r="N365" s="929"/>
      <c r="O365" s="933" t="str">
        <f t="shared" si="11"/>
        <v/>
      </c>
    </row>
    <row r="366" spans="1:15" hidden="1">
      <c r="A366" s="1455"/>
      <c r="B366" s="1455"/>
      <c r="C366" s="145" t="str">
        <f t="shared" si="10"/>
        <v/>
      </c>
      <c r="D366" s="150"/>
      <c r="E366" s="923"/>
      <c r="F366" s="923"/>
      <c r="G366" s="934"/>
      <c r="H366" s="934"/>
      <c r="I366" s="934"/>
      <c r="J366" s="934"/>
      <c r="K366" s="934"/>
      <c r="L366" s="934"/>
      <c r="M366" s="934"/>
      <c r="N366" s="929"/>
      <c r="O366" s="933" t="str">
        <f t="shared" si="11"/>
        <v/>
      </c>
    </row>
    <row r="367" spans="1:15" hidden="1">
      <c r="A367" s="1455"/>
      <c r="B367" s="1455"/>
      <c r="C367" s="145" t="str">
        <f t="shared" si="10"/>
        <v/>
      </c>
      <c r="D367" s="150"/>
      <c r="E367" s="923"/>
      <c r="F367" s="923"/>
      <c r="G367" s="934"/>
      <c r="H367" s="934"/>
      <c r="I367" s="934"/>
      <c r="J367" s="934"/>
      <c r="K367" s="934"/>
      <c r="L367" s="934"/>
      <c r="M367" s="934"/>
      <c r="N367" s="929"/>
      <c r="O367" s="933" t="str">
        <f t="shared" si="11"/>
        <v/>
      </c>
    </row>
    <row r="368" spans="1:15" hidden="1">
      <c r="A368" s="1455"/>
      <c r="B368" s="1455"/>
      <c r="C368" s="145" t="str">
        <f t="shared" si="10"/>
        <v/>
      </c>
      <c r="D368" s="150"/>
      <c r="E368" s="923"/>
      <c r="F368" s="923"/>
      <c r="G368" s="934"/>
      <c r="H368" s="934"/>
      <c r="I368" s="934"/>
      <c r="J368" s="934"/>
      <c r="K368" s="934"/>
      <c r="L368" s="934"/>
      <c r="M368" s="934"/>
      <c r="N368" s="929"/>
      <c r="O368" s="933" t="str">
        <f t="shared" si="11"/>
        <v/>
      </c>
    </row>
    <row r="369" spans="1:15" hidden="1">
      <c r="A369" s="1455"/>
      <c r="B369" s="1455"/>
      <c r="C369" s="145" t="str">
        <f t="shared" si="10"/>
        <v/>
      </c>
      <c r="D369" s="150"/>
      <c r="E369" s="923"/>
      <c r="F369" s="923"/>
      <c r="G369" s="934"/>
      <c r="H369" s="934"/>
      <c r="I369" s="934"/>
      <c r="J369" s="934"/>
      <c r="K369" s="934"/>
      <c r="L369" s="934"/>
      <c r="M369" s="934"/>
      <c r="N369" s="929"/>
      <c r="O369" s="933" t="str">
        <f t="shared" si="11"/>
        <v/>
      </c>
    </row>
    <row r="370" spans="1:15" hidden="1">
      <c r="A370" s="1455"/>
      <c r="B370" s="1455"/>
      <c r="C370" s="145" t="str">
        <f t="shared" si="10"/>
        <v/>
      </c>
      <c r="D370" s="150"/>
      <c r="E370" s="923"/>
      <c r="F370" s="923"/>
      <c r="G370" s="934"/>
      <c r="H370" s="934"/>
      <c r="I370" s="934"/>
      <c r="J370" s="934"/>
      <c r="K370" s="934"/>
      <c r="L370" s="934"/>
      <c r="M370" s="934"/>
      <c r="N370" s="929"/>
      <c r="O370" s="933" t="str">
        <f t="shared" si="11"/>
        <v/>
      </c>
    </row>
    <row r="371" spans="1:15" hidden="1">
      <c r="A371" s="1455"/>
      <c r="B371" s="1455"/>
      <c r="C371" s="145" t="str">
        <f t="shared" si="10"/>
        <v/>
      </c>
      <c r="D371" s="150"/>
      <c r="E371" s="923"/>
      <c r="F371" s="923"/>
      <c r="G371" s="934"/>
      <c r="H371" s="934"/>
      <c r="I371" s="934"/>
      <c r="J371" s="934"/>
      <c r="K371" s="934"/>
      <c r="L371" s="934"/>
      <c r="M371" s="934"/>
      <c r="N371" s="929"/>
      <c r="O371" s="933" t="str">
        <f t="shared" si="11"/>
        <v/>
      </c>
    </row>
    <row r="372" spans="1:15" hidden="1">
      <c r="A372" s="1455"/>
      <c r="B372" s="1455"/>
      <c r="C372" s="145" t="str">
        <f t="shared" si="10"/>
        <v/>
      </c>
      <c r="D372" s="150"/>
      <c r="E372" s="923"/>
      <c r="F372" s="923"/>
      <c r="G372" s="934"/>
      <c r="H372" s="934"/>
      <c r="I372" s="934"/>
      <c r="J372" s="934"/>
      <c r="K372" s="934"/>
      <c r="L372" s="934"/>
      <c r="M372" s="934"/>
      <c r="N372" s="929"/>
      <c r="O372" s="933" t="str">
        <f t="shared" si="11"/>
        <v/>
      </c>
    </row>
    <row r="373" spans="1:15" hidden="1">
      <c r="A373" s="1455"/>
      <c r="B373" s="1455"/>
      <c r="C373" s="145" t="str">
        <f t="shared" si="10"/>
        <v/>
      </c>
      <c r="D373" s="150"/>
      <c r="E373" s="923"/>
      <c r="F373" s="923"/>
      <c r="G373" s="934"/>
      <c r="H373" s="934"/>
      <c r="I373" s="934"/>
      <c r="J373" s="934"/>
      <c r="K373" s="934"/>
      <c r="L373" s="934"/>
      <c r="M373" s="934"/>
      <c r="N373" s="929"/>
      <c r="O373" s="933" t="str">
        <f t="shared" si="11"/>
        <v/>
      </c>
    </row>
    <row r="374" spans="1:15" hidden="1">
      <c r="A374" s="1455"/>
      <c r="B374" s="1455"/>
      <c r="C374" s="145" t="str">
        <f t="shared" si="10"/>
        <v/>
      </c>
      <c r="D374" s="150"/>
      <c r="E374" s="923"/>
      <c r="F374" s="923"/>
      <c r="G374" s="934"/>
      <c r="H374" s="934"/>
      <c r="I374" s="934"/>
      <c r="J374" s="934"/>
      <c r="K374" s="934"/>
      <c r="L374" s="934"/>
      <c r="M374" s="934"/>
      <c r="N374" s="929"/>
      <c r="O374" s="933" t="str">
        <f t="shared" si="11"/>
        <v/>
      </c>
    </row>
    <row r="375" spans="1:15" hidden="1">
      <c r="A375" s="1455"/>
      <c r="B375" s="1455"/>
      <c r="C375" s="145" t="str">
        <f t="shared" si="10"/>
        <v/>
      </c>
      <c r="D375" s="150"/>
      <c r="E375" s="923"/>
      <c r="F375" s="923"/>
      <c r="G375" s="934"/>
      <c r="H375" s="934"/>
      <c r="I375" s="934"/>
      <c r="J375" s="934"/>
      <c r="K375" s="934"/>
      <c r="L375" s="934"/>
      <c r="M375" s="934"/>
      <c r="N375" s="929"/>
      <c r="O375" s="933" t="str">
        <f t="shared" si="11"/>
        <v/>
      </c>
    </row>
    <row r="376" spans="1:15" hidden="1">
      <c r="A376" s="1455"/>
      <c r="B376" s="1455"/>
      <c r="C376" s="145" t="str">
        <f t="shared" si="10"/>
        <v/>
      </c>
      <c r="D376" s="150"/>
      <c r="E376" s="923"/>
      <c r="F376" s="923"/>
      <c r="G376" s="934"/>
      <c r="H376" s="934"/>
      <c r="I376" s="934"/>
      <c r="J376" s="934"/>
      <c r="K376" s="934"/>
      <c r="L376" s="934"/>
      <c r="M376" s="934"/>
      <c r="N376" s="929"/>
      <c r="O376" s="933" t="str">
        <f t="shared" si="11"/>
        <v/>
      </c>
    </row>
    <row r="377" spans="1:15" hidden="1">
      <c r="A377" s="1455"/>
      <c r="B377" s="1455"/>
      <c r="C377" s="145" t="str">
        <f t="shared" si="10"/>
        <v/>
      </c>
      <c r="D377" s="150"/>
      <c r="E377" s="923"/>
      <c r="F377" s="923"/>
      <c r="G377" s="934"/>
      <c r="H377" s="934"/>
      <c r="I377" s="934"/>
      <c r="J377" s="934"/>
      <c r="K377" s="934"/>
      <c r="L377" s="934"/>
      <c r="M377" s="934"/>
      <c r="N377" s="929"/>
      <c r="O377" s="933" t="str">
        <f t="shared" si="11"/>
        <v/>
      </c>
    </row>
    <row r="378" spans="1:15" hidden="1">
      <c r="A378" s="1455"/>
      <c r="B378" s="1455"/>
      <c r="C378" s="145" t="str">
        <f t="shared" si="10"/>
        <v/>
      </c>
      <c r="D378" s="150"/>
      <c r="E378" s="923"/>
      <c r="F378" s="923"/>
      <c r="G378" s="934"/>
      <c r="H378" s="934"/>
      <c r="I378" s="934"/>
      <c r="J378" s="934"/>
      <c r="K378" s="934"/>
      <c r="L378" s="934"/>
      <c r="M378" s="934"/>
      <c r="N378" s="929"/>
      <c r="O378" s="933" t="str">
        <f t="shared" si="11"/>
        <v/>
      </c>
    </row>
    <row r="379" spans="1:15" hidden="1">
      <c r="A379" s="1455"/>
      <c r="B379" s="1455"/>
      <c r="C379" s="145" t="str">
        <f t="shared" si="10"/>
        <v/>
      </c>
      <c r="D379" s="150"/>
      <c r="E379" s="923"/>
      <c r="F379" s="923"/>
      <c r="G379" s="934"/>
      <c r="H379" s="934"/>
      <c r="I379" s="934"/>
      <c r="J379" s="934"/>
      <c r="K379" s="934"/>
      <c r="L379" s="934"/>
      <c r="M379" s="934"/>
      <c r="N379" s="929"/>
      <c r="O379" s="933" t="str">
        <f t="shared" si="11"/>
        <v/>
      </c>
    </row>
    <row r="380" spans="1:15" hidden="1">
      <c r="A380" s="1455"/>
      <c r="B380" s="1455"/>
      <c r="C380" s="145" t="str">
        <f t="shared" si="10"/>
        <v/>
      </c>
      <c r="D380" s="150"/>
      <c r="E380" s="923"/>
      <c r="F380" s="923"/>
      <c r="G380" s="934"/>
      <c r="H380" s="934"/>
      <c r="I380" s="934"/>
      <c r="J380" s="934"/>
      <c r="K380" s="934"/>
      <c r="L380" s="934"/>
      <c r="M380" s="934"/>
      <c r="N380" s="929"/>
      <c r="O380" s="933" t="str">
        <f t="shared" si="11"/>
        <v/>
      </c>
    </row>
    <row r="381" spans="1:15" hidden="1">
      <c r="A381" s="1455"/>
      <c r="B381" s="1455"/>
      <c r="C381" s="145" t="str">
        <f t="shared" si="10"/>
        <v/>
      </c>
      <c r="D381" s="150"/>
      <c r="E381" s="923"/>
      <c r="F381" s="923"/>
      <c r="G381" s="934"/>
      <c r="H381" s="934"/>
      <c r="I381" s="934"/>
      <c r="J381" s="934"/>
      <c r="K381" s="934"/>
      <c r="L381" s="934"/>
      <c r="M381" s="934"/>
      <c r="N381" s="929"/>
      <c r="O381" s="933" t="str">
        <f t="shared" si="11"/>
        <v/>
      </c>
    </row>
    <row r="382" spans="1:15" hidden="1">
      <c r="A382" s="1455"/>
      <c r="B382" s="1455"/>
      <c r="C382" s="145" t="str">
        <f t="shared" si="10"/>
        <v/>
      </c>
      <c r="D382" s="150"/>
      <c r="E382" s="923"/>
      <c r="F382" s="923"/>
      <c r="G382" s="934"/>
      <c r="H382" s="934"/>
      <c r="I382" s="934"/>
      <c r="J382" s="934"/>
      <c r="K382" s="934"/>
      <c r="L382" s="934"/>
      <c r="M382" s="934"/>
      <c r="N382" s="929"/>
      <c r="O382" s="933" t="str">
        <f t="shared" si="11"/>
        <v/>
      </c>
    </row>
    <row r="383" spans="1:15" hidden="1">
      <c r="A383" s="1455"/>
      <c r="B383" s="1455"/>
      <c r="C383" s="145" t="str">
        <f t="shared" si="10"/>
        <v/>
      </c>
      <c r="D383" s="150"/>
      <c r="E383" s="923"/>
      <c r="F383" s="923"/>
      <c r="G383" s="934"/>
      <c r="H383" s="934"/>
      <c r="I383" s="934"/>
      <c r="J383" s="934"/>
      <c r="K383" s="934"/>
      <c r="L383" s="934"/>
      <c r="M383" s="934"/>
      <c r="N383" s="929"/>
      <c r="O383" s="933" t="str">
        <f t="shared" si="11"/>
        <v/>
      </c>
    </row>
    <row r="384" spans="1:15" hidden="1">
      <c r="A384" s="1455"/>
      <c r="B384" s="1455"/>
      <c r="C384" s="145" t="str">
        <f t="shared" si="10"/>
        <v/>
      </c>
      <c r="D384" s="150"/>
      <c r="E384" s="923"/>
      <c r="F384" s="923"/>
      <c r="G384" s="934"/>
      <c r="H384" s="934"/>
      <c r="I384" s="934"/>
      <c r="J384" s="934"/>
      <c r="K384" s="934"/>
      <c r="L384" s="934"/>
      <c r="M384" s="934"/>
      <c r="N384" s="929"/>
      <c r="O384" s="933" t="str">
        <f t="shared" si="11"/>
        <v/>
      </c>
    </row>
    <row r="385" spans="1:15" hidden="1">
      <c r="A385" s="1455"/>
      <c r="B385" s="1455"/>
      <c r="C385" s="145" t="str">
        <f t="shared" si="10"/>
        <v/>
      </c>
      <c r="D385" s="150"/>
      <c r="E385" s="923"/>
      <c r="F385" s="923"/>
      <c r="G385" s="934"/>
      <c r="H385" s="934"/>
      <c r="I385" s="934"/>
      <c r="J385" s="934"/>
      <c r="K385" s="934"/>
      <c r="L385" s="934"/>
      <c r="M385" s="934"/>
      <c r="N385" s="929"/>
      <c r="O385" s="933" t="str">
        <f t="shared" si="11"/>
        <v/>
      </c>
    </row>
    <row r="386" spans="1:15" hidden="1">
      <c r="A386" s="1455"/>
      <c r="B386" s="1455"/>
      <c r="C386" s="145" t="str">
        <f t="shared" si="10"/>
        <v/>
      </c>
      <c r="D386" s="150"/>
      <c r="E386" s="923"/>
      <c r="F386" s="923"/>
      <c r="G386" s="934"/>
      <c r="H386" s="934"/>
      <c r="I386" s="934"/>
      <c r="J386" s="934"/>
      <c r="K386" s="934"/>
      <c r="L386" s="934"/>
      <c r="M386" s="934"/>
      <c r="N386" s="929"/>
      <c r="O386" s="933" t="str">
        <f t="shared" si="11"/>
        <v/>
      </c>
    </row>
    <row r="387" spans="1:15" hidden="1">
      <c r="A387" s="1455"/>
      <c r="B387" s="1455"/>
      <c r="C387" s="145" t="str">
        <f t="shared" si="10"/>
        <v/>
      </c>
      <c r="D387" s="150"/>
      <c r="E387" s="923"/>
      <c r="F387" s="923"/>
      <c r="G387" s="934"/>
      <c r="H387" s="934"/>
      <c r="I387" s="934"/>
      <c r="J387" s="934"/>
      <c r="K387" s="934"/>
      <c r="L387" s="934"/>
      <c r="M387" s="934"/>
      <c r="N387" s="929"/>
      <c r="O387" s="933" t="str">
        <f t="shared" si="11"/>
        <v/>
      </c>
    </row>
    <row r="388" spans="1:15" hidden="1">
      <c r="A388" s="1455"/>
      <c r="B388" s="1455"/>
      <c r="C388" s="145" t="str">
        <f t="shared" si="10"/>
        <v/>
      </c>
      <c r="D388" s="150"/>
      <c r="E388" s="923"/>
      <c r="F388" s="923"/>
      <c r="G388" s="934"/>
      <c r="H388" s="934"/>
      <c r="I388" s="934"/>
      <c r="J388" s="934"/>
      <c r="K388" s="934"/>
      <c r="L388" s="934"/>
      <c r="M388" s="934"/>
      <c r="N388" s="929"/>
      <c r="O388" s="933" t="str">
        <f t="shared" si="11"/>
        <v/>
      </c>
    </row>
    <row r="389" spans="1:15" hidden="1">
      <c r="A389" s="1455"/>
      <c r="B389" s="1455"/>
      <c r="C389" s="145" t="str">
        <f t="shared" si="10"/>
        <v/>
      </c>
      <c r="D389" s="150"/>
      <c r="E389" s="923"/>
      <c r="F389" s="923"/>
      <c r="G389" s="934"/>
      <c r="H389" s="934"/>
      <c r="I389" s="934"/>
      <c r="J389" s="934"/>
      <c r="K389" s="934"/>
      <c r="L389" s="934"/>
      <c r="M389" s="934"/>
      <c r="N389" s="929"/>
      <c r="O389" s="933" t="str">
        <f t="shared" si="11"/>
        <v/>
      </c>
    </row>
    <row r="390" spans="1:15" hidden="1">
      <c r="A390" s="1455"/>
      <c r="B390" s="1455"/>
      <c r="C390" s="145" t="str">
        <f t="shared" si="10"/>
        <v/>
      </c>
      <c r="D390" s="150"/>
      <c r="E390" s="923"/>
      <c r="F390" s="923"/>
      <c r="G390" s="934"/>
      <c r="H390" s="934"/>
      <c r="I390" s="934"/>
      <c r="J390" s="934"/>
      <c r="K390" s="934"/>
      <c r="L390" s="934"/>
      <c r="M390" s="934"/>
      <c r="N390" s="929"/>
      <c r="O390" s="933" t="str">
        <f t="shared" si="11"/>
        <v/>
      </c>
    </row>
    <row r="391" spans="1:15" hidden="1">
      <c r="A391" s="1455"/>
      <c r="B391" s="1455"/>
      <c r="C391" s="145" t="str">
        <f t="shared" si="10"/>
        <v/>
      </c>
      <c r="D391" s="150"/>
      <c r="E391" s="923"/>
      <c r="F391" s="923"/>
      <c r="G391" s="934"/>
      <c r="H391" s="934"/>
      <c r="I391" s="934"/>
      <c r="J391" s="934"/>
      <c r="K391" s="934"/>
      <c r="L391" s="934"/>
      <c r="M391" s="934"/>
      <c r="N391" s="929"/>
      <c r="O391" s="933" t="str">
        <f t="shared" si="11"/>
        <v/>
      </c>
    </row>
    <row r="392" spans="1:15" hidden="1">
      <c r="A392" s="1455"/>
      <c r="B392" s="1455"/>
      <c r="C392" s="145" t="str">
        <f t="shared" si="10"/>
        <v/>
      </c>
      <c r="D392" s="150"/>
      <c r="E392" s="923"/>
      <c r="F392" s="923"/>
      <c r="G392" s="934"/>
      <c r="H392" s="934"/>
      <c r="I392" s="934"/>
      <c r="J392" s="934"/>
      <c r="K392" s="934"/>
      <c r="L392" s="934"/>
      <c r="M392" s="934"/>
      <c r="N392" s="929"/>
      <c r="O392" s="933" t="str">
        <f t="shared" si="11"/>
        <v/>
      </c>
    </row>
    <row r="393" spans="1:15" hidden="1">
      <c r="A393" s="1455"/>
      <c r="B393" s="1455"/>
      <c r="C393" s="145" t="str">
        <f t="shared" si="10"/>
        <v/>
      </c>
      <c r="D393" s="150"/>
      <c r="E393" s="923"/>
      <c r="F393" s="923"/>
      <c r="G393" s="934"/>
      <c r="H393" s="934"/>
      <c r="I393" s="934"/>
      <c r="J393" s="934"/>
      <c r="K393" s="934"/>
      <c r="L393" s="934"/>
      <c r="M393" s="934"/>
      <c r="N393" s="929"/>
      <c r="O393" s="933" t="str">
        <f t="shared" si="11"/>
        <v/>
      </c>
    </row>
    <row r="394" spans="1:15" hidden="1">
      <c r="A394" s="1455"/>
      <c r="B394" s="1455"/>
      <c r="C394" s="145" t="str">
        <f t="shared" si="10"/>
        <v/>
      </c>
      <c r="D394" s="150"/>
      <c r="E394" s="923"/>
      <c r="F394" s="923"/>
      <c r="G394" s="934"/>
      <c r="H394" s="934"/>
      <c r="I394" s="934"/>
      <c r="J394" s="934"/>
      <c r="K394" s="934"/>
      <c r="L394" s="934"/>
      <c r="M394" s="934"/>
      <c r="N394" s="929"/>
      <c r="O394" s="933" t="str">
        <f t="shared" si="11"/>
        <v/>
      </c>
    </row>
    <row r="395" spans="1:15" hidden="1">
      <c r="A395" s="1455"/>
      <c r="B395" s="1455"/>
      <c r="C395" s="145" t="str">
        <f t="shared" si="10"/>
        <v/>
      </c>
      <c r="D395" s="150"/>
      <c r="E395" s="923"/>
      <c r="F395" s="923"/>
      <c r="G395" s="934"/>
      <c r="H395" s="934"/>
      <c r="I395" s="934"/>
      <c r="J395" s="934"/>
      <c r="K395" s="934"/>
      <c r="L395" s="934"/>
      <c r="M395" s="934"/>
      <c r="N395" s="929"/>
      <c r="O395" s="933" t="str">
        <f t="shared" si="11"/>
        <v/>
      </c>
    </row>
    <row r="396" spans="1:15" hidden="1">
      <c r="A396" s="1455"/>
      <c r="B396" s="1455"/>
      <c r="C396" s="145" t="str">
        <f t="shared" si="10"/>
        <v/>
      </c>
      <c r="D396" s="150"/>
      <c r="E396" s="923"/>
      <c r="F396" s="923"/>
      <c r="G396" s="934"/>
      <c r="H396" s="934"/>
      <c r="I396" s="934"/>
      <c r="J396" s="934"/>
      <c r="K396" s="934"/>
      <c r="L396" s="934"/>
      <c r="M396" s="934"/>
      <c r="N396" s="929"/>
      <c r="O396" s="933" t="str">
        <f t="shared" si="11"/>
        <v/>
      </c>
    </row>
    <row r="397" spans="1:15" hidden="1">
      <c r="A397" s="1455"/>
      <c r="B397" s="1455"/>
      <c r="C397" s="145" t="str">
        <f t="shared" si="10"/>
        <v/>
      </c>
      <c r="D397" s="150"/>
      <c r="E397" s="923"/>
      <c r="F397" s="923"/>
      <c r="G397" s="934"/>
      <c r="H397" s="934"/>
      <c r="I397" s="934"/>
      <c r="J397" s="934"/>
      <c r="K397" s="934"/>
      <c r="L397" s="934"/>
      <c r="M397" s="934"/>
      <c r="N397" s="929"/>
      <c r="O397" s="933" t="str">
        <f t="shared" si="11"/>
        <v/>
      </c>
    </row>
    <row r="398" spans="1:15" hidden="1">
      <c r="A398" s="1455"/>
      <c r="B398" s="1455"/>
      <c r="C398" s="145" t="str">
        <f t="shared" si="10"/>
        <v/>
      </c>
      <c r="D398" s="150"/>
      <c r="E398" s="923"/>
      <c r="F398" s="923"/>
      <c r="G398" s="934"/>
      <c r="H398" s="934"/>
      <c r="I398" s="934"/>
      <c r="J398" s="934"/>
      <c r="K398" s="934"/>
      <c r="L398" s="934"/>
      <c r="M398" s="934"/>
      <c r="N398" s="929"/>
      <c r="O398" s="933" t="str">
        <f t="shared" si="11"/>
        <v/>
      </c>
    </row>
    <row r="399" spans="1:15" hidden="1">
      <c r="A399" s="1455"/>
      <c r="B399" s="1455"/>
      <c r="C399" s="145" t="str">
        <f t="shared" si="10"/>
        <v/>
      </c>
      <c r="D399" s="150"/>
      <c r="E399" s="923"/>
      <c r="F399" s="923"/>
      <c r="G399" s="934"/>
      <c r="H399" s="934"/>
      <c r="I399" s="934"/>
      <c r="J399" s="934"/>
      <c r="K399" s="934"/>
      <c r="L399" s="934"/>
      <c r="M399" s="934"/>
      <c r="N399" s="929"/>
      <c r="O399" s="933" t="str">
        <f t="shared" si="11"/>
        <v/>
      </c>
    </row>
    <row r="400" spans="1:15" hidden="1">
      <c r="A400" s="1455"/>
      <c r="B400" s="1455"/>
      <c r="C400" s="145" t="str">
        <f t="shared" si="10"/>
        <v/>
      </c>
      <c r="D400" s="150"/>
      <c r="E400" s="923"/>
      <c r="F400" s="923"/>
      <c r="G400" s="934"/>
      <c r="H400" s="934"/>
      <c r="I400" s="934"/>
      <c r="J400" s="934"/>
      <c r="K400" s="934"/>
      <c r="L400" s="934"/>
      <c r="M400" s="934"/>
      <c r="N400" s="929"/>
      <c r="O400" s="933" t="str">
        <f t="shared" si="11"/>
        <v/>
      </c>
    </row>
    <row r="401" spans="1:15" hidden="1">
      <c r="A401" s="1455"/>
      <c r="B401" s="1455"/>
      <c r="C401" s="145" t="str">
        <f t="shared" ref="C401:C464" si="12">IF(A401&lt;&gt;"",ROW(),"")</f>
        <v/>
      </c>
      <c r="D401" s="150"/>
      <c r="E401" s="923"/>
      <c r="F401" s="923"/>
      <c r="G401" s="934"/>
      <c r="H401" s="934"/>
      <c r="I401" s="934"/>
      <c r="J401" s="934"/>
      <c r="K401" s="934"/>
      <c r="L401" s="934"/>
      <c r="M401" s="934"/>
      <c r="N401" s="929"/>
      <c r="O401" s="933" t="str">
        <f t="shared" ref="O401:O464" si="13">IF(A401&lt;&gt;"",A401,"")</f>
        <v/>
      </c>
    </row>
    <row r="402" spans="1:15" hidden="1">
      <c r="A402" s="1455"/>
      <c r="B402" s="1455"/>
      <c r="C402" s="145" t="str">
        <f t="shared" si="12"/>
        <v/>
      </c>
      <c r="D402" s="150"/>
      <c r="E402" s="923"/>
      <c r="F402" s="923"/>
      <c r="G402" s="934"/>
      <c r="H402" s="934"/>
      <c r="I402" s="934"/>
      <c r="J402" s="934"/>
      <c r="K402" s="934"/>
      <c r="L402" s="934"/>
      <c r="M402" s="934"/>
      <c r="N402" s="929"/>
      <c r="O402" s="933" t="str">
        <f t="shared" si="13"/>
        <v/>
      </c>
    </row>
    <row r="403" spans="1:15" hidden="1">
      <c r="A403" s="1455"/>
      <c r="B403" s="1455"/>
      <c r="C403" s="145" t="str">
        <f t="shared" si="12"/>
        <v/>
      </c>
      <c r="D403" s="150"/>
      <c r="E403" s="923"/>
      <c r="F403" s="923"/>
      <c r="G403" s="934"/>
      <c r="H403" s="934"/>
      <c r="I403" s="934"/>
      <c r="J403" s="934"/>
      <c r="K403" s="934"/>
      <c r="L403" s="934"/>
      <c r="M403" s="934"/>
      <c r="N403" s="929"/>
      <c r="O403" s="933" t="str">
        <f t="shared" si="13"/>
        <v/>
      </c>
    </row>
    <row r="404" spans="1:15" hidden="1">
      <c r="A404" s="1455"/>
      <c r="B404" s="1455"/>
      <c r="C404" s="145" t="str">
        <f t="shared" si="12"/>
        <v/>
      </c>
      <c r="D404" s="150"/>
      <c r="E404" s="923"/>
      <c r="F404" s="923"/>
      <c r="G404" s="934"/>
      <c r="H404" s="934"/>
      <c r="I404" s="934"/>
      <c r="J404" s="934"/>
      <c r="K404" s="934"/>
      <c r="L404" s="934"/>
      <c r="M404" s="934"/>
      <c r="N404" s="929"/>
      <c r="O404" s="933" t="str">
        <f t="shared" si="13"/>
        <v/>
      </c>
    </row>
    <row r="405" spans="1:15" hidden="1">
      <c r="A405" s="1455"/>
      <c r="B405" s="1455"/>
      <c r="C405" s="145" t="str">
        <f t="shared" si="12"/>
        <v/>
      </c>
      <c r="D405" s="150"/>
      <c r="E405" s="923"/>
      <c r="F405" s="923"/>
      <c r="G405" s="934"/>
      <c r="H405" s="934"/>
      <c r="I405" s="934"/>
      <c r="J405" s="934"/>
      <c r="K405" s="934"/>
      <c r="L405" s="934"/>
      <c r="M405" s="934"/>
      <c r="N405" s="929"/>
      <c r="O405" s="933" t="str">
        <f t="shared" si="13"/>
        <v/>
      </c>
    </row>
    <row r="406" spans="1:15" hidden="1">
      <c r="A406" s="1455"/>
      <c r="B406" s="1455"/>
      <c r="C406" s="145" t="str">
        <f t="shared" si="12"/>
        <v/>
      </c>
      <c r="D406" s="150"/>
      <c r="E406" s="923"/>
      <c r="F406" s="923"/>
      <c r="G406" s="934"/>
      <c r="H406" s="934"/>
      <c r="I406" s="934"/>
      <c r="J406" s="934"/>
      <c r="K406" s="934"/>
      <c r="L406" s="934"/>
      <c r="M406" s="934"/>
      <c r="N406" s="929"/>
      <c r="O406" s="933" t="str">
        <f t="shared" si="13"/>
        <v/>
      </c>
    </row>
    <row r="407" spans="1:15" hidden="1">
      <c r="A407" s="1455"/>
      <c r="B407" s="1455"/>
      <c r="C407" s="145" t="str">
        <f t="shared" si="12"/>
        <v/>
      </c>
      <c r="D407" s="150"/>
      <c r="E407" s="923"/>
      <c r="F407" s="923"/>
      <c r="G407" s="934"/>
      <c r="H407" s="934"/>
      <c r="I407" s="934"/>
      <c r="J407" s="934"/>
      <c r="K407" s="934"/>
      <c r="L407" s="934"/>
      <c r="M407" s="934"/>
      <c r="N407" s="929"/>
      <c r="O407" s="933" t="str">
        <f t="shared" si="13"/>
        <v/>
      </c>
    </row>
    <row r="408" spans="1:15" hidden="1">
      <c r="A408" s="1455"/>
      <c r="B408" s="1455"/>
      <c r="C408" s="145" t="str">
        <f t="shared" si="12"/>
        <v/>
      </c>
      <c r="D408" s="150"/>
      <c r="E408" s="923"/>
      <c r="F408" s="923"/>
      <c r="G408" s="934"/>
      <c r="H408" s="934"/>
      <c r="I408" s="934"/>
      <c r="J408" s="934"/>
      <c r="K408" s="934"/>
      <c r="L408" s="934"/>
      <c r="M408" s="934"/>
      <c r="N408" s="929"/>
      <c r="O408" s="933" t="str">
        <f t="shared" si="13"/>
        <v/>
      </c>
    </row>
    <row r="409" spans="1:15" hidden="1">
      <c r="A409" s="1455"/>
      <c r="B409" s="1455"/>
      <c r="C409" s="145" t="str">
        <f t="shared" si="12"/>
        <v/>
      </c>
      <c r="D409" s="150"/>
      <c r="E409" s="923"/>
      <c r="F409" s="923"/>
      <c r="G409" s="934"/>
      <c r="H409" s="934"/>
      <c r="I409" s="934"/>
      <c r="J409" s="934"/>
      <c r="K409" s="934"/>
      <c r="L409" s="934"/>
      <c r="M409" s="934"/>
      <c r="N409" s="929"/>
      <c r="O409" s="933" t="str">
        <f t="shared" si="13"/>
        <v/>
      </c>
    </row>
    <row r="410" spans="1:15" hidden="1">
      <c r="A410" s="1455"/>
      <c r="B410" s="1455"/>
      <c r="C410" s="145" t="str">
        <f t="shared" si="12"/>
        <v/>
      </c>
      <c r="D410" s="150"/>
      <c r="E410" s="923"/>
      <c r="F410" s="923"/>
      <c r="G410" s="934"/>
      <c r="H410" s="934"/>
      <c r="I410" s="934"/>
      <c r="J410" s="934"/>
      <c r="K410" s="934"/>
      <c r="L410" s="934"/>
      <c r="M410" s="934"/>
      <c r="N410" s="929"/>
      <c r="O410" s="933" t="str">
        <f t="shared" si="13"/>
        <v/>
      </c>
    </row>
    <row r="411" spans="1:15" hidden="1">
      <c r="A411" s="1455"/>
      <c r="B411" s="1455"/>
      <c r="C411" s="145" t="str">
        <f t="shared" si="12"/>
        <v/>
      </c>
      <c r="D411" s="150"/>
      <c r="E411" s="923"/>
      <c r="F411" s="923"/>
      <c r="G411" s="934"/>
      <c r="H411" s="934"/>
      <c r="I411" s="934"/>
      <c r="J411" s="934"/>
      <c r="K411" s="934"/>
      <c r="L411" s="934"/>
      <c r="M411" s="934"/>
      <c r="N411" s="929"/>
      <c r="O411" s="933" t="str">
        <f t="shared" si="13"/>
        <v/>
      </c>
    </row>
    <row r="412" spans="1:15" hidden="1">
      <c r="A412" s="1455"/>
      <c r="B412" s="1455"/>
      <c r="C412" s="145" t="str">
        <f t="shared" si="12"/>
        <v/>
      </c>
      <c r="D412" s="150"/>
      <c r="E412" s="923"/>
      <c r="F412" s="923"/>
      <c r="G412" s="934"/>
      <c r="H412" s="934"/>
      <c r="I412" s="934"/>
      <c r="J412" s="934"/>
      <c r="K412" s="934"/>
      <c r="L412" s="934"/>
      <c r="M412" s="934"/>
      <c r="N412" s="929"/>
      <c r="O412" s="933" t="str">
        <f t="shared" si="13"/>
        <v/>
      </c>
    </row>
    <row r="413" spans="1:15" hidden="1">
      <c r="A413" s="1455"/>
      <c r="B413" s="1455"/>
      <c r="C413" s="145" t="str">
        <f t="shared" si="12"/>
        <v/>
      </c>
      <c r="D413" s="150"/>
      <c r="E413" s="923"/>
      <c r="F413" s="923"/>
      <c r="G413" s="934"/>
      <c r="H413" s="934"/>
      <c r="I413" s="934"/>
      <c r="J413" s="934"/>
      <c r="K413" s="934"/>
      <c r="L413" s="934"/>
      <c r="M413" s="934"/>
      <c r="N413" s="929"/>
      <c r="O413" s="933" t="str">
        <f t="shared" si="13"/>
        <v/>
      </c>
    </row>
    <row r="414" spans="1:15" hidden="1">
      <c r="A414" s="1455"/>
      <c r="B414" s="1455"/>
      <c r="C414" s="145" t="str">
        <f t="shared" si="12"/>
        <v/>
      </c>
      <c r="D414" s="150"/>
      <c r="E414" s="923"/>
      <c r="F414" s="923"/>
      <c r="G414" s="934"/>
      <c r="H414" s="934"/>
      <c r="I414" s="934"/>
      <c r="J414" s="934"/>
      <c r="K414" s="934"/>
      <c r="L414" s="934"/>
      <c r="M414" s="934"/>
      <c r="N414" s="929"/>
      <c r="O414" s="933" t="str">
        <f t="shared" si="13"/>
        <v/>
      </c>
    </row>
    <row r="415" spans="1:15" hidden="1">
      <c r="A415" s="1455"/>
      <c r="B415" s="1455"/>
      <c r="C415" s="145" t="str">
        <f t="shared" si="12"/>
        <v/>
      </c>
      <c r="D415" s="150"/>
      <c r="E415" s="923"/>
      <c r="F415" s="923"/>
      <c r="G415" s="934"/>
      <c r="H415" s="934"/>
      <c r="I415" s="934"/>
      <c r="J415" s="934"/>
      <c r="K415" s="934"/>
      <c r="L415" s="934"/>
      <c r="M415" s="934"/>
      <c r="N415" s="929"/>
      <c r="O415" s="933" t="str">
        <f t="shared" si="13"/>
        <v/>
      </c>
    </row>
    <row r="416" spans="1:15" hidden="1">
      <c r="A416" s="1455"/>
      <c r="B416" s="1455"/>
      <c r="C416" s="145" t="str">
        <f t="shared" si="12"/>
        <v/>
      </c>
      <c r="D416" s="150"/>
      <c r="E416" s="923"/>
      <c r="F416" s="923"/>
      <c r="G416" s="934"/>
      <c r="H416" s="934"/>
      <c r="I416" s="934"/>
      <c r="J416" s="934"/>
      <c r="K416" s="934"/>
      <c r="L416" s="934"/>
      <c r="M416" s="934"/>
      <c r="N416" s="929"/>
      <c r="O416" s="933" t="str">
        <f t="shared" si="13"/>
        <v/>
      </c>
    </row>
    <row r="417" spans="1:15" hidden="1">
      <c r="A417" s="1455"/>
      <c r="B417" s="1455"/>
      <c r="C417" s="145" t="str">
        <f t="shared" si="12"/>
        <v/>
      </c>
      <c r="D417" s="150"/>
      <c r="E417" s="923"/>
      <c r="F417" s="923"/>
      <c r="G417" s="934"/>
      <c r="H417" s="934"/>
      <c r="I417" s="934"/>
      <c r="J417" s="934"/>
      <c r="K417" s="934"/>
      <c r="L417" s="934"/>
      <c r="M417" s="934"/>
      <c r="N417" s="929"/>
      <c r="O417" s="933" t="str">
        <f t="shared" si="13"/>
        <v/>
      </c>
    </row>
    <row r="418" spans="1:15" hidden="1">
      <c r="A418" s="1455"/>
      <c r="B418" s="1455"/>
      <c r="C418" s="145" t="str">
        <f t="shared" si="12"/>
        <v/>
      </c>
      <c r="D418" s="150"/>
      <c r="E418" s="923"/>
      <c r="F418" s="923"/>
      <c r="G418" s="934"/>
      <c r="H418" s="934"/>
      <c r="I418" s="934"/>
      <c r="J418" s="934"/>
      <c r="K418" s="934"/>
      <c r="L418" s="934"/>
      <c r="M418" s="934"/>
      <c r="N418" s="929"/>
      <c r="O418" s="933" t="str">
        <f t="shared" si="13"/>
        <v/>
      </c>
    </row>
    <row r="419" spans="1:15" hidden="1">
      <c r="A419" s="1455"/>
      <c r="B419" s="1455"/>
      <c r="C419" s="145" t="str">
        <f t="shared" si="12"/>
        <v/>
      </c>
      <c r="D419" s="150"/>
      <c r="E419" s="923"/>
      <c r="F419" s="923"/>
      <c r="G419" s="934"/>
      <c r="H419" s="934"/>
      <c r="I419" s="934"/>
      <c r="J419" s="934"/>
      <c r="K419" s="934"/>
      <c r="L419" s="934"/>
      <c r="M419" s="934"/>
      <c r="N419" s="929"/>
      <c r="O419" s="933" t="str">
        <f t="shared" si="13"/>
        <v/>
      </c>
    </row>
    <row r="420" spans="1:15" hidden="1">
      <c r="A420" s="1455"/>
      <c r="B420" s="1455"/>
      <c r="C420" s="145" t="str">
        <f t="shared" si="12"/>
        <v/>
      </c>
      <c r="D420" s="150"/>
      <c r="E420" s="923"/>
      <c r="F420" s="923"/>
      <c r="G420" s="934"/>
      <c r="H420" s="934"/>
      <c r="I420" s="934"/>
      <c r="J420" s="934"/>
      <c r="K420" s="934"/>
      <c r="L420" s="934"/>
      <c r="M420" s="934"/>
      <c r="N420" s="929"/>
      <c r="O420" s="933" t="str">
        <f t="shared" si="13"/>
        <v/>
      </c>
    </row>
    <row r="421" spans="1:15" hidden="1">
      <c r="A421" s="1455"/>
      <c r="B421" s="1455"/>
      <c r="C421" s="145" t="str">
        <f t="shared" si="12"/>
        <v/>
      </c>
      <c r="D421" s="150"/>
      <c r="E421" s="923"/>
      <c r="F421" s="923"/>
      <c r="G421" s="934"/>
      <c r="H421" s="934"/>
      <c r="I421" s="934"/>
      <c r="J421" s="934"/>
      <c r="K421" s="934"/>
      <c r="L421" s="934"/>
      <c r="M421" s="934"/>
      <c r="N421" s="929"/>
      <c r="O421" s="933" t="str">
        <f t="shared" si="13"/>
        <v/>
      </c>
    </row>
    <row r="422" spans="1:15" hidden="1">
      <c r="A422" s="1455"/>
      <c r="B422" s="1455"/>
      <c r="C422" s="145" t="str">
        <f t="shared" si="12"/>
        <v/>
      </c>
      <c r="D422" s="150"/>
      <c r="E422" s="923"/>
      <c r="F422" s="923"/>
      <c r="G422" s="934"/>
      <c r="H422" s="934"/>
      <c r="I422" s="934"/>
      <c r="J422" s="934"/>
      <c r="K422" s="934"/>
      <c r="L422" s="934"/>
      <c r="M422" s="934"/>
      <c r="N422" s="929"/>
      <c r="O422" s="933" t="str">
        <f t="shared" si="13"/>
        <v/>
      </c>
    </row>
    <row r="423" spans="1:15" hidden="1">
      <c r="A423" s="1455"/>
      <c r="B423" s="1455"/>
      <c r="C423" s="145" t="str">
        <f t="shared" si="12"/>
        <v/>
      </c>
      <c r="D423" s="150"/>
      <c r="E423" s="923"/>
      <c r="F423" s="923"/>
      <c r="G423" s="934"/>
      <c r="H423" s="934"/>
      <c r="I423" s="934"/>
      <c r="J423" s="934"/>
      <c r="K423" s="934"/>
      <c r="L423" s="934"/>
      <c r="M423" s="934"/>
      <c r="N423" s="929"/>
      <c r="O423" s="933" t="str">
        <f t="shared" si="13"/>
        <v/>
      </c>
    </row>
    <row r="424" spans="1:15" hidden="1">
      <c r="A424" s="1455"/>
      <c r="B424" s="1455"/>
      <c r="C424" s="145" t="str">
        <f t="shared" si="12"/>
        <v/>
      </c>
      <c r="D424" s="150"/>
      <c r="E424" s="923"/>
      <c r="F424" s="923"/>
      <c r="G424" s="934"/>
      <c r="H424" s="934"/>
      <c r="I424" s="934"/>
      <c r="J424" s="934"/>
      <c r="K424" s="934"/>
      <c r="L424" s="934"/>
      <c r="M424" s="934"/>
      <c r="N424" s="929"/>
      <c r="O424" s="933" t="str">
        <f t="shared" si="13"/>
        <v/>
      </c>
    </row>
    <row r="425" spans="1:15" hidden="1">
      <c r="A425" s="1455"/>
      <c r="B425" s="1455"/>
      <c r="C425" s="145" t="str">
        <f t="shared" si="12"/>
        <v/>
      </c>
      <c r="D425" s="150"/>
      <c r="E425" s="923"/>
      <c r="F425" s="923"/>
      <c r="G425" s="934"/>
      <c r="H425" s="934"/>
      <c r="I425" s="934"/>
      <c r="J425" s="934"/>
      <c r="K425" s="934"/>
      <c r="L425" s="934"/>
      <c r="M425" s="934"/>
      <c r="N425" s="929"/>
      <c r="O425" s="933" t="str">
        <f t="shared" si="13"/>
        <v/>
      </c>
    </row>
    <row r="426" spans="1:15" hidden="1">
      <c r="A426" s="1455"/>
      <c r="B426" s="1455"/>
      <c r="C426" s="145" t="str">
        <f t="shared" si="12"/>
        <v/>
      </c>
      <c r="D426" s="150"/>
      <c r="E426" s="923"/>
      <c r="F426" s="923"/>
      <c r="G426" s="934"/>
      <c r="H426" s="934"/>
      <c r="I426" s="934"/>
      <c r="J426" s="934"/>
      <c r="K426" s="934"/>
      <c r="L426" s="934"/>
      <c r="M426" s="934"/>
      <c r="N426" s="929"/>
      <c r="O426" s="933" t="str">
        <f t="shared" si="13"/>
        <v/>
      </c>
    </row>
    <row r="427" spans="1:15" hidden="1">
      <c r="A427" s="1455"/>
      <c r="B427" s="1455"/>
      <c r="C427" s="145" t="str">
        <f t="shared" si="12"/>
        <v/>
      </c>
      <c r="D427" s="150"/>
      <c r="E427" s="923"/>
      <c r="F427" s="923"/>
      <c r="G427" s="934"/>
      <c r="H427" s="934"/>
      <c r="I427" s="934"/>
      <c r="J427" s="934"/>
      <c r="K427" s="934"/>
      <c r="L427" s="934"/>
      <c r="M427" s="934"/>
      <c r="N427" s="929"/>
      <c r="O427" s="933" t="str">
        <f t="shared" si="13"/>
        <v/>
      </c>
    </row>
    <row r="428" spans="1:15" hidden="1">
      <c r="A428" s="1455"/>
      <c r="B428" s="1455"/>
      <c r="C428" s="145" t="str">
        <f t="shared" si="12"/>
        <v/>
      </c>
      <c r="D428" s="150"/>
      <c r="E428" s="923"/>
      <c r="F428" s="923"/>
      <c r="G428" s="934"/>
      <c r="H428" s="934"/>
      <c r="I428" s="934"/>
      <c r="J428" s="934"/>
      <c r="K428" s="934"/>
      <c r="L428" s="934"/>
      <c r="M428" s="934"/>
      <c r="N428" s="929"/>
      <c r="O428" s="933" t="str">
        <f t="shared" si="13"/>
        <v/>
      </c>
    </row>
    <row r="429" spans="1:15" hidden="1">
      <c r="A429" s="1455"/>
      <c r="B429" s="1455"/>
      <c r="C429" s="145" t="str">
        <f t="shared" si="12"/>
        <v/>
      </c>
      <c r="D429" s="150"/>
      <c r="E429" s="923"/>
      <c r="F429" s="923"/>
      <c r="G429" s="934"/>
      <c r="H429" s="934"/>
      <c r="I429" s="934"/>
      <c r="J429" s="934"/>
      <c r="K429" s="934"/>
      <c r="L429" s="934"/>
      <c r="M429" s="934"/>
      <c r="N429" s="929"/>
      <c r="O429" s="933" t="str">
        <f t="shared" si="13"/>
        <v/>
      </c>
    </row>
    <row r="430" spans="1:15" hidden="1">
      <c r="A430" s="1455"/>
      <c r="B430" s="1455"/>
      <c r="C430" s="145" t="str">
        <f t="shared" si="12"/>
        <v/>
      </c>
      <c r="D430" s="150"/>
      <c r="E430" s="923"/>
      <c r="F430" s="923"/>
      <c r="G430" s="934"/>
      <c r="H430" s="934"/>
      <c r="I430" s="934"/>
      <c r="J430" s="934"/>
      <c r="K430" s="934"/>
      <c r="L430" s="934"/>
      <c r="M430" s="934"/>
      <c r="N430" s="929"/>
      <c r="O430" s="933" t="str">
        <f t="shared" si="13"/>
        <v/>
      </c>
    </row>
    <row r="431" spans="1:15" hidden="1">
      <c r="A431" s="1455"/>
      <c r="B431" s="1455"/>
      <c r="C431" s="145" t="str">
        <f t="shared" si="12"/>
        <v/>
      </c>
      <c r="D431" s="150"/>
      <c r="E431" s="923"/>
      <c r="F431" s="923"/>
      <c r="G431" s="934"/>
      <c r="H431" s="934"/>
      <c r="I431" s="934"/>
      <c r="J431" s="934"/>
      <c r="K431" s="934"/>
      <c r="L431" s="934"/>
      <c r="M431" s="934"/>
      <c r="N431" s="929"/>
      <c r="O431" s="933" t="str">
        <f t="shared" si="13"/>
        <v/>
      </c>
    </row>
    <row r="432" spans="1:15" hidden="1">
      <c r="A432" s="1455"/>
      <c r="B432" s="1455"/>
      <c r="C432" s="145" t="str">
        <f t="shared" si="12"/>
        <v/>
      </c>
      <c r="D432" s="150"/>
      <c r="E432" s="923"/>
      <c r="F432" s="923"/>
      <c r="G432" s="934"/>
      <c r="H432" s="934"/>
      <c r="I432" s="934"/>
      <c r="J432" s="934"/>
      <c r="K432" s="934"/>
      <c r="L432" s="934"/>
      <c r="M432" s="934"/>
      <c r="N432" s="929"/>
      <c r="O432" s="933" t="str">
        <f t="shared" si="13"/>
        <v/>
      </c>
    </row>
    <row r="433" spans="1:15" hidden="1">
      <c r="A433" s="1455"/>
      <c r="B433" s="1455"/>
      <c r="C433" s="145" t="str">
        <f t="shared" si="12"/>
        <v/>
      </c>
      <c r="D433" s="150"/>
      <c r="E433" s="923"/>
      <c r="F433" s="923"/>
      <c r="G433" s="934"/>
      <c r="H433" s="934"/>
      <c r="I433" s="934"/>
      <c r="J433" s="934"/>
      <c r="K433" s="934"/>
      <c r="L433" s="934"/>
      <c r="M433" s="934"/>
      <c r="N433" s="929"/>
      <c r="O433" s="933" t="str">
        <f t="shared" si="13"/>
        <v/>
      </c>
    </row>
    <row r="434" spans="1:15" hidden="1">
      <c r="A434" s="1455"/>
      <c r="B434" s="1455"/>
      <c r="C434" s="145" t="str">
        <f t="shared" si="12"/>
        <v/>
      </c>
      <c r="D434" s="150"/>
      <c r="E434" s="923"/>
      <c r="F434" s="923"/>
      <c r="G434" s="934"/>
      <c r="H434" s="934"/>
      <c r="I434" s="934"/>
      <c r="J434" s="934"/>
      <c r="K434" s="934"/>
      <c r="L434" s="934"/>
      <c r="M434" s="934"/>
      <c r="N434" s="929"/>
      <c r="O434" s="933" t="str">
        <f t="shared" si="13"/>
        <v/>
      </c>
    </row>
    <row r="435" spans="1:15" hidden="1">
      <c r="A435" s="1455"/>
      <c r="B435" s="1455"/>
      <c r="C435" s="145" t="str">
        <f t="shared" si="12"/>
        <v/>
      </c>
      <c r="D435" s="150"/>
      <c r="E435" s="923"/>
      <c r="F435" s="923"/>
      <c r="G435" s="934"/>
      <c r="H435" s="934"/>
      <c r="I435" s="934"/>
      <c r="J435" s="934"/>
      <c r="K435" s="934"/>
      <c r="L435" s="934"/>
      <c r="M435" s="934"/>
      <c r="N435" s="929"/>
      <c r="O435" s="933" t="str">
        <f t="shared" si="13"/>
        <v/>
      </c>
    </row>
    <row r="436" spans="1:15" hidden="1">
      <c r="A436" s="1455"/>
      <c r="B436" s="1455"/>
      <c r="C436" s="145" t="str">
        <f t="shared" si="12"/>
        <v/>
      </c>
      <c r="D436" s="150"/>
      <c r="E436" s="923"/>
      <c r="F436" s="923"/>
      <c r="G436" s="934"/>
      <c r="H436" s="934"/>
      <c r="I436" s="934"/>
      <c r="J436" s="934"/>
      <c r="K436" s="934"/>
      <c r="L436" s="934"/>
      <c r="M436" s="934"/>
      <c r="N436" s="929"/>
      <c r="O436" s="933" t="str">
        <f t="shared" si="13"/>
        <v/>
      </c>
    </row>
    <row r="437" spans="1:15" hidden="1">
      <c r="A437" s="1455"/>
      <c r="B437" s="1455"/>
      <c r="C437" s="145" t="str">
        <f t="shared" si="12"/>
        <v/>
      </c>
      <c r="D437" s="150"/>
      <c r="E437" s="923"/>
      <c r="F437" s="923"/>
      <c r="G437" s="934"/>
      <c r="H437" s="934"/>
      <c r="I437" s="934"/>
      <c r="J437" s="934"/>
      <c r="K437" s="934"/>
      <c r="L437" s="934"/>
      <c r="M437" s="934"/>
      <c r="N437" s="929"/>
      <c r="O437" s="933" t="str">
        <f t="shared" si="13"/>
        <v/>
      </c>
    </row>
    <row r="438" spans="1:15" hidden="1">
      <c r="A438" s="1455"/>
      <c r="B438" s="1455"/>
      <c r="C438" s="145" t="str">
        <f t="shared" si="12"/>
        <v/>
      </c>
      <c r="D438" s="150"/>
      <c r="E438" s="923"/>
      <c r="F438" s="923"/>
      <c r="G438" s="934"/>
      <c r="H438" s="934"/>
      <c r="I438" s="934"/>
      <c r="J438" s="934"/>
      <c r="K438" s="934"/>
      <c r="L438" s="934"/>
      <c r="M438" s="934"/>
      <c r="N438" s="929"/>
      <c r="O438" s="933" t="str">
        <f t="shared" si="13"/>
        <v/>
      </c>
    </row>
    <row r="439" spans="1:15" hidden="1">
      <c r="A439" s="1455"/>
      <c r="B439" s="1455"/>
      <c r="C439" s="145" t="str">
        <f t="shared" si="12"/>
        <v/>
      </c>
      <c r="D439" s="150"/>
      <c r="E439" s="923"/>
      <c r="F439" s="923"/>
      <c r="G439" s="934"/>
      <c r="H439" s="934"/>
      <c r="I439" s="934"/>
      <c r="J439" s="934"/>
      <c r="K439" s="934"/>
      <c r="L439" s="934"/>
      <c r="M439" s="934"/>
      <c r="N439" s="929"/>
      <c r="O439" s="933" t="str">
        <f t="shared" si="13"/>
        <v/>
      </c>
    </row>
    <row r="440" spans="1:15" hidden="1">
      <c r="A440" s="1455"/>
      <c r="B440" s="1455"/>
      <c r="C440" s="145" t="str">
        <f t="shared" si="12"/>
        <v/>
      </c>
      <c r="D440" s="150"/>
      <c r="E440" s="923"/>
      <c r="F440" s="923"/>
      <c r="G440" s="934"/>
      <c r="H440" s="934"/>
      <c r="I440" s="934"/>
      <c r="J440" s="934"/>
      <c r="K440" s="934"/>
      <c r="L440" s="934"/>
      <c r="M440" s="934"/>
      <c r="N440" s="929"/>
      <c r="O440" s="933" t="str">
        <f t="shared" si="13"/>
        <v/>
      </c>
    </row>
    <row r="441" spans="1:15" hidden="1">
      <c r="A441" s="1455"/>
      <c r="B441" s="1455"/>
      <c r="C441" s="145" t="str">
        <f t="shared" si="12"/>
        <v/>
      </c>
      <c r="D441" s="150"/>
      <c r="E441" s="923"/>
      <c r="F441" s="923"/>
      <c r="G441" s="934"/>
      <c r="H441" s="934"/>
      <c r="I441" s="934"/>
      <c r="J441" s="934"/>
      <c r="K441" s="934"/>
      <c r="L441" s="934"/>
      <c r="M441" s="934"/>
      <c r="N441" s="929"/>
      <c r="O441" s="933" t="str">
        <f t="shared" si="13"/>
        <v/>
      </c>
    </row>
    <row r="442" spans="1:15" hidden="1">
      <c r="A442" s="1455"/>
      <c r="B442" s="1455"/>
      <c r="C442" s="145" t="str">
        <f t="shared" si="12"/>
        <v/>
      </c>
      <c r="D442" s="150"/>
      <c r="E442" s="923"/>
      <c r="F442" s="923"/>
      <c r="G442" s="934"/>
      <c r="H442" s="934"/>
      <c r="I442" s="934"/>
      <c r="J442" s="934"/>
      <c r="K442" s="934"/>
      <c r="L442" s="934"/>
      <c r="M442" s="934"/>
      <c r="N442" s="929"/>
      <c r="O442" s="933" t="str">
        <f t="shared" si="13"/>
        <v/>
      </c>
    </row>
    <row r="443" spans="1:15" hidden="1">
      <c r="A443" s="1455"/>
      <c r="B443" s="1455"/>
      <c r="C443" s="145" t="str">
        <f t="shared" si="12"/>
        <v/>
      </c>
      <c r="D443" s="150"/>
      <c r="E443" s="923"/>
      <c r="F443" s="923"/>
      <c r="G443" s="934"/>
      <c r="H443" s="934"/>
      <c r="I443" s="934"/>
      <c r="J443" s="934"/>
      <c r="K443" s="934"/>
      <c r="L443" s="934"/>
      <c r="M443" s="934"/>
      <c r="N443" s="929"/>
      <c r="O443" s="933" t="str">
        <f t="shared" si="13"/>
        <v/>
      </c>
    </row>
    <row r="444" spans="1:15" hidden="1">
      <c r="A444" s="1455"/>
      <c r="B444" s="1455"/>
      <c r="C444" s="145" t="str">
        <f t="shared" si="12"/>
        <v/>
      </c>
      <c r="D444" s="150"/>
      <c r="E444" s="923"/>
      <c r="F444" s="923"/>
      <c r="G444" s="934"/>
      <c r="H444" s="934"/>
      <c r="I444" s="934"/>
      <c r="J444" s="934"/>
      <c r="K444" s="934"/>
      <c r="L444" s="934"/>
      <c r="M444" s="934"/>
      <c r="N444" s="929"/>
      <c r="O444" s="933" t="str">
        <f t="shared" si="13"/>
        <v/>
      </c>
    </row>
    <row r="445" spans="1:15" hidden="1">
      <c r="A445" s="1455"/>
      <c r="B445" s="1455"/>
      <c r="C445" s="145" t="str">
        <f t="shared" si="12"/>
        <v/>
      </c>
      <c r="D445" s="150"/>
      <c r="E445" s="923"/>
      <c r="F445" s="923"/>
      <c r="G445" s="934"/>
      <c r="H445" s="934"/>
      <c r="I445" s="934"/>
      <c r="J445" s="934"/>
      <c r="K445" s="934"/>
      <c r="L445" s="934"/>
      <c r="M445" s="934"/>
      <c r="N445" s="929"/>
      <c r="O445" s="933" t="str">
        <f t="shared" si="13"/>
        <v/>
      </c>
    </row>
    <row r="446" spans="1:15" hidden="1">
      <c r="A446" s="1455"/>
      <c r="B446" s="1455"/>
      <c r="C446" s="145" t="str">
        <f t="shared" si="12"/>
        <v/>
      </c>
      <c r="D446" s="150"/>
      <c r="E446" s="923"/>
      <c r="F446" s="923"/>
      <c r="G446" s="934"/>
      <c r="H446" s="934"/>
      <c r="I446" s="934"/>
      <c r="J446" s="934"/>
      <c r="K446" s="934"/>
      <c r="L446" s="934"/>
      <c r="M446" s="934"/>
      <c r="N446" s="929"/>
      <c r="O446" s="933" t="str">
        <f t="shared" si="13"/>
        <v/>
      </c>
    </row>
    <row r="447" spans="1:15" hidden="1">
      <c r="A447" s="1455"/>
      <c r="B447" s="1455"/>
      <c r="C447" s="145" t="str">
        <f t="shared" si="12"/>
        <v/>
      </c>
      <c r="D447" s="150"/>
      <c r="E447" s="923"/>
      <c r="F447" s="923"/>
      <c r="G447" s="934"/>
      <c r="H447" s="934"/>
      <c r="I447" s="934"/>
      <c r="J447" s="934"/>
      <c r="K447" s="934"/>
      <c r="L447" s="934"/>
      <c r="M447" s="934"/>
      <c r="N447" s="929"/>
      <c r="O447" s="933" t="str">
        <f t="shared" si="13"/>
        <v/>
      </c>
    </row>
    <row r="448" spans="1:15" hidden="1">
      <c r="A448" s="1455"/>
      <c r="B448" s="1455"/>
      <c r="C448" s="145" t="str">
        <f t="shared" si="12"/>
        <v/>
      </c>
      <c r="D448" s="150"/>
      <c r="E448" s="923"/>
      <c r="F448" s="923"/>
      <c r="G448" s="934"/>
      <c r="H448" s="934"/>
      <c r="I448" s="934"/>
      <c r="J448" s="934"/>
      <c r="K448" s="934"/>
      <c r="L448" s="934"/>
      <c r="M448" s="934"/>
      <c r="N448" s="929"/>
      <c r="O448" s="933" t="str">
        <f t="shared" si="13"/>
        <v/>
      </c>
    </row>
    <row r="449" spans="1:15" hidden="1">
      <c r="A449" s="1455"/>
      <c r="B449" s="1455"/>
      <c r="C449" s="145" t="str">
        <f t="shared" si="12"/>
        <v/>
      </c>
      <c r="D449" s="150"/>
      <c r="E449" s="923"/>
      <c r="F449" s="923"/>
      <c r="G449" s="934"/>
      <c r="H449" s="934"/>
      <c r="I449" s="934"/>
      <c r="J449" s="934"/>
      <c r="K449" s="934"/>
      <c r="L449" s="934"/>
      <c r="M449" s="934"/>
      <c r="N449" s="929"/>
      <c r="O449" s="933" t="str">
        <f t="shared" si="13"/>
        <v/>
      </c>
    </row>
    <row r="450" spans="1:15" hidden="1">
      <c r="A450" s="1455"/>
      <c r="B450" s="1455"/>
      <c r="C450" s="145" t="str">
        <f t="shared" si="12"/>
        <v/>
      </c>
      <c r="D450" s="150"/>
      <c r="E450" s="923"/>
      <c r="F450" s="923"/>
      <c r="G450" s="934"/>
      <c r="H450" s="934"/>
      <c r="I450" s="934"/>
      <c r="J450" s="934"/>
      <c r="K450" s="934"/>
      <c r="L450" s="934"/>
      <c r="M450" s="934"/>
      <c r="N450" s="929"/>
      <c r="O450" s="933" t="str">
        <f t="shared" si="13"/>
        <v/>
      </c>
    </row>
    <row r="451" spans="1:15" hidden="1">
      <c r="A451" s="1455"/>
      <c r="B451" s="1455"/>
      <c r="C451" s="145" t="str">
        <f t="shared" si="12"/>
        <v/>
      </c>
      <c r="D451" s="150"/>
      <c r="E451" s="923"/>
      <c r="F451" s="923"/>
      <c r="G451" s="934"/>
      <c r="H451" s="934"/>
      <c r="I451" s="934"/>
      <c r="J451" s="934"/>
      <c r="K451" s="934"/>
      <c r="L451" s="934"/>
      <c r="M451" s="934"/>
      <c r="N451" s="929"/>
      <c r="O451" s="933" t="str">
        <f t="shared" si="13"/>
        <v/>
      </c>
    </row>
    <row r="452" spans="1:15" hidden="1">
      <c r="A452" s="1455"/>
      <c r="B452" s="1455"/>
      <c r="C452" s="145" t="str">
        <f t="shared" si="12"/>
        <v/>
      </c>
      <c r="D452" s="150"/>
      <c r="E452" s="923"/>
      <c r="F452" s="923"/>
      <c r="G452" s="934"/>
      <c r="H452" s="934"/>
      <c r="I452" s="934"/>
      <c r="J452" s="934"/>
      <c r="K452" s="934"/>
      <c r="L452" s="934"/>
      <c r="M452" s="934"/>
      <c r="N452" s="929"/>
      <c r="O452" s="933" t="str">
        <f t="shared" si="13"/>
        <v/>
      </c>
    </row>
    <row r="453" spans="1:15" hidden="1">
      <c r="A453" s="1455"/>
      <c r="B453" s="1455"/>
      <c r="C453" s="145" t="str">
        <f t="shared" si="12"/>
        <v/>
      </c>
      <c r="D453" s="150"/>
      <c r="E453" s="923"/>
      <c r="F453" s="923"/>
      <c r="G453" s="934"/>
      <c r="H453" s="934"/>
      <c r="I453" s="934"/>
      <c r="J453" s="934"/>
      <c r="K453" s="934"/>
      <c r="L453" s="934"/>
      <c r="M453" s="934"/>
      <c r="N453" s="929"/>
      <c r="O453" s="933" t="str">
        <f t="shared" si="13"/>
        <v/>
      </c>
    </row>
    <row r="454" spans="1:15" hidden="1">
      <c r="A454" s="1455"/>
      <c r="B454" s="1455"/>
      <c r="C454" s="145" t="str">
        <f t="shared" si="12"/>
        <v/>
      </c>
      <c r="D454" s="150"/>
      <c r="E454" s="923"/>
      <c r="F454" s="923"/>
      <c r="G454" s="934"/>
      <c r="H454" s="934"/>
      <c r="I454" s="934"/>
      <c r="J454" s="934"/>
      <c r="K454" s="934"/>
      <c r="L454" s="934"/>
      <c r="M454" s="934"/>
      <c r="N454" s="929"/>
      <c r="O454" s="933" t="str">
        <f t="shared" si="13"/>
        <v/>
      </c>
    </row>
    <row r="455" spans="1:15" hidden="1">
      <c r="A455" s="1455"/>
      <c r="B455" s="1455"/>
      <c r="C455" s="145" t="str">
        <f t="shared" si="12"/>
        <v/>
      </c>
      <c r="D455" s="150"/>
      <c r="E455" s="923"/>
      <c r="F455" s="923"/>
      <c r="G455" s="934"/>
      <c r="H455" s="934"/>
      <c r="I455" s="934"/>
      <c r="J455" s="934"/>
      <c r="K455" s="934"/>
      <c r="L455" s="934"/>
      <c r="M455" s="934"/>
      <c r="N455" s="929"/>
      <c r="O455" s="933" t="str">
        <f t="shared" si="13"/>
        <v/>
      </c>
    </row>
    <row r="456" spans="1:15" hidden="1">
      <c r="A456" s="1455"/>
      <c r="B456" s="1455"/>
      <c r="C456" s="145" t="str">
        <f t="shared" si="12"/>
        <v/>
      </c>
      <c r="D456" s="150"/>
      <c r="E456" s="923"/>
      <c r="F456" s="923"/>
      <c r="G456" s="934"/>
      <c r="H456" s="934"/>
      <c r="I456" s="934"/>
      <c r="J456" s="934"/>
      <c r="K456" s="934"/>
      <c r="L456" s="934"/>
      <c r="M456" s="934"/>
      <c r="N456" s="929"/>
      <c r="O456" s="933" t="str">
        <f t="shared" si="13"/>
        <v/>
      </c>
    </row>
    <row r="457" spans="1:15" hidden="1">
      <c r="A457" s="1455"/>
      <c r="B457" s="1455"/>
      <c r="C457" s="145" t="str">
        <f t="shared" si="12"/>
        <v/>
      </c>
      <c r="D457" s="150"/>
      <c r="E457" s="923"/>
      <c r="F457" s="923"/>
      <c r="G457" s="934"/>
      <c r="H457" s="934"/>
      <c r="I457" s="934"/>
      <c r="J457" s="934"/>
      <c r="K457" s="934"/>
      <c r="L457" s="934"/>
      <c r="M457" s="934"/>
      <c r="N457" s="929"/>
      <c r="O457" s="933" t="str">
        <f t="shared" si="13"/>
        <v/>
      </c>
    </row>
    <row r="458" spans="1:15" hidden="1">
      <c r="A458" s="1455"/>
      <c r="B458" s="1455"/>
      <c r="C458" s="145" t="str">
        <f t="shared" si="12"/>
        <v/>
      </c>
      <c r="D458" s="150"/>
      <c r="E458" s="923"/>
      <c r="F458" s="923"/>
      <c r="G458" s="934"/>
      <c r="H458" s="934"/>
      <c r="I458" s="934"/>
      <c r="J458" s="934"/>
      <c r="K458" s="934"/>
      <c r="L458" s="934"/>
      <c r="M458" s="934"/>
      <c r="N458" s="929"/>
      <c r="O458" s="933" t="str">
        <f t="shared" si="13"/>
        <v/>
      </c>
    </row>
    <row r="459" spans="1:15" hidden="1">
      <c r="A459" s="1455"/>
      <c r="B459" s="1455"/>
      <c r="C459" s="145" t="str">
        <f t="shared" si="12"/>
        <v/>
      </c>
      <c r="D459" s="150"/>
      <c r="E459" s="923"/>
      <c r="F459" s="923"/>
      <c r="G459" s="934"/>
      <c r="H459" s="934"/>
      <c r="I459" s="934"/>
      <c r="J459" s="934"/>
      <c r="K459" s="934"/>
      <c r="L459" s="934"/>
      <c r="M459" s="934"/>
      <c r="N459" s="929"/>
      <c r="O459" s="933" t="str">
        <f t="shared" si="13"/>
        <v/>
      </c>
    </row>
    <row r="460" spans="1:15" hidden="1">
      <c r="A460" s="1455"/>
      <c r="B460" s="1455"/>
      <c r="C460" s="145" t="str">
        <f t="shared" si="12"/>
        <v/>
      </c>
      <c r="D460" s="150"/>
      <c r="E460" s="923"/>
      <c r="F460" s="923"/>
      <c r="G460" s="934"/>
      <c r="H460" s="934"/>
      <c r="I460" s="934"/>
      <c r="J460" s="934"/>
      <c r="K460" s="934"/>
      <c r="L460" s="934"/>
      <c r="M460" s="934"/>
      <c r="N460" s="929"/>
      <c r="O460" s="933" t="str">
        <f t="shared" si="13"/>
        <v/>
      </c>
    </row>
    <row r="461" spans="1:15" hidden="1">
      <c r="A461" s="1455"/>
      <c r="B461" s="1455"/>
      <c r="C461" s="145" t="str">
        <f t="shared" si="12"/>
        <v/>
      </c>
      <c r="D461" s="150"/>
      <c r="E461" s="923"/>
      <c r="F461" s="923"/>
      <c r="G461" s="934"/>
      <c r="H461" s="934"/>
      <c r="I461" s="934"/>
      <c r="J461" s="934"/>
      <c r="K461" s="934"/>
      <c r="L461" s="934"/>
      <c r="M461" s="934"/>
      <c r="N461" s="929"/>
      <c r="O461" s="933" t="str">
        <f t="shared" si="13"/>
        <v/>
      </c>
    </row>
    <row r="462" spans="1:15" hidden="1">
      <c r="A462" s="1455"/>
      <c r="B462" s="1455"/>
      <c r="C462" s="145" t="str">
        <f t="shared" si="12"/>
        <v/>
      </c>
      <c r="D462" s="150"/>
      <c r="E462" s="923"/>
      <c r="F462" s="923"/>
      <c r="G462" s="934"/>
      <c r="H462" s="934"/>
      <c r="I462" s="934"/>
      <c r="J462" s="934"/>
      <c r="K462" s="934"/>
      <c r="L462" s="934"/>
      <c r="M462" s="934"/>
      <c r="N462" s="929"/>
      <c r="O462" s="933" t="str">
        <f t="shared" si="13"/>
        <v/>
      </c>
    </row>
    <row r="463" spans="1:15" hidden="1">
      <c r="A463" s="1455"/>
      <c r="B463" s="1455"/>
      <c r="C463" s="145" t="str">
        <f t="shared" si="12"/>
        <v/>
      </c>
      <c r="D463" s="150"/>
      <c r="E463" s="923"/>
      <c r="F463" s="923"/>
      <c r="G463" s="934"/>
      <c r="H463" s="934"/>
      <c r="I463" s="934"/>
      <c r="J463" s="934"/>
      <c r="K463" s="934"/>
      <c r="L463" s="934"/>
      <c r="M463" s="934"/>
      <c r="N463" s="929"/>
      <c r="O463" s="933" t="str">
        <f t="shared" si="13"/>
        <v/>
      </c>
    </row>
    <row r="464" spans="1:15" hidden="1">
      <c r="A464" s="1455"/>
      <c r="B464" s="1455"/>
      <c r="C464" s="145" t="str">
        <f t="shared" si="12"/>
        <v/>
      </c>
      <c r="D464" s="150"/>
      <c r="E464" s="923"/>
      <c r="F464" s="923"/>
      <c r="G464" s="934"/>
      <c r="H464" s="934"/>
      <c r="I464" s="934"/>
      <c r="J464" s="934"/>
      <c r="K464" s="934"/>
      <c r="L464" s="934"/>
      <c r="M464" s="934"/>
      <c r="N464" s="929"/>
      <c r="O464" s="933" t="str">
        <f t="shared" si="13"/>
        <v/>
      </c>
    </row>
    <row r="465" spans="1:15" hidden="1">
      <c r="A465" s="1455"/>
      <c r="B465" s="1455"/>
      <c r="C465" s="145" t="str">
        <f t="shared" ref="C465:C528" si="14">IF(A465&lt;&gt;"",ROW(),"")</f>
        <v/>
      </c>
      <c r="D465" s="150"/>
      <c r="E465" s="923"/>
      <c r="F465" s="923"/>
      <c r="G465" s="934"/>
      <c r="H465" s="934"/>
      <c r="I465" s="934"/>
      <c r="J465" s="934"/>
      <c r="K465" s="934"/>
      <c r="L465" s="934"/>
      <c r="M465" s="934"/>
      <c r="N465" s="929"/>
      <c r="O465" s="933" t="str">
        <f t="shared" ref="O465:O528" si="15">IF(A465&lt;&gt;"",A465,"")</f>
        <v/>
      </c>
    </row>
    <row r="466" spans="1:15" hidden="1">
      <c r="A466" s="1455"/>
      <c r="B466" s="1455"/>
      <c r="C466" s="145" t="str">
        <f t="shared" si="14"/>
        <v/>
      </c>
      <c r="D466" s="150"/>
      <c r="E466" s="923"/>
      <c r="F466" s="923"/>
      <c r="G466" s="934"/>
      <c r="H466" s="934"/>
      <c r="I466" s="934"/>
      <c r="J466" s="934"/>
      <c r="K466" s="934"/>
      <c r="L466" s="934"/>
      <c r="M466" s="934"/>
      <c r="N466" s="929"/>
      <c r="O466" s="933" t="str">
        <f t="shared" si="15"/>
        <v/>
      </c>
    </row>
    <row r="467" spans="1:15" hidden="1">
      <c r="A467" s="1455"/>
      <c r="B467" s="1455"/>
      <c r="C467" s="145" t="str">
        <f t="shared" si="14"/>
        <v/>
      </c>
      <c r="D467" s="150"/>
      <c r="E467" s="923"/>
      <c r="F467" s="923"/>
      <c r="G467" s="934"/>
      <c r="H467" s="934"/>
      <c r="I467" s="934"/>
      <c r="J467" s="934"/>
      <c r="K467" s="934"/>
      <c r="L467" s="934"/>
      <c r="M467" s="934"/>
      <c r="N467" s="929"/>
      <c r="O467" s="933" t="str">
        <f t="shared" si="15"/>
        <v/>
      </c>
    </row>
    <row r="468" spans="1:15" hidden="1">
      <c r="A468" s="1455"/>
      <c r="B468" s="1455"/>
      <c r="C468" s="145" t="str">
        <f t="shared" si="14"/>
        <v/>
      </c>
      <c r="D468" s="150"/>
      <c r="E468" s="923"/>
      <c r="F468" s="923"/>
      <c r="G468" s="934"/>
      <c r="H468" s="934"/>
      <c r="I468" s="934"/>
      <c r="J468" s="934"/>
      <c r="K468" s="934"/>
      <c r="L468" s="934"/>
      <c r="M468" s="934"/>
      <c r="N468" s="929"/>
      <c r="O468" s="933" t="str">
        <f t="shared" si="15"/>
        <v/>
      </c>
    </row>
    <row r="469" spans="1:15" hidden="1">
      <c r="A469" s="1455"/>
      <c r="B469" s="1455"/>
      <c r="C469" s="145" t="str">
        <f t="shared" si="14"/>
        <v/>
      </c>
      <c r="D469" s="150"/>
      <c r="E469" s="923"/>
      <c r="F469" s="923"/>
      <c r="G469" s="934"/>
      <c r="H469" s="934"/>
      <c r="I469" s="934"/>
      <c r="J469" s="934"/>
      <c r="K469" s="934"/>
      <c r="L469" s="934"/>
      <c r="M469" s="934"/>
      <c r="N469" s="929"/>
      <c r="O469" s="933" t="str">
        <f t="shared" si="15"/>
        <v/>
      </c>
    </row>
    <row r="470" spans="1:15" hidden="1">
      <c r="A470" s="1455"/>
      <c r="B470" s="1455"/>
      <c r="C470" s="145" t="str">
        <f t="shared" si="14"/>
        <v/>
      </c>
      <c r="D470" s="150"/>
      <c r="E470" s="923"/>
      <c r="F470" s="923"/>
      <c r="G470" s="934"/>
      <c r="H470" s="934"/>
      <c r="I470" s="934"/>
      <c r="J470" s="934"/>
      <c r="K470" s="934"/>
      <c r="L470" s="934"/>
      <c r="M470" s="934"/>
      <c r="N470" s="929"/>
      <c r="O470" s="933" t="str">
        <f t="shared" si="15"/>
        <v/>
      </c>
    </row>
    <row r="471" spans="1:15" hidden="1">
      <c r="A471" s="1455"/>
      <c r="B471" s="1455"/>
      <c r="C471" s="145" t="str">
        <f t="shared" si="14"/>
        <v/>
      </c>
      <c r="D471" s="150"/>
      <c r="E471" s="923"/>
      <c r="F471" s="923"/>
      <c r="G471" s="934"/>
      <c r="H471" s="934"/>
      <c r="I471" s="934"/>
      <c r="J471" s="934"/>
      <c r="K471" s="934"/>
      <c r="L471" s="934"/>
      <c r="M471" s="934"/>
      <c r="N471" s="929"/>
      <c r="O471" s="933" t="str">
        <f t="shared" si="15"/>
        <v/>
      </c>
    </row>
    <row r="472" spans="1:15" hidden="1">
      <c r="A472" s="1455"/>
      <c r="B472" s="1455"/>
      <c r="C472" s="145" t="str">
        <f t="shared" si="14"/>
        <v/>
      </c>
      <c r="D472" s="150"/>
      <c r="E472" s="923"/>
      <c r="F472" s="923"/>
      <c r="G472" s="934"/>
      <c r="H472" s="934"/>
      <c r="I472" s="934"/>
      <c r="J472" s="934"/>
      <c r="K472" s="934"/>
      <c r="L472" s="934"/>
      <c r="M472" s="934"/>
      <c r="N472" s="929"/>
      <c r="O472" s="933" t="str">
        <f t="shared" si="15"/>
        <v/>
      </c>
    </row>
    <row r="473" spans="1:15" hidden="1">
      <c r="A473" s="1455"/>
      <c r="B473" s="1455"/>
      <c r="C473" s="145" t="str">
        <f t="shared" si="14"/>
        <v/>
      </c>
      <c r="D473" s="150"/>
      <c r="E473" s="923"/>
      <c r="F473" s="923"/>
      <c r="G473" s="934"/>
      <c r="H473" s="934"/>
      <c r="I473" s="934"/>
      <c r="J473" s="934"/>
      <c r="K473" s="934"/>
      <c r="L473" s="934"/>
      <c r="M473" s="934"/>
      <c r="N473" s="929"/>
      <c r="O473" s="933" t="str">
        <f t="shared" si="15"/>
        <v/>
      </c>
    </row>
    <row r="474" spans="1:15" hidden="1">
      <c r="A474" s="1455"/>
      <c r="B474" s="1455"/>
      <c r="C474" s="145" t="str">
        <f t="shared" si="14"/>
        <v/>
      </c>
      <c r="D474" s="150"/>
      <c r="E474" s="923"/>
      <c r="F474" s="923"/>
      <c r="G474" s="934"/>
      <c r="H474" s="934"/>
      <c r="I474" s="934"/>
      <c r="J474" s="934"/>
      <c r="K474" s="934"/>
      <c r="L474" s="934"/>
      <c r="M474" s="934"/>
      <c r="N474" s="929"/>
      <c r="O474" s="933" t="str">
        <f t="shared" si="15"/>
        <v/>
      </c>
    </row>
    <row r="475" spans="1:15" hidden="1">
      <c r="A475" s="1455"/>
      <c r="B475" s="1455"/>
      <c r="C475" s="145" t="str">
        <f t="shared" si="14"/>
        <v/>
      </c>
      <c r="D475" s="150"/>
      <c r="E475" s="923"/>
      <c r="F475" s="923"/>
      <c r="G475" s="934"/>
      <c r="H475" s="934"/>
      <c r="I475" s="934"/>
      <c r="J475" s="934"/>
      <c r="K475" s="934"/>
      <c r="L475" s="934"/>
      <c r="M475" s="934"/>
      <c r="N475" s="929"/>
      <c r="O475" s="933" t="str">
        <f t="shared" si="15"/>
        <v/>
      </c>
    </row>
    <row r="476" spans="1:15" hidden="1">
      <c r="A476" s="1455"/>
      <c r="B476" s="1455"/>
      <c r="C476" s="145" t="str">
        <f t="shared" si="14"/>
        <v/>
      </c>
      <c r="D476" s="150"/>
      <c r="E476" s="923"/>
      <c r="F476" s="923"/>
      <c r="G476" s="934"/>
      <c r="H476" s="934"/>
      <c r="I476" s="934"/>
      <c r="J476" s="934"/>
      <c r="K476" s="934"/>
      <c r="L476" s="934"/>
      <c r="M476" s="934"/>
      <c r="N476" s="929"/>
      <c r="O476" s="933" t="str">
        <f t="shared" si="15"/>
        <v/>
      </c>
    </row>
    <row r="477" spans="1:15" hidden="1">
      <c r="A477" s="1455"/>
      <c r="B477" s="1455"/>
      <c r="C477" s="145" t="str">
        <f t="shared" si="14"/>
        <v/>
      </c>
      <c r="D477" s="150"/>
      <c r="E477" s="923"/>
      <c r="F477" s="923"/>
      <c r="G477" s="934"/>
      <c r="H477" s="934"/>
      <c r="I477" s="934"/>
      <c r="J477" s="934"/>
      <c r="K477" s="934"/>
      <c r="L477" s="934"/>
      <c r="M477" s="934"/>
      <c r="N477" s="929"/>
      <c r="O477" s="933" t="str">
        <f t="shared" si="15"/>
        <v/>
      </c>
    </row>
    <row r="478" spans="1:15" hidden="1">
      <c r="A478" s="1455"/>
      <c r="B478" s="1455"/>
      <c r="C478" s="145" t="str">
        <f t="shared" si="14"/>
        <v/>
      </c>
      <c r="D478" s="150"/>
      <c r="E478" s="923"/>
      <c r="F478" s="923"/>
      <c r="G478" s="934"/>
      <c r="H478" s="934"/>
      <c r="I478" s="934"/>
      <c r="J478" s="934"/>
      <c r="K478" s="934"/>
      <c r="L478" s="934"/>
      <c r="M478" s="934"/>
      <c r="N478" s="929"/>
      <c r="O478" s="933" t="str">
        <f t="shared" si="15"/>
        <v/>
      </c>
    </row>
    <row r="479" spans="1:15" hidden="1">
      <c r="A479" s="1455"/>
      <c r="B479" s="1455"/>
      <c r="C479" s="145" t="str">
        <f t="shared" si="14"/>
        <v/>
      </c>
      <c r="D479" s="150"/>
      <c r="E479" s="923"/>
      <c r="F479" s="923"/>
      <c r="G479" s="934"/>
      <c r="H479" s="934"/>
      <c r="I479" s="934"/>
      <c r="J479" s="934"/>
      <c r="K479" s="934"/>
      <c r="L479" s="934"/>
      <c r="M479" s="934"/>
      <c r="N479" s="929"/>
      <c r="O479" s="933" t="str">
        <f t="shared" si="15"/>
        <v/>
      </c>
    </row>
    <row r="480" spans="1:15" hidden="1">
      <c r="A480" s="1455"/>
      <c r="B480" s="1455"/>
      <c r="C480" s="145" t="str">
        <f t="shared" si="14"/>
        <v/>
      </c>
      <c r="D480" s="150"/>
      <c r="E480" s="923"/>
      <c r="F480" s="923"/>
      <c r="G480" s="934"/>
      <c r="H480" s="934"/>
      <c r="I480" s="934"/>
      <c r="J480" s="934"/>
      <c r="K480" s="934"/>
      <c r="L480" s="934"/>
      <c r="M480" s="934"/>
      <c r="N480" s="929"/>
      <c r="O480" s="933" t="str">
        <f t="shared" si="15"/>
        <v/>
      </c>
    </row>
    <row r="481" spans="1:15" hidden="1">
      <c r="A481" s="1455"/>
      <c r="B481" s="1455"/>
      <c r="C481" s="145" t="str">
        <f t="shared" si="14"/>
        <v/>
      </c>
      <c r="D481" s="150"/>
      <c r="E481" s="923"/>
      <c r="F481" s="923"/>
      <c r="G481" s="934"/>
      <c r="H481" s="934"/>
      <c r="I481" s="934"/>
      <c r="J481" s="934"/>
      <c r="K481" s="934"/>
      <c r="L481" s="934"/>
      <c r="M481" s="934"/>
      <c r="N481" s="929"/>
      <c r="O481" s="933" t="str">
        <f t="shared" si="15"/>
        <v/>
      </c>
    </row>
    <row r="482" spans="1:15" hidden="1">
      <c r="A482" s="1455"/>
      <c r="B482" s="1455"/>
      <c r="C482" s="145" t="str">
        <f t="shared" si="14"/>
        <v/>
      </c>
      <c r="D482" s="150"/>
      <c r="E482" s="923"/>
      <c r="F482" s="923"/>
      <c r="G482" s="934"/>
      <c r="H482" s="934"/>
      <c r="I482" s="934"/>
      <c r="J482" s="934"/>
      <c r="K482" s="934"/>
      <c r="L482" s="934"/>
      <c r="M482" s="934"/>
      <c r="N482" s="929"/>
      <c r="O482" s="933" t="str">
        <f t="shared" si="15"/>
        <v/>
      </c>
    </row>
    <row r="483" spans="1:15" hidden="1">
      <c r="A483" s="1455"/>
      <c r="B483" s="1455"/>
      <c r="C483" s="145" t="str">
        <f t="shared" si="14"/>
        <v/>
      </c>
      <c r="D483" s="150"/>
      <c r="E483" s="923"/>
      <c r="F483" s="923"/>
      <c r="G483" s="934"/>
      <c r="H483" s="934"/>
      <c r="I483" s="934"/>
      <c r="J483" s="934"/>
      <c r="K483" s="934"/>
      <c r="L483" s="934"/>
      <c r="M483" s="934"/>
      <c r="N483" s="929"/>
      <c r="O483" s="933" t="str">
        <f t="shared" si="15"/>
        <v/>
      </c>
    </row>
    <row r="484" spans="1:15" hidden="1">
      <c r="A484" s="1455"/>
      <c r="B484" s="1455"/>
      <c r="C484" s="145" t="str">
        <f t="shared" si="14"/>
        <v/>
      </c>
      <c r="D484" s="150"/>
      <c r="E484" s="923"/>
      <c r="F484" s="923"/>
      <c r="G484" s="934"/>
      <c r="H484" s="934"/>
      <c r="I484" s="934"/>
      <c r="J484" s="934"/>
      <c r="K484" s="934"/>
      <c r="L484" s="934"/>
      <c r="M484" s="934"/>
      <c r="N484" s="929"/>
      <c r="O484" s="933" t="str">
        <f t="shared" si="15"/>
        <v/>
      </c>
    </row>
    <row r="485" spans="1:15" hidden="1">
      <c r="A485" s="1455"/>
      <c r="B485" s="1455"/>
      <c r="C485" s="145" t="str">
        <f t="shared" si="14"/>
        <v/>
      </c>
      <c r="D485" s="150"/>
      <c r="E485" s="923"/>
      <c r="F485" s="923"/>
      <c r="G485" s="934"/>
      <c r="H485" s="934"/>
      <c r="I485" s="934"/>
      <c r="J485" s="934"/>
      <c r="K485" s="934"/>
      <c r="L485" s="934"/>
      <c r="M485" s="934"/>
      <c r="N485" s="929"/>
      <c r="O485" s="933" t="str">
        <f t="shared" si="15"/>
        <v/>
      </c>
    </row>
    <row r="486" spans="1:15" hidden="1">
      <c r="A486" s="1455"/>
      <c r="B486" s="1455"/>
      <c r="C486" s="145" t="str">
        <f t="shared" si="14"/>
        <v/>
      </c>
      <c r="D486" s="150"/>
      <c r="E486" s="923"/>
      <c r="F486" s="923"/>
      <c r="G486" s="934"/>
      <c r="H486" s="934"/>
      <c r="I486" s="934"/>
      <c r="J486" s="934"/>
      <c r="K486" s="934"/>
      <c r="L486" s="934"/>
      <c r="M486" s="934"/>
      <c r="N486" s="929"/>
      <c r="O486" s="933" t="str">
        <f t="shared" si="15"/>
        <v/>
      </c>
    </row>
    <row r="487" spans="1:15" hidden="1">
      <c r="A487" s="1455"/>
      <c r="B487" s="1455"/>
      <c r="C487" s="145" t="str">
        <f t="shared" si="14"/>
        <v/>
      </c>
      <c r="D487" s="150"/>
      <c r="E487" s="923"/>
      <c r="F487" s="923"/>
      <c r="G487" s="934"/>
      <c r="H487" s="934"/>
      <c r="I487" s="934"/>
      <c r="J487" s="934"/>
      <c r="K487" s="934"/>
      <c r="L487" s="934"/>
      <c r="M487" s="934"/>
      <c r="N487" s="929"/>
      <c r="O487" s="933" t="str">
        <f t="shared" si="15"/>
        <v/>
      </c>
    </row>
    <row r="488" spans="1:15" hidden="1">
      <c r="A488" s="1455"/>
      <c r="B488" s="1455"/>
      <c r="C488" s="145" t="str">
        <f t="shared" si="14"/>
        <v/>
      </c>
      <c r="D488" s="150"/>
      <c r="E488" s="923"/>
      <c r="F488" s="923"/>
      <c r="G488" s="934"/>
      <c r="H488" s="934"/>
      <c r="I488" s="934"/>
      <c r="J488" s="934"/>
      <c r="K488" s="934"/>
      <c r="L488" s="934"/>
      <c r="M488" s="934"/>
      <c r="N488" s="929"/>
      <c r="O488" s="933" t="str">
        <f t="shared" si="15"/>
        <v/>
      </c>
    </row>
    <row r="489" spans="1:15" hidden="1">
      <c r="A489" s="1455"/>
      <c r="B489" s="1455"/>
      <c r="C489" s="145" t="str">
        <f t="shared" si="14"/>
        <v/>
      </c>
      <c r="D489" s="150"/>
      <c r="E489" s="923"/>
      <c r="F489" s="923"/>
      <c r="G489" s="934"/>
      <c r="H489" s="934"/>
      <c r="I489" s="934"/>
      <c r="J489" s="934"/>
      <c r="K489" s="934"/>
      <c r="L489" s="934"/>
      <c r="M489" s="934"/>
      <c r="N489" s="929"/>
      <c r="O489" s="933" t="str">
        <f t="shared" si="15"/>
        <v/>
      </c>
    </row>
    <row r="490" spans="1:15" hidden="1">
      <c r="A490" s="1455"/>
      <c r="B490" s="1455"/>
      <c r="C490" s="145" t="str">
        <f t="shared" si="14"/>
        <v/>
      </c>
      <c r="D490" s="150"/>
      <c r="E490" s="923"/>
      <c r="F490" s="923"/>
      <c r="G490" s="934"/>
      <c r="H490" s="934"/>
      <c r="I490" s="934"/>
      <c r="J490" s="934"/>
      <c r="K490" s="934"/>
      <c r="L490" s="934"/>
      <c r="M490" s="934"/>
      <c r="N490" s="929"/>
      <c r="O490" s="933" t="str">
        <f t="shared" si="15"/>
        <v/>
      </c>
    </row>
    <row r="491" spans="1:15" hidden="1">
      <c r="A491" s="1455"/>
      <c r="B491" s="1455"/>
      <c r="C491" s="145" t="str">
        <f t="shared" si="14"/>
        <v/>
      </c>
      <c r="D491" s="150"/>
      <c r="E491" s="923"/>
      <c r="F491" s="923"/>
      <c r="G491" s="934"/>
      <c r="H491" s="934"/>
      <c r="I491" s="934"/>
      <c r="J491" s="934"/>
      <c r="K491" s="934"/>
      <c r="L491" s="934"/>
      <c r="M491" s="934"/>
      <c r="N491" s="929"/>
      <c r="O491" s="933" t="str">
        <f t="shared" si="15"/>
        <v/>
      </c>
    </row>
    <row r="492" spans="1:15" hidden="1">
      <c r="A492" s="1455"/>
      <c r="B492" s="1455"/>
      <c r="C492" s="145" t="str">
        <f t="shared" si="14"/>
        <v/>
      </c>
      <c r="D492" s="150"/>
      <c r="E492" s="923"/>
      <c r="F492" s="923"/>
      <c r="G492" s="934"/>
      <c r="H492" s="934"/>
      <c r="I492" s="934"/>
      <c r="J492" s="934"/>
      <c r="K492" s="934"/>
      <c r="L492" s="934"/>
      <c r="M492" s="934"/>
      <c r="N492" s="929"/>
      <c r="O492" s="933" t="str">
        <f t="shared" si="15"/>
        <v/>
      </c>
    </row>
    <row r="493" spans="1:15" hidden="1">
      <c r="A493" s="1455"/>
      <c r="B493" s="1455"/>
      <c r="C493" s="145" t="str">
        <f t="shared" si="14"/>
        <v/>
      </c>
      <c r="D493" s="150"/>
      <c r="E493" s="923"/>
      <c r="F493" s="923"/>
      <c r="G493" s="934"/>
      <c r="H493" s="934"/>
      <c r="I493" s="934"/>
      <c r="J493" s="934"/>
      <c r="K493" s="934"/>
      <c r="L493" s="934"/>
      <c r="M493" s="934"/>
      <c r="N493" s="929"/>
      <c r="O493" s="933" t="str">
        <f t="shared" si="15"/>
        <v/>
      </c>
    </row>
    <row r="494" spans="1:15" hidden="1">
      <c r="A494" s="1455"/>
      <c r="B494" s="1455"/>
      <c r="C494" s="145" t="str">
        <f t="shared" si="14"/>
        <v/>
      </c>
      <c r="D494" s="150"/>
      <c r="E494" s="923"/>
      <c r="F494" s="923"/>
      <c r="G494" s="934"/>
      <c r="H494" s="934"/>
      <c r="I494" s="934"/>
      <c r="J494" s="934"/>
      <c r="K494" s="934"/>
      <c r="L494" s="934"/>
      <c r="M494" s="934"/>
      <c r="N494" s="929"/>
      <c r="O494" s="933" t="str">
        <f t="shared" si="15"/>
        <v/>
      </c>
    </row>
    <row r="495" spans="1:15" hidden="1">
      <c r="A495" s="1455"/>
      <c r="B495" s="1455"/>
      <c r="C495" s="145" t="str">
        <f t="shared" si="14"/>
        <v/>
      </c>
      <c r="D495" s="150"/>
      <c r="E495" s="923"/>
      <c r="F495" s="923"/>
      <c r="G495" s="934"/>
      <c r="H495" s="934"/>
      <c r="I495" s="934"/>
      <c r="J495" s="934"/>
      <c r="K495" s="934"/>
      <c r="L495" s="934"/>
      <c r="M495" s="934"/>
      <c r="N495" s="929"/>
      <c r="O495" s="933" t="str">
        <f t="shared" si="15"/>
        <v/>
      </c>
    </row>
    <row r="496" spans="1:15" hidden="1">
      <c r="A496" s="1455"/>
      <c r="B496" s="1455"/>
      <c r="C496" s="145" t="str">
        <f t="shared" si="14"/>
        <v/>
      </c>
      <c r="D496" s="150"/>
      <c r="E496" s="923"/>
      <c r="F496" s="923"/>
      <c r="G496" s="934"/>
      <c r="H496" s="934"/>
      <c r="I496" s="934"/>
      <c r="J496" s="934"/>
      <c r="K496" s="934"/>
      <c r="L496" s="934"/>
      <c r="M496" s="934"/>
      <c r="N496" s="929"/>
      <c r="O496" s="933" t="str">
        <f t="shared" si="15"/>
        <v/>
      </c>
    </row>
    <row r="497" spans="1:15" hidden="1">
      <c r="A497" s="1455"/>
      <c r="B497" s="1455"/>
      <c r="C497" s="145" t="str">
        <f t="shared" si="14"/>
        <v/>
      </c>
      <c r="D497" s="150"/>
      <c r="E497" s="923"/>
      <c r="F497" s="923"/>
      <c r="G497" s="934"/>
      <c r="H497" s="934"/>
      <c r="I497" s="934"/>
      <c r="J497" s="934"/>
      <c r="K497" s="934"/>
      <c r="L497" s="934"/>
      <c r="M497" s="934"/>
      <c r="N497" s="929"/>
      <c r="O497" s="933" t="str">
        <f t="shared" si="15"/>
        <v/>
      </c>
    </row>
    <row r="498" spans="1:15" hidden="1">
      <c r="A498" s="1455"/>
      <c r="B498" s="1455"/>
      <c r="C498" s="145" t="str">
        <f t="shared" si="14"/>
        <v/>
      </c>
      <c r="D498" s="150"/>
      <c r="E498" s="923"/>
      <c r="F498" s="923"/>
      <c r="G498" s="934"/>
      <c r="H498" s="934"/>
      <c r="I498" s="934"/>
      <c r="J498" s="934"/>
      <c r="K498" s="934"/>
      <c r="L498" s="934"/>
      <c r="M498" s="934"/>
      <c r="N498" s="929"/>
      <c r="O498" s="933" t="str">
        <f t="shared" si="15"/>
        <v/>
      </c>
    </row>
    <row r="499" spans="1:15" hidden="1">
      <c r="A499" s="1455"/>
      <c r="B499" s="1455"/>
      <c r="C499" s="145" t="str">
        <f t="shared" si="14"/>
        <v/>
      </c>
      <c r="D499" s="150"/>
      <c r="E499" s="923"/>
      <c r="F499" s="923"/>
      <c r="G499" s="934"/>
      <c r="H499" s="934"/>
      <c r="I499" s="934"/>
      <c r="J499" s="934"/>
      <c r="K499" s="934"/>
      <c r="L499" s="934"/>
      <c r="M499" s="934"/>
      <c r="N499" s="929"/>
      <c r="O499" s="933" t="str">
        <f t="shared" si="15"/>
        <v/>
      </c>
    </row>
    <row r="500" spans="1:15" hidden="1">
      <c r="A500" s="1455"/>
      <c r="B500" s="1455"/>
      <c r="C500" s="145" t="str">
        <f t="shared" si="14"/>
        <v/>
      </c>
      <c r="D500" s="150"/>
      <c r="E500" s="923"/>
      <c r="F500" s="923"/>
      <c r="G500" s="934"/>
      <c r="H500" s="934"/>
      <c r="I500" s="934"/>
      <c r="J500" s="934"/>
      <c r="K500" s="934"/>
      <c r="L500" s="934"/>
      <c r="M500" s="934"/>
      <c r="N500" s="929"/>
      <c r="O500" s="933" t="str">
        <f t="shared" si="15"/>
        <v/>
      </c>
    </row>
    <row r="501" spans="1:15" hidden="1">
      <c r="A501" s="1455"/>
      <c r="B501" s="1455"/>
      <c r="C501" s="145" t="str">
        <f t="shared" si="14"/>
        <v/>
      </c>
      <c r="D501" s="150"/>
      <c r="E501" s="923"/>
      <c r="F501" s="923"/>
      <c r="G501" s="934"/>
      <c r="H501" s="934"/>
      <c r="I501" s="934"/>
      <c r="J501" s="934"/>
      <c r="K501" s="934"/>
      <c r="L501" s="934"/>
      <c r="M501" s="934"/>
      <c r="N501" s="929"/>
      <c r="O501" s="933" t="str">
        <f t="shared" si="15"/>
        <v/>
      </c>
    </row>
    <row r="502" spans="1:15" hidden="1">
      <c r="A502" s="1455"/>
      <c r="B502" s="1455"/>
      <c r="C502" s="145" t="str">
        <f t="shared" si="14"/>
        <v/>
      </c>
      <c r="D502" s="150"/>
      <c r="E502" s="923"/>
      <c r="F502" s="923"/>
      <c r="G502" s="934"/>
      <c r="H502" s="934"/>
      <c r="I502" s="934"/>
      <c r="J502" s="934"/>
      <c r="K502" s="934"/>
      <c r="L502" s="934"/>
      <c r="M502" s="934"/>
      <c r="N502" s="929"/>
      <c r="O502" s="933" t="str">
        <f t="shared" si="15"/>
        <v/>
      </c>
    </row>
    <row r="503" spans="1:15" hidden="1">
      <c r="A503" s="1455"/>
      <c r="B503" s="1455"/>
      <c r="C503" s="145" t="str">
        <f t="shared" si="14"/>
        <v/>
      </c>
      <c r="D503" s="150"/>
      <c r="E503" s="923"/>
      <c r="F503" s="923"/>
      <c r="G503" s="934"/>
      <c r="H503" s="934"/>
      <c r="I503" s="934"/>
      <c r="J503" s="934"/>
      <c r="K503" s="934"/>
      <c r="L503" s="934"/>
      <c r="M503" s="934"/>
      <c r="N503" s="929"/>
      <c r="O503" s="933" t="str">
        <f t="shared" si="15"/>
        <v/>
      </c>
    </row>
    <row r="504" spans="1:15" hidden="1">
      <c r="A504" s="1455"/>
      <c r="B504" s="1455"/>
      <c r="C504" s="145" t="str">
        <f t="shared" si="14"/>
        <v/>
      </c>
      <c r="D504" s="150"/>
      <c r="E504" s="923"/>
      <c r="F504" s="923"/>
      <c r="G504" s="934"/>
      <c r="H504" s="934"/>
      <c r="I504" s="934"/>
      <c r="J504" s="934"/>
      <c r="K504" s="934"/>
      <c r="L504" s="934"/>
      <c r="M504" s="934"/>
      <c r="N504" s="929"/>
      <c r="O504" s="933" t="str">
        <f t="shared" si="15"/>
        <v/>
      </c>
    </row>
    <row r="505" spans="1:15" hidden="1">
      <c r="A505" s="1455"/>
      <c r="B505" s="1455"/>
      <c r="C505" s="145" t="str">
        <f t="shared" si="14"/>
        <v/>
      </c>
      <c r="D505" s="150"/>
      <c r="E505" s="923"/>
      <c r="F505" s="923"/>
      <c r="G505" s="934"/>
      <c r="H505" s="934"/>
      <c r="I505" s="934"/>
      <c r="J505" s="934"/>
      <c r="K505" s="934"/>
      <c r="L505" s="934"/>
      <c r="M505" s="934"/>
      <c r="N505" s="929"/>
      <c r="O505" s="933" t="str">
        <f t="shared" si="15"/>
        <v/>
      </c>
    </row>
    <row r="506" spans="1:15" hidden="1">
      <c r="A506" s="1455"/>
      <c r="B506" s="1455"/>
      <c r="C506" s="145" t="str">
        <f t="shared" si="14"/>
        <v/>
      </c>
      <c r="D506" s="150"/>
      <c r="E506" s="923"/>
      <c r="F506" s="923"/>
      <c r="G506" s="934"/>
      <c r="H506" s="934"/>
      <c r="I506" s="934"/>
      <c r="J506" s="934"/>
      <c r="K506" s="934"/>
      <c r="L506" s="934"/>
      <c r="M506" s="934"/>
      <c r="N506" s="929"/>
      <c r="O506" s="933" t="str">
        <f t="shared" si="15"/>
        <v/>
      </c>
    </row>
    <row r="507" spans="1:15" hidden="1">
      <c r="A507" s="1455"/>
      <c r="B507" s="1455"/>
      <c r="C507" s="145" t="str">
        <f t="shared" si="14"/>
        <v/>
      </c>
      <c r="D507" s="150"/>
      <c r="E507" s="923"/>
      <c r="F507" s="923"/>
      <c r="G507" s="934"/>
      <c r="H507" s="934"/>
      <c r="I507" s="934"/>
      <c r="J507" s="934"/>
      <c r="K507" s="934"/>
      <c r="L507" s="934"/>
      <c r="M507" s="934"/>
      <c r="N507" s="929"/>
      <c r="O507" s="933" t="str">
        <f t="shared" si="15"/>
        <v/>
      </c>
    </row>
    <row r="508" spans="1:15" hidden="1">
      <c r="A508" s="1455"/>
      <c r="B508" s="1455"/>
      <c r="C508" s="145" t="str">
        <f t="shared" si="14"/>
        <v/>
      </c>
      <c r="D508" s="150"/>
      <c r="E508" s="923"/>
      <c r="F508" s="923"/>
      <c r="G508" s="934"/>
      <c r="H508" s="934"/>
      <c r="I508" s="934"/>
      <c r="J508" s="934"/>
      <c r="K508" s="934"/>
      <c r="L508" s="934"/>
      <c r="M508" s="934"/>
      <c r="N508" s="929"/>
      <c r="O508" s="933" t="str">
        <f t="shared" si="15"/>
        <v/>
      </c>
    </row>
    <row r="509" spans="1:15" hidden="1">
      <c r="A509" s="1455"/>
      <c r="B509" s="1455"/>
      <c r="C509" s="145" t="str">
        <f t="shared" si="14"/>
        <v/>
      </c>
      <c r="D509" s="150"/>
      <c r="E509" s="923"/>
      <c r="F509" s="923"/>
      <c r="G509" s="934"/>
      <c r="H509" s="934"/>
      <c r="I509" s="934"/>
      <c r="J509" s="934"/>
      <c r="K509" s="934"/>
      <c r="L509" s="934"/>
      <c r="M509" s="934"/>
      <c r="N509" s="929"/>
      <c r="O509" s="933" t="str">
        <f t="shared" si="15"/>
        <v/>
      </c>
    </row>
    <row r="510" spans="1:15" hidden="1">
      <c r="A510" s="1455"/>
      <c r="B510" s="1455"/>
      <c r="C510" s="145" t="str">
        <f t="shared" si="14"/>
        <v/>
      </c>
      <c r="D510" s="150"/>
      <c r="E510" s="923"/>
      <c r="F510" s="923"/>
      <c r="G510" s="934"/>
      <c r="H510" s="934"/>
      <c r="I510" s="934"/>
      <c r="J510" s="934"/>
      <c r="K510" s="934"/>
      <c r="L510" s="934"/>
      <c r="M510" s="934"/>
      <c r="N510" s="929"/>
      <c r="O510" s="933" t="str">
        <f t="shared" si="15"/>
        <v/>
      </c>
    </row>
    <row r="511" spans="1:15" hidden="1">
      <c r="A511" s="1455"/>
      <c r="B511" s="1455"/>
      <c r="C511" s="145" t="str">
        <f t="shared" si="14"/>
        <v/>
      </c>
      <c r="D511" s="150"/>
      <c r="E511" s="923"/>
      <c r="F511" s="923"/>
      <c r="G511" s="934"/>
      <c r="H511" s="934"/>
      <c r="I511" s="934"/>
      <c r="J511" s="934"/>
      <c r="K511" s="934"/>
      <c r="L511" s="934"/>
      <c r="M511" s="934"/>
      <c r="N511" s="929"/>
      <c r="O511" s="933" t="str">
        <f t="shared" si="15"/>
        <v/>
      </c>
    </row>
    <row r="512" spans="1:15" hidden="1">
      <c r="A512" s="1455"/>
      <c r="B512" s="1455"/>
      <c r="C512" s="145" t="str">
        <f t="shared" si="14"/>
        <v/>
      </c>
      <c r="D512" s="150"/>
      <c r="E512" s="923"/>
      <c r="F512" s="923"/>
      <c r="G512" s="934"/>
      <c r="H512" s="934"/>
      <c r="I512" s="934"/>
      <c r="J512" s="934"/>
      <c r="K512" s="934"/>
      <c r="L512" s="934"/>
      <c r="M512" s="934"/>
      <c r="N512" s="929"/>
      <c r="O512" s="933" t="str">
        <f t="shared" si="15"/>
        <v/>
      </c>
    </row>
    <row r="513" spans="1:15" hidden="1">
      <c r="A513" s="1455"/>
      <c r="B513" s="1455"/>
      <c r="C513" s="145" t="str">
        <f t="shared" si="14"/>
        <v/>
      </c>
      <c r="D513" s="150"/>
      <c r="E513" s="923"/>
      <c r="F513" s="923"/>
      <c r="G513" s="934"/>
      <c r="H513" s="934"/>
      <c r="I513" s="934"/>
      <c r="J513" s="934"/>
      <c r="K513" s="934"/>
      <c r="L513" s="934"/>
      <c r="M513" s="934"/>
      <c r="N513" s="929"/>
      <c r="O513" s="933" t="str">
        <f t="shared" si="15"/>
        <v/>
      </c>
    </row>
    <row r="514" spans="1:15" hidden="1">
      <c r="A514" s="1455"/>
      <c r="B514" s="1455"/>
      <c r="C514" s="145" t="str">
        <f t="shared" si="14"/>
        <v/>
      </c>
      <c r="D514" s="150"/>
      <c r="E514" s="923"/>
      <c r="F514" s="923"/>
      <c r="G514" s="934"/>
      <c r="H514" s="934"/>
      <c r="I514" s="934"/>
      <c r="J514" s="934"/>
      <c r="K514" s="934"/>
      <c r="L514" s="934"/>
      <c r="M514" s="934"/>
      <c r="N514" s="929"/>
      <c r="O514" s="933" t="str">
        <f t="shared" si="15"/>
        <v/>
      </c>
    </row>
    <row r="515" spans="1:15" hidden="1">
      <c r="A515" s="1455"/>
      <c r="B515" s="1455"/>
      <c r="C515" s="145" t="str">
        <f t="shared" si="14"/>
        <v/>
      </c>
      <c r="D515" s="150"/>
      <c r="E515" s="923"/>
      <c r="F515" s="923"/>
      <c r="G515" s="934"/>
      <c r="H515" s="934"/>
      <c r="I515" s="934"/>
      <c r="J515" s="934"/>
      <c r="K515" s="934"/>
      <c r="L515" s="934"/>
      <c r="M515" s="934"/>
      <c r="N515" s="929"/>
      <c r="O515" s="933" t="str">
        <f t="shared" si="15"/>
        <v/>
      </c>
    </row>
    <row r="516" spans="1:15" hidden="1">
      <c r="A516" s="1455"/>
      <c r="B516" s="1455"/>
      <c r="C516" s="145" t="str">
        <f t="shared" si="14"/>
        <v/>
      </c>
      <c r="D516" s="150"/>
      <c r="E516" s="923"/>
      <c r="F516" s="923"/>
      <c r="G516" s="934"/>
      <c r="H516" s="934"/>
      <c r="I516" s="934"/>
      <c r="J516" s="934"/>
      <c r="K516" s="934"/>
      <c r="L516" s="934"/>
      <c r="M516" s="934"/>
      <c r="N516" s="929"/>
      <c r="O516" s="933" t="str">
        <f t="shared" si="15"/>
        <v/>
      </c>
    </row>
    <row r="517" spans="1:15" hidden="1">
      <c r="A517" s="1455"/>
      <c r="B517" s="1455"/>
      <c r="C517" s="145" t="str">
        <f t="shared" si="14"/>
        <v/>
      </c>
      <c r="D517" s="150"/>
      <c r="E517" s="923"/>
      <c r="F517" s="923"/>
      <c r="G517" s="934"/>
      <c r="H517" s="934"/>
      <c r="I517" s="934"/>
      <c r="J517" s="934"/>
      <c r="K517" s="934"/>
      <c r="L517" s="934"/>
      <c r="M517" s="934"/>
      <c r="N517" s="929"/>
      <c r="O517" s="933" t="str">
        <f t="shared" si="15"/>
        <v/>
      </c>
    </row>
    <row r="518" spans="1:15" hidden="1">
      <c r="A518" s="1455"/>
      <c r="B518" s="1455"/>
      <c r="C518" s="145" t="str">
        <f t="shared" si="14"/>
        <v/>
      </c>
      <c r="D518" s="150"/>
      <c r="E518" s="923"/>
      <c r="F518" s="923"/>
      <c r="G518" s="934"/>
      <c r="H518" s="934"/>
      <c r="I518" s="934"/>
      <c r="J518" s="934"/>
      <c r="K518" s="934"/>
      <c r="L518" s="934"/>
      <c r="M518" s="934"/>
      <c r="N518" s="929"/>
      <c r="O518" s="933" t="str">
        <f t="shared" si="15"/>
        <v/>
      </c>
    </row>
    <row r="519" spans="1:15" hidden="1">
      <c r="A519" s="1455"/>
      <c r="B519" s="1455"/>
      <c r="C519" s="145" t="str">
        <f t="shared" si="14"/>
        <v/>
      </c>
      <c r="D519" s="150"/>
      <c r="E519" s="923"/>
      <c r="F519" s="923"/>
      <c r="G519" s="934"/>
      <c r="H519" s="934"/>
      <c r="I519" s="934"/>
      <c r="J519" s="934"/>
      <c r="K519" s="934"/>
      <c r="L519" s="934"/>
      <c r="M519" s="934"/>
      <c r="N519" s="929"/>
      <c r="O519" s="933" t="str">
        <f t="shared" si="15"/>
        <v/>
      </c>
    </row>
    <row r="520" spans="1:15" hidden="1">
      <c r="A520" s="1455"/>
      <c r="B520" s="1455"/>
      <c r="C520" s="145" t="str">
        <f t="shared" si="14"/>
        <v/>
      </c>
      <c r="D520" s="150"/>
      <c r="E520" s="923"/>
      <c r="F520" s="923"/>
      <c r="G520" s="934"/>
      <c r="H520" s="934"/>
      <c r="I520" s="934"/>
      <c r="J520" s="934"/>
      <c r="K520" s="934"/>
      <c r="L520" s="934"/>
      <c r="M520" s="934"/>
      <c r="N520" s="929"/>
      <c r="O520" s="933" t="str">
        <f t="shared" si="15"/>
        <v/>
      </c>
    </row>
    <row r="521" spans="1:15" hidden="1">
      <c r="A521" s="1455"/>
      <c r="B521" s="1455"/>
      <c r="C521" s="145" t="str">
        <f t="shared" si="14"/>
        <v/>
      </c>
      <c r="D521" s="150"/>
      <c r="E521" s="923"/>
      <c r="F521" s="923"/>
      <c r="G521" s="934"/>
      <c r="H521" s="934"/>
      <c r="I521" s="934"/>
      <c r="J521" s="934"/>
      <c r="K521" s="934"/>
      <c r="L521" s="934"/>
      <c r="M521" s="934"/>
      <c r="N521" s="929"/>
      <c r="O521" s="933" t="str">
        <f t="shared" si="15"/>
        <v/>
      </c>
    </row>
    <row r="522" spans="1:15" hidden="1">
      <c r="A522" s="1455"/>
      <c r="B522" s="1455"/>
      <c r="C522" s="145" t="str">
        <f t="shared" si="14"/>
        <v/>
      </c>
      <c r="D522" s="150"/>
      <c r="E522" s="923"/>
      <c r="F522" s="923"/>
      <c r="G522" s="934"/>
      <c r="H522" s="934"/>
      <c r="I522" s="934"/>
      <c r="J522" s="934"/>
      <c r="K522" s="934"/>
      <c r="L522" s="934"/>
      <c r="M522" s="934"/>
      <c r="N522" s="929"/>
      <c r="O522" s="933" t="str">
        <f t="shared" si="15"/>
        <v/>
      </c>
    </row>
    <row r="523" spans="1:15" hidden="1">
      <c r="A523" s="1455"/>
      <c r="B523" s="1455"/>
      <c r="C523" s="145" t="str">
        <f t="shared" si="14"/>
        <v/>
      </c>
      <c r="D523" s="150"/>
      <c r="E523" s="923"/>
      <c r="F523" s="923"/>
      <c r="G523" s="934"/>
      <c r="H523" s="934"/>
      <c r="I523" s="934"/>
      <c r="J523" s="934"/>
      <c r="K523" s="934"/>
      <c r="L523" s="934"/>
      <c r="M523" s="934"/>
      <c r="N523" s="929"/>
      <c r="O523" s="933" t="str">
        <f t="shared" si="15"/>
        <v/>
      </c>
    </row>
    <row r="524" spans="1:15" hidden="1">
      <c r="A524" s="1455"/>
      <c r="B524" s="1455"/>
      <c r="C524" s="145" t="str">
        <f t="shared" si="14"/>
        <v/>
      </c>
      <c r="D524" s="150"/>
      <c r="E524" s="923"/>
      <c r="F524" s="923"/>
      <c r="G524" s="934"/>
      <c r="H524" s="934"/>
      <c r="I524" s="934"/>
      <c r="J524" s="934"/>
      <c r="K524" s="934"/>
      <c r="L524" s="934"/>
      <c r="M524" s="934"/>
      <c r="N524" s="929"/>
      <c r="O524" s="933" t="str">
        <f t="shared" si="15"/>
        <v/>
      </c>
    </row>
    <row r="525" spans="1:15" hidden="1">
      <c r="A525" s="1455"/>
      <c r="B525" s="1455"/>
      <c r="C525" s="145" t="str">
        <f t="shared" si="14"/>
        <v/>
      </c>
      <c r="D525" s="150"/>
      <c r="E525" s="923"/>
      <c r="F525" s="923"/>
      <c r="G525" s="934"/>
      <c r="H525" s="934"/>
      <c r="I525" s="934"/>
      <c r="J525" s="934"/>
      <c r="K525" s="934"/>
      <c r="L525" s="934"/>
      <c r="M525" s="934"/>
      <c r="N525" s="929"/>
      <c r="O525" s="933" t="str">
        <f t="shared" si="15"/>
        <v/>
      </c>
    </row>
    <row r="526" spans="1:15" hidden="1">
      <c r="A526" s="1455"/>
      <c r="B526" s="1455"/>
      <c r="C526" s="145" t="str">
        <f t="shared" si="14"/>
        <v/>
      </c>
      <c r="D526" s="150"/>
      <c r="E526" s="923"/>
      <c r="F526" s="923"/>
      <c r="G526" s="934"/>
      <c r="H526" s="934"/>
      <c r="I526" s="934"/>
      <c r="J526" s="934"/>
      <c r="K526" s="934"/>
      <c r="L526" s="934"/>
      <c r="M526" s="934"/>
      <c r="N526" s="929"/>
      <c r="O526" s="933" t="str">
        <f t="shared" si="15"/>
        <v/>
      </c>
    </row>
    <row r="527" spans="1:15" hidden="1">
      <c r="A527" s="1455"/>
      <c r="B527" s="1455"/>
      <c r="C527" s="145" t="str">
        <f t="shared" si="14"/>
        <v/>
      </c>
      <c r="D527" s="150"/>
      <c r="E527" s="923"/>
      <c r="F527" s="923"/>
      <c r="G527" s="934"/>
      <c r="H527" s="934"/>
      <c r="I527" s="934"/>
      <c r="J527" s="934"/>
      <c r="K527" s="934"/>
      <c r="L527" s="934"/>
      <c r="M527" s="934"/>
      <c r="N527" s="929"/>
      <c r="O527" s="933" t="str">
        <f t="shared" si="15"/>
        <v/>
      </c>
    </row>
    <row r="528" spans="1:15" hidden="1">
      <c r="A528" s="1455"/>
      <c r="B528" s="1455"/>
      <c r="C528" s="145" t="str">
        <f t="shared" si="14"/>
        <v/>
      </c>
      <c r="D528" s="150"/>
      <c r="E528" s="923"/>
      <c r="F528" s="923"/>
      <c r="G528" s="934"/>
      <c r="H528" s="934"/>
      <c r="I528" s="934"/>
      <c r="J528" s="934"/>
      <c r="K528" s="934"/>
      <c r="L528" s="934"/>
      <c r="M528" s="934"/>
      <c r="N528" s="929"/>
      <c r="O528" s="933" t="str">
        <f t="shared" si="15"/>
        <v/>
      </c>
    </row>
    <row r="529" spans="1:15" hidden="1">
      <c r="A529" s="1455"/>
      <c r="B529" s="1455"/>
      <c r="C529" s="145" t="str">
        <f t="shared" ref="C529:C592" si="16">IF(A529&lt;&gt;"",ROW(),"")</f>
        <v/>
      </c>
      <c r="D529" s="150"/>
      <c r="E529" s="923"/>
      <c r="F529" s="923"/>
      <c r="G529" s="934"/>
      <c r="H529" s="934"/>
      <c r="I529" s="934"/>
      <c r="J529" s="934"/>
      <c r="K529" s="934"/>
      <c r="L529" s="934"/>
      <c r="M529" s="934"/>
      <c r="N529" s="929"/>
      <c r="O529" s="933" t="str">
        <f t="shared" ref="O529:O592" si="17">IF(A529&lt;&gt;"",A529,"")</f>
        <v/>
      </c>
    </row>
    <row r="530" spans="1:15" hidden="1">
      <c r="A530" s="1455"/>
      <c r="B530" s="1455"/>
      <c r="C530" s="145" t="str">
        <f t="shared" si="16"/>
        <v/>
      </c>
      <c r="D530" s="150"/>
      <c r="E530" s="923"/>
      <c r="F530" s="923"/>
      <c r="G530" s="934"/>
      <c r="H530" s="934"/>
      <c r="I530" s="934"/>
      <c r="J530" s="934"/>
      <c r="K530" s="934"/>
      <c r="L530" s="934"/>
      <c r="M530" s="934"/>
      <c r="N530" s="929"/>
      <c r="O530" s="933" t="str">
        <f t="shared" si="17"/>
        <v/>
      </c>
    </row>
    <row r="531" spans="1:15" hidden="1">
      <c r="A531" s="1455"/>
      <c r="B531" s="1455"/>
      <c r="C531" s="145" t="str">
        <f t="shared" si="16"/>
        <v/>
      </c>
      <c r="D531" s="150"/>
      <c r="E531" s="923"/>
      <c r="F531" s="923"/>
      <c r="G531" s="934"/>
      <c r="H531" s="934"/>
      <c r="I531" s="934"/>
      <c r="J531" s="934"/>
      <c r="K531" s="934"/>
      <c r="L531" s="934"/>
      <c r="M531" s="934"/>
      <c r="N531" s="929"/>
      <c r="O531" s="933" t="str">
        <f t="shared" si="17"/>
        <v/>
      </c>
    </row>
    <row r="532" spans="1:15" hidden="1">
      <c r="A532" s="1455"/>
      <c r="B532" s="1455"/>
      <c r="C532" s="145" t="str">
        <f t="shared" si="16"/>
        <v/>
      </c>
      <c r="D532" s="150"/>
      <c r="E532" s="923"/>
      <c r="F532" s="923"/>
      <c r="G532" s="934"/>
      <c r="H532" s="934"/>
      <c r="I532" s="934"/>
      <c r="J532" s="934"/>
      <c r="K532" s="934"/>
      <c r="L532" s="934"/>
      <c r="M532" s="934"/>
      <c r="N532" s="929"/>
      <c r="O532" s="933" t="str">
        <f t="shared" si="17"/>
        <v/>
      </c>
    </row>
    <row r="533" spans="1:15" hidden="1">
      <c r="A533" s="1455"/>
      <c r="B533" s="1455"/>
      <c r="C533" s="145" t="str">
        <f t="shared" si="16"/>
        <v/>
      </c>
      <c r="D533" s="150"/>
      <c r="E533" s="923"/>
      <c r="F533" s="923"/>
      <c r="G533" s="934"/>
      <c r="H533" s="934"/>
      <c r="I533" s="934"/>
      <c r="J533" s="934"/>
      <c r="K533" s="934"/>
      <c r="L533" s="934"/>
      <c r="M533" s="934"/>
      <c r="N533" s="929"/>
      <c r="O533" s="933" t="str">
        <f t="shared" si="17"/>
        <v/>
      </c>
    </row>
    <row r="534" spans="1:15" hidden="1">
      <c r="A534" s="1455"/>
      <c r="B534" s="1455"/>
      <c r="C534" s="145" t="str">
        <f t="shared" si="16"/>
        <v/>
      </c>
      <c r="D534" s="150"/>
      <c r="E534" s="923"/>
      <c r="F534" s="923"/>
      <c r="G534" s="934"/>
      <c r="H534" s="934"/>
      <c r="I534" s="934"/>
      <c r="J534" s="934"/>
      <c r="K534" s="934"/>
      <c r="L534" s="934"/>
      <c r="M534" s="934"/>
      <c r="N534" s="929"/>
      <c r="O534" s="933" t="str">
        <f t="shared" si="17"/>
        <v/>
      </c>
    </row>
    <row r="535" spans="1:15" hidden="1">
      <c r="A535" s="1455"/>
      <c r="B535" s="1455"/>
      <c r="C535" s="145" t="str">
        <f t="shared" si="16"/>
        <v/>
      </c>
      <c r="D535" s="150"/>
      <c r="E535" s="923"/>
      <c r="F535" s="923"/>
      <c r="G535" s="934"/>
      <c r="H535" s="934"/>
      <c r="I535" s="934"/>
      <c r="J535" s="934"/>
      <c r="K535" s="934"/>
      <c r="L535" s="934"/>
      <c r="M535" s="934"/>
      <c r="N535" s="929"/>
      <c r="O535" s="933" t="str">
        <f t="shared" si="17"/>
        <v/>
      </c>
    </row>
    <row r="536" spans="1:15" hidden="1">
      <c r="A536" s="1455"/>
      <c r="B536" s="1455"/>
      <c r="C536" s="145" t="str">
        <f t="shared" si="16"/>
        <v/>
      </c>
      <c r="D536" s="150"/>
      <c r="E536" s="923"/>
      <c r="F536" s="923"/>
      <c r="G536" s="934"/>
      <c r="H536" s="934"/>
      <c r="I536" s="934"/>
      <c r="J536" s="934"/>
      <c r="K536" s="934"/>
      <c r="L536" s="934"/>
      <c r="M536" s="934"/>
      <c r="N536" s="929"/>
      <c r="O536" s="933" t="str">
        <f t="shared" si="17"/>
        <v/>
      </c>
    </row>
    <row r="537" spans="1:15" hidden="1">
      <c r="A537" s="1455"/>
      <c r="B537" s="1455"/>
      <c r="C537" s="145" t="str">
        <f t="shared" si="16"/>
        <v/>
      </c>
      <c r="D537" s="150"/>
      <c r="E537" s="923"/>
      <c r="F537" s="923"/>
      <c r="G537" s="934"/>
      <c r="H537" s="934"/>
      <c r="I537" s="934"/>
      <c r="J537" s="934"/>
      <c r="K537" s="934"/>
      <c r="L537" s="934"/>
      <c r="M537" s="934"/>
      <c r="N537" s="929"/>
      <c r="O537" s="933" t="str">
        <f t="shared" si="17"/>
        <v/>
      </c>
    </row>
    <row r="538" spans="1:15" hidden="1">
      <c r="A538" s="1455"/>
      <c r="B538" s="1455"/>
      <c r="C538" s="145" t="str">
        <f t="shared" si="16"/>
        <v/>
      </c>
      <c r="D538" s="150"/>
      <c r="E538" s="923"/>
      <c r="F538" s="923"/>
      <c r="G538" s="934"/>
      <c r="H538" s="934"/>
      <c r="I538" s="934"/>
      <c r="J538" s="934"/>
      <c r="K538" s="934"/>
      <c r="L538" s="934"/>
      <c r="M538" s="934"/>
      <c r="N538" s="929"/>
      <c r="O538" s="933" t="str">
        <f t="shared" si="17"/>
        <v/>
      </c>
    </row>
    <row r="539" spans="1:15" hidden="1">
      <c r="A539" s="1455"/>
      <c r="B539" s="1455"/>
      <c r="C539" s="145" t="str">
        <f t="shared" si="16"/>
        <v/>
      </c>
      <c r="D539" s="150"/>
      <c r="E539" s="923"/>
      <c r="F539" s="923"/>
      <c r="G539" s="934"/>
      <c r="H539" s="934"/>
      <c r="I539" s="934"/>
      <c r="J539" s="934"/>
      <c r="K539" s="934"/>
      <c r="L539" s="934"/>
      <c r="M539" s="934"/>
      <c r="N539" s="929"/>
      <c r="O539" s="933" t="str">
        <f t="shared" si="17"/>
        <v/>
      </c>
    </row>
    <row r="540" spans="1:15" hidden="1">
      <c r="A540" s="1455"/>
      <c r="B540" s="1455"/>
      <c r="C540" s="145" t="str">
        <f t="shared" si="16"/>
        <v/>
      </c>
      <c r="D540" s="150"/>
      <c r="E540" s="923"/>
      <c r="F540" s="923"/>
      <c r="G540" s="934"/>
      <c r="H540" s="934"/>
      <c r="I540" s="934"/>
      <c r="J540" s="934"/>
      <c r="K540" s="934"/>
      <c r="L540" s="934"/>
      <c r="M540" s="934"/>
      <c r="N540" s="929"/>
      <c r="O540" s="933" t="str">
        <f t="shared" si="17"/>
        <v/>
      </c>
    </row>
    <row r="541" spans="1:15" hidden="1">
      <c r="A541" s="1455"/>
      <c r="B541" s="1455"/>
      <c r="C541" s="145" t="str">
        <f t="shared" si="16"/>
        <v/>
      </c>
      <c r="D541" s="150"/>
      <c r="E541" s="923"/>
      <c r="F541" s="923"/>
      <c r="G541" s="934"/>
      <c r="H541" s="934"/>
      <c r="I541" s="934"/>
      <c r="J541" s="934"/>
      <c r="K541" s="934"/>
      <c r="L541" s="934"/>
      <c r="M541" s="934"/>
      <c r="N541" s="929"/>
      <c r="O541" s="933" t="str">
        <f t="shared" si="17"/>
        <v/>
      </c>
    </row>
    <row r="542" spans="1:15" hidden="1">
      <c r="A542" s="1455"/>
      <c r="B542" s="1455"/>
      <c r="C542" s="145" t="str">
        <f t="shared" si="16"/>
        <v/>
      </c>
      <c r="D542" s="150"/>
      <c r="E542" s="923"/>
      <c r="F542" s="923"/>
      <c r="G542" s="934"/>
      <c r="H542" s="934"/>
      <c r="I542" s="934"/>
      <c r="J542" s="934"/>
      <c r="K542" s="934"/>
      <c r="L542" s="934"/>
      <c r="M542" s="934"/>
      <c r="N542" s="929"/>
      <c r="O542" s="933" t="str">
        <f t="shared" si="17"/>
        <v/>
      </c>
    </row>
    <row r="543" spans="1:15" hidden="1">
      <c r="A543" s="1455"/>
      <c r="B543" s="1455"/>
      <c r="C543" s="145" t="str">
        <f t="shared" si="16"/>
        <v/>
      </c>
      <c r="D543" s="150"/>
      <c r="E543" s="923"/>
      <c r="F543" s="923"/>
      <c r="G543" s="934"/>
      <c r="H543" s="934"/>
      <c r="I543" s="934"/>
      <c r="J543" s="934"/>
      <c r="K543" s="934"/>
      <c r="L543" s="934"/>
      <c r="M543" s="934"/>
      <c r="N543" s="929"/>
      <c r="O543" s="933" t="str">
        <f t="shared" si="17"/>
        <v/>
      </c>
    </row>
    <row r="544" spans="1:15" hidden="1">
      <c r="A544" s="1455"/>
      <c r="B544" s="1455"/>
      <c r="C544" s="145" t="str">
        <f t="shared" si="16"/>
        <v/>
      </c>
      <c r="D544" s="150"/>
      <c r="E544" s="923"/>
      <c r="F544" s="923"/>
      <c r="G544" s="934"/>
      <c r="H544" s="934"/>
      <c r="I544" s="934"/>
      <c r="J544" s="934"/>
      <c r="K544" s="934"/>
      <c r="L544" s="934"/>
      <c r="M544" s="934"/>
      <c r="N544" s="929"/>
      <c r="O544" s="933" t="str">
        <f t="shared" si="17"/>
        <v/>
      </c>
    </row>
    <row r="545" spans="1:15" hidden="1">
      <c r="A545" s="1455"/>
      <c r="B545" s="1455"/>
      <c r="C545" s="145" t="str">
        <f t="shared" si="16"/>
        <v/>
      </c>
      <c r="D545" s="150"/>
      <c r="E545" s="923"/>
      <c r="F545" s="923"/>
      <c r="G545" s="934"/>
      <c r="H545" s="934"/>
      <c r="I545" s="934"/>
      <c r="J545" s="934"/>
      <c r="K545" s="934"/>
      <c r="L545" s="934"/>
      <c r="M545" s="934"/>
      <c r="N545" s="929"/>
      <c r="O545" s="933" t="str">
        <f t="shared" si="17"/>
        <v/>
      </c>
    </row>
    <row r="546" spans="1:15" hidden="1">
      <c r="A546" s="1455"/>
      <c r="B546" s="1455"/>
      <c r="C546" s="145" t="str">
        <f t="shared" si="16"/>
        <v/>
      </c>
      <c r="D546" s="150"/>
      <c r="E546" s="923"/>
      <c r="F546" s="923"/>
      <c r="G546" s="934"/>
      <c r="H546" s="934"/>
      <c r="I546" s="934"/>
      <c r="J546" s="934"/>
      <c r="K546" s="934"/>
      <c r="L546" s="934"/>
      <c r="M546" s="934"/>
      <c r="N546" s="929"/>
      <c r="O546" s="933" t="str">
        <f t="shared" si="17"/>
        <v/>
      </c>
    </row>
    <row r="547" spans="1:15" hidden="1">
      <c r="A547" s="1455"/>
      <c r="B547" s="1455"/>
      <c r="C547" s="145" t="str">
        <f t="shared" si="16"/>
        <v/>
      </c>
      <c r="D547" s="150"/>
      <c r="E547" s="923"/>
      <c r="F547" s="923"/>
      <c r="G547" s="934"/>
      <c r="H547" s="934"/>
      <c r="I547" s="934"/>
      <c r="J547" s="934"/>
      <c r="K547" s="934"/>
      <c r="L547" s="934"/>
      <c r="M547" s="934"/>
      <c r="N547" s="929"/>
      <c r="O547" s="933" t="str">
        <f t="shared" si="17"/>
        <v/>
      </c>
    </row>
    <row r="548" spans="1:15" hidden="1">
      <c r="A548" s="1455"/>
      <c r="B548" s="1455"/>
      <c r="C548" s="145" t="str">
        <f t="shared" si="16"/>
        <v/>
      </c>
      <c r="D548" s="150"/>
      <c r="E548" s="923"/>
      <c r="F548" s="923"/>
      <c r="G548" s="934"/>
      <c r="H548" s="934"/>
      <c r="I548" s="934"/>
      <c r="J548" s="934"/>
      <c r="K548" s="934"/>
      <c r="L548" s="934"/>
      <c r="M548" s="934"/>
      <c r="N548" s="929"/>
      <c r="O548" s="933" t="str">
        <f t="shared" si="17"/>
        <v/>
      </c>
    </row>
    <row r="549" spans="1:15" hidden="1">
      <c r="A549" s="1455"/>
      <c r="B549" s="1455"/>
      <c r="C549" s="145" t="str">
        <f t="shared" si="16"/>
        <v/>
      </c>
      <c r="D549" s="150"/>
      <c r="E549" s="923"/>
      <c r="F549" s="923"/>
      <c r="G549" s="934"/>
      <c r="H549" s="934"/>
      <c r="I549" s="934"/>
      <c r="J549" s="934"/>
      <c r="K549" s="934"/>
      <c r="L549" s="934"/>
      <c r="M549" s="934"/>
      <c r="N549" s="929"/>
      <c r="O549" s="933" t="str">
        <f t="shared" si="17"/>
        <v/>
      </c>
    </row>
    <row r="550" spans="1:15" hidden="1">
      <c r="A550" s="1455"/>
      <c r="B550" s="1455"/>
      <c r="C550" s="145" t="str">
        <f t="shared" si="16"/>
        <v/>
      </c>
      <c r="D550" s="150"/>
      <c r="E550" s="923"/>
      <c r="F550" s="923"/>
      <c r="G550" s="934"/>
      <c r="H550" s="934"/>
      <c r="I550" s="934"/>
      <c r="J550" s="934"/>
      <c r="K550" s="934"/>
      <c r="L550" s="934"/>
      <c r="M550" s="934"/>
      <c r="N550" s="929"/>
      <c r="O550" s="933" t="str">
        <f t="shared" si="17"/>
        <v/>
      </c>
    </row>
    <row r="551" spans="1:15" hidden="1">
      <c r="A551" s="1455"/>
      <c r="B551" s="1455"/>
      <c r="C551" s="145" t="str">
        <f t="shared" si="16"/>
        <v/>
      </c>
      <c r="D551" s="150"/>
      <c r="E551" s="923"/>
      <c r="F551" s="923"/>
      <c r="G551" s="934"/>
      <c r="H551" s="934"/>
      <c r="I551" s="934"/>
      <c r="J551" s="934"/>
      <c r="K551" s="934"/>
      <c r="L551" s="934"/>
      <c r="M551" s="934"/>
      <c r="N551" s="929"/>
      <c r="O551" s="933" t="str">
        <f t="shared" si="17"/>
        <v/>
      </c>
    </row>
    <row r="552" spans="1:15" hidden="1">
      <c r="A552" s="1455"/>
      <c r="B552" s="1455"/>
      <c r="C552" s="145" t="str">
        <f t="shared" si="16"/>
        <v/>
      </c>
      <c r="D552" s="150"/>
      <c r="E552" s="923"/>
      <c r="F552" s="923"/>
      <c r="G552" s="934"/>
      <c r="H552" s="934"/>
      <c r="I552" s="934"/>
      <c r="J552" s="934"/>
      <c r="K552" s="934"/>
      <c r="L552" s="934"/>
      <c r="M552" s="934"/>
      <c r="N552" s="929"/>
      <c r="O552" s="933" t="str">
        <f t="shared" si="17"/>
        <v/>
      </c>
    </row>
    <row r="553" spans="1:15" hidden="1">
      <c r="A553" s="1455"/>
      <c r="B553" s="1455"/>
      <c r="C553" s="145" t="str">
        <f t="shared" si="16"/>
        <v/>
      </c>
      <c r="D553" s="150"/>
      <c r="E553" s="923"/>
      <c r="F553" s="923"/>
      <c r="G553" s="934"/>
      <c r="H553" s="934"/>
      <c r="I553" s="934"/>
      <c r="J553" s="934"/>
      <c r="K553" s="934"/>
      <c r="L553" s="934"/>
      <c r="M553" s="934"/>
      <c r="N553" s="929"/>
      <c r="O553" s="933" t="str">
        <f t="shared" si="17"/>
        <v/>
      </c>
    </row>
    <row r="554" spans="1:15" hidden="1">
      <c r="A554" s="1455"/>
      <c r="B554" s="1455"/>
      <c r="C554" s="145" t="str">
        <f t="shared" si="16"/>
        <v/>
      </c>
      <c r="D554" s="150"/>
      <c r="E554" s="923"/>
      <c r="F554" s="923"/>
      <c r="G554" s="934"/>
      <c r="H554" s="934"/>
      <c r="I554" s="934"/>
      <c r="J554" s="934"/>
      <c r="K554" s="934"/>
      <c r="L554" s="934"/>
      <c r="M554" s="934"/>
      <c r="N554" s="929"/>
      <c r="O554" s="933" t="str">
        <f t="shared" si="17"/>
        <v/>
      </c>
    </row>
    <row r="555" spans="1:15" hidden="1">
      <c r="A555" s="1455"/>
      <c r="B555" s="1455"/>
      <c r="C555" s="145" t="str">
        <f t="shared" si="16"/>
        <v/>
      </c>
      <c r="D555" s="150"/>
      <c r="E555" s="923"/>
      <c r="F555" s="923"/>
      <c r="G555" s="934"/>
      <c r="H555" s="934"/>
      <c r="I555" s="934"/>
      <c r="J555" s="934"/>
      <c r="K555" s="934"/>
      <c r="L555" s="934"/>
      <c r="M555" s="934"/>
      <c r="N555" s="929"/>
      <c r="O555" s="933" t="str">
        <f t="shared" si="17"/>
        <v/>
      </c>
    </row>
    <row r="556" spans="1:15" hidden="1">
      <c r="A556" s="1455"/>
      <c r="B556" s="1455"/>
      <c r="C556" s="145" t="str">
        <f t="shared" si="16"/>
        <v/>
      </c>
      <c r="D556" s="150"/>
      <c r="E556" s="923"/>
      <c r="F556" s="923"/>
      <c r="G556" s="934"/>
      <c r="H556" s="934"/>
      <c r="I556" s="934"/>
      <c r="J556" s="934"/>
      <c r="K556" s="934"/>
      <c r="L556" s="934"/>
      <c r="M556" s="934"/>
      <c r="N556" s="929"/>
      <c r="O556" s="933" t="str">
        <f t="shared" si="17"/>
        <v/>
      </c>
    </row>
    <row r="557" spans="1:15" hidden="1">
      <c r="A557" s="1455"/>
      <c r="B557" s="1455"/>
      <c r="C557" s="145" t="str">
        <f t="shared" si="16"/>
        <v/>
      </c>
      <c r="D557" s="150"/>
      <c r="E557" s="923"/>
      <c r="F557" s="923"/>
      <c r="G557" s="934"/>
      <c r="H557" s="934"/>
      <c r="I557" s="934"/>
      <c r="J557" s="934"/>
      <c r="K557" s="934"/>
      <c r="L557" s="934"/>
      <c r="M557" s="934"/>
      <c r="N557" s="929"/>
      <c r="O557" s="933" t="str">
        <f t="shared" si="17"/>
        <v/>
      </c>
    </row>
    <row r="558" spans="1:15" hidden="1">
      <c r="A558" s="1455"/>
      <c r="B558" s="1455"/>
      <c r="C558" s="145" t="str">
        <f t="shared" si="16"/>
        <v/>
      </c>
      <c r="D558" s="150"/>
      <c r="E558" s="923"/>
      <c r="F558" s="923"/>
      <c r="G558" s="934"/>
      <c r="H558" s="934"/>
      <c r="I558" s="934"/>
      <c r="J558" s="934"/>
      <c r="K558" s="934"/>
      <c r="L558" s="934"/>
      <c r="M558" s="934"/>
      <c r="N558" s="929"/>
      <c r="O558" s="933" t="str">
        <f t="shared" si="17"/>
        <v/>
      </c>
    </row>
    <row r="559" spans="1:15" hidden="1">
      <c r="A559" s="1455"/>
      <c r="B559" s="1455"/>
      <c r="C559" s="145" t="str">
        <f t="shared" si="16"/>
        <v/>
      </c>
      <c r="D559" s="150"/>
      <c r="E559" s="923"/>
      <c r="F559" s="923"/>
      <c r="G559" s="934"/>
      <c r="H559" s="934"/>
      <c r="I559" s="934"/>
      <c r="J559" s="934"/>
      <c r="K559" s="934"/>
      <c r="L559" s="934"/>
      <c r="M559" s="934"/>
      <c r="N559" s="929"/>
      <c r="O559" s="933" t="str">
        <f t="shared" si="17"/>
        <v/>
      </c>
    </row>
    <row r="560" spans="1:15" hidden="1">
      <c r="A560" s="1455"/>
      <c r="B560" s="1455"/>
      <c r="C560" s="145" t="str">
        <f t="shared" si="16"/>
        <v/>
      </c>
      <c r="D560" s="150"/>
      <c r="E560" s="923"/>
      <c r="F560" s="923"/>
      <c r="G560" s="934"/>
      <c r="H560" s="934"/>
      <c r="I560" s="934"/>
      <c r="J560" s="934"/>
      <c r="K560" s="934"/>
      <c r="L560" s="934"/>
      <c r="M560" s="934"/>
      <c r="N560" s="929"/>
      <c r="O560" s="933" t="str">
        <f t="shared" si="17"/>
        <v/>
      </c>
    </row>
    <row r="561" spans="1:15" hidden="1">
      <c r="A561" s="1455"/>
      <c r="B561" s="1455"/>
      <c r="C561" s="145" t="str">
        <f t="shared" si="16"/>
        <v/>
      </c>
      <c r="D561" s="150"/>
      <c r="E561" s="923"/>
      <c r="F561" s="923"/>
      <c r="G561" s="934"/>
      <c r="H561" s="934"/>
      <c r="I561" s="934"/>
      <c r="J561" s="934"/>
      <c r="K561" s="934"/>
      <c r="L561" s="934"/>
      <c r="M561" s="934"/>
      <c r="N561" s="929"/>
      <c r="O561" s="933" t="str">
        <f t="shared" si="17"/>
        <v/>
      </c>
    </row>
    <row r="562" spans="1:15" hidden="1">
      <c r="A562" s="1455"/>
      <c r="B562" s="1455"/>
      <c r="C562" s="145" t="str">
        <f t="shared" si="16"/>
        <v/>
      </c>
      <c r="D562" s="150"/>
      <c r="E562" s="923"/>
      <c r="F562" s="923"/>
      <c r="G562" s="934"/>
      <c r="H562" s="934"/>
      <c r="I562" s="934"/>
      <c r="J562" s="934"/>
      <c r="K562" s="934"/>
      <c r="L562" s="934"/>
      <c r="M562" s="934"/>
      <c r="N562" s="929"/>
      <c r="O562" s="933" t="str">
        <f t="shared" si="17"/>
        <v/>
      </c>
    </row>
    <row r="563" spans="1:15" hidden="1">
      <c r="A563" s="1455"/>
      <c r="B563" s="1455"/>
      <c r="C563" s="145" t="str">
        <f t="shared" si="16"/>
        <v/>
      </c>
      <c r="D563" s="150"/>
      <c r="E563" s="923"/>
      <c r="F563" s="923"/>
      <c r="G563" s="934"/>
      <c r="H563" s="934"/>
      <c r="I563" s="934"/>
      <c r="J563" s="934"/>
      <c r="K563" s="934"/>
      <c r="L563" s="934"/>
      <c r="M563" s="934"/>
      <c r="N563" s="929"/>
      <c r="O563" s="933" t="str">
        <f t="shared" si="17"/>
        <v/>
      </c>
    </row>
    <row r="564" spans="1:15" hidden="1">
      <c r="A564" s="1455"/>
      <c r="B564" s="1455"/>
      <c r="C564" s="145" t="str">
        <f t="shared" si="16"/>
        <v/>
      </c>
      <c r="D564" s="150"/>
      <c r="E564" s="923"/>
      <c r="F564" s="923"/>
      <c r="G564" s="934"/>
      <c r="H564" s="934"/>
      <c r="I564" s="934"/>
      <c r="J564" s="934"/>
      <c r="K564" s="934"/>
      <c r="L564" s="934"/>
      <c r="M564" s="934"/>
      <c r="N564" s="929"/>
      <c r="O564" s="933" t="str">
        <f t="shared" si="17"/>
        <v/>
      </c>
    </row>
    <row r="565" spans="1:15" hidden="1">
      <c r="A565" s="1455"/>
      <c r="B565" s="1455"/>
      <c r="C565" s="145" t="str">
        <f t="shared" si="16"/>
        <v/>
      </c>
      <c r="D565" s="150"/>
      <c r="E565" s="923"/>
      <c r="F565" s="923"/>
      <c r="G565" s="934"/>
      <c r="H565" s="934"/>
      <c r="I565" s="934"/>
      <c r="J565" s="934"/>
      <c r="K565" s="934"/>
      <c r="L565" s="934"/>
      <c r="M565" s="934"/>
      <c r="N565" s="929"/>
      <c r="O565" s="933" t="str">
        <f t="shared" si="17"/>
        <v/>
      </c>
    </row>
    <row r="566" spans="1:15" hidden="1">
      <c r="A566" s="1455"/>
      <c r="B566" s="1455"/>
      <c r="C566" s="145" t="str">
        <f t="shared" si="16"/>
        <v/>
      </c>
      <c r="D566" s="150"/>
      <c r="E566" s="923"/>
      <c r="F566" s="923"/>
      <c r="G566" s="934"/>
      <c r="H566" s="934"/>
      <c r="I566" s="934"/>
      <c r="J566" s="934"/>
      <c r="K566" s="934"/>
      <c r="L566" s="934"/>
      <c r="M566" s="934"/>
      <c r="N566" s="929"/>
      <c r="O566" s="933" t="str">
        <f t="shared" si="17"/>
        <v/>
      </c>
    </row>
    <row r="567" spans="1:15" hidden="1">
      <c r="A567" s="1455"/>
      <c r="B567" s="1455"/>
      <c r="C567" s="145" t="str">
        <f t="shared" si="16"/>
        <v/>
      </c>
      <c r="D567" s="150"/>
      <c r="E567" s="923"/>
      <c r="F567" s="923"/>
      <c r="G567" s="934"/>
      <c r="H567" s="934"/>
      <c r="I567" s="934"/>
      <c r="J567" s="934"/>
      <c r="K567" s="934"/>
      <c r="L567" s="934"/>
      <c r="M567" s="934"/>
      <c r="N567" s="929"/>
      <c r="O567" s="933" t="str">
        <f t="shared" si="17"/>
        <v/>
      </c>
    </row>
    <row r="568" spans="1:15" hidden="1">
      <c r="A568" s="1455"/>
      <c r="B568" s="1455"/>
      <c r="C568" s="145" t="str">
        <f t="shared" si="16"/>
        <v/>
      </c>
      <c r="D568" s="150"/>
      <c r="E568" s="923"/>
      <c r="F568" s="923"/>
      <c r="G568" s="934"/>
      <c r="H568" s="934"/>
      <c r="I568" s="934"/>
      <c r="J568" s="934"/>
      <c r="K568" s="934"/>
      <c r="L568" s="934"/>
      <c r="M568" s="934"/>
      <c r="N568" s="929"/>
      <c r="O568" s="933" t="str">
        <f t="shared" si="17"/>
        <v/>
      </c>
    </row>
    <row r="569" spans="1:15" hidden="1">
      <c r="A569" s="1455"/>
      <c r="B569" s="1455"/>
      <c r="C569" s="145" t="str">
        <f t="shared" si="16"/>
        <v/>
      </c>
      <c r="D569" s="150"/>
      <c r="E569" s="923"/>
      <c r="F569" s="923"/>
      <c r="G569" s="934"/>
      <c r="H569" s="934"/>
      <c r="I569" s="934"/>
      <c r="J569" s="934"/>
      <c r="K569" s="934"/>
      <c r="L569" s="934"/>
      <c r="M569" s="934"/>
      <c r="N569" s="929"/>
      <c r="O569" s="933" t="str">
        <f t="shared" si="17"/>
        <v/>
      </c>
    </row>
    <row r="570" spans="1:15" hidden="1">
      <c r="A570" s="1455"/>
      <c r="B570" s="1455"/>
      <c r="C570" s="145" t="str">
        <f t="shared" si="16"/>
        <v/>
      </c>
      <c r="D570" s="150"/>
      <c r="E570" s="923"/>
      <c r="F570" s="923"/>
      <c r="G570" s="934"/>
      <c r="H570" s="934"/>
      <c r="I570" s="934"/>
      <c r="J570" s="934"/>
      <c r="K570" s="934"/>
      <c r="L570" s="934"/>
      <c r="M570" s="934"/>
      <c r="N570" s="929"/>
      <c r="O570" s="933" t="str">
        <f t="shared" si="17"/>
        <v/>
      </c>
    </row>
    <row r="571" spans="1:15" hidden="1">
      <c r="A571" s="1455"/>
      <c r="B571" s="1455"/>
      <c r="C571" s="145" t="str">
        <f t="shared" si="16"/>
        <v/>
      </c>
      <c r="D571" s="150"/>
      <c r="E571" s="923"/>
      <c r="F571" s="923"/>
      <c r="G571" s="934"/>
      <c r="H571" s="934"/>
      <c r="I571" s="934"/>
      <c r="J571" s="934"/>
      <c r="K571" s="934"/>
      <c r="L571" s="934"/>
      <c r="M571" s="934"/>
      <c r="N571" s="929"/>
      <c r="O571" s="933" t="str">
        <f t="shared" si="17"/>
        <v/>
      </c>
    </row>
    <row r="572" spans="1:15" hidden="1">
      <c r="A572" s="1455"/>
      <c r="B572" s="1455"/>
      <c r="C572" s="145" t="str">
        <f t="shared" si="16"/>
        <v/>
      </c>
      <c r="D572" s="150"/>
      <c r="E572" s="923"/>
      <c r="F572" s="923"/>
      <c r="G572" s="934"/>
      <c r="H572" s="934"/>
      <c r="I572" s="934"/>
      <c r="J572" s="934"/>
      <c r="K572" s="934"/>
      <c r="L572" s="934"/>
      <c r="M572" s="934"/>
      <c r="N572" s="929"/>
      <c r="O572" s="933" t="str">
        <f t="shared" si="17"/>
        <v/>
      </c>
    </row>
    <row r="573" spans="1:15" hidden="1">
      <c r="A573" s="1455"/>
      <c r="B573" s="1455"/>
      <c r="C573" s="145" t="str">
        <f t="shared" si="16"/>
        <v/>
      </c>
      <c r="D573" s="150"/>
      <c r="E573" s="923"/>
      <c r="F573" s="923"/>
      <c r="G573" s="934"/>
      <c r="H573" s="934"/>
      <c r="I573" s="934"/>
      <c r="J573" s="934"/>
      <c r="K573" s="934"/>
      <c r="L573" s="934"/>
      <c r="M573" s="934"/>
      <c r="N573" s="929"/>
      <c r="O573" s="933" t="str">
        <f t="shared" si="17"/>
        <v/>
      </c>
    </row>
    <row r="574" spans="1:15" hidden="1">
      <c r="A574" s="1455"/>
      <c r="B574" s="1455"/>
      <c r="C574" s="145" t="str">
        <f t="shared" si="16"/>
        <v/>
      </c>
      <c r="D574" s="150"/>
      <c r="E574" s="923"/>
      <c r="F574" s="923"/>
      <c r="G574" s="934"/>
      <c r="H574" s="934"/>
      <c r="I574" s="934"/>
      <c r="J574" s="934"/>
      <c r="K574" s="934"/>
      <c r="L574" s="934"/>
      <c r="M574" s="934"/>
      <c r="N574" s="929"/>
      <c r="O574" s="933" t="str">
        <f t="shared" si="17"/>
        <v/>
      </c>
    </row>
    <row r="575" spans="1:15" hidden="1">
      <c r="A575" s="1455"/>
      <c r="B575" s="1455"/>
      <c r="C575" s="145" t="str">
        <f t="shared" si="16"/>
        <v/>
      </c>
      <c r="D575" s="150"/>
      <c r="E575" s="923"/>
      <c r="F575" s="923"/>
      <c r="G575" s="934"/>
      <c r="H575" s="934"/>
      <c r="I575" s="934"/>
      <c r="J575" s="934"/>
      <c r="K575" s="934"/>
      <c r="L575" s="934"/>
      <c r="M575" s="934"/>
      <c r="N575" s="929"/>
      <c r="O575" s="933" t="str">
        <f t="shared" si="17"/>
        <v/>
      </c>
    </row>
    <row r="576" spans="1:15" hidden="1">
      <c r="A576" s="1455"/>
      <c r="B576" s="1455"/>
      <c r="C576" s="145" t="str">
        <f t="shared" si="16"/>
        <v/>
      </c>
      <c r="D576" s="150"/>
      <c r="E576" s="923"/>
      <c r="F576" s="923"/>
      <c r="G576" s="934"/>
      <c r="H576" s="934"/>
      <c r="I576" s="934"/>
      <c r="J576" s="934"/>
      <c r="K576" s="934"/>
      <c r="L576" s="934"/>
      <c r="M576" s="934"/>
      <c r="N576" s="929"/>
      <c r="O576" s="933" t="str">
        <f t="shared" si="17"/>
        <v/>
      </c>
    </row>
    <row r="577" spans="1:15" hidden="1">
      <c r="A577" s="1455"/>
      <c r="B577" s="1455"/>
      <c r="C577" s="145" t="str">
        <f t="shared" si="16"/>
        <v/>
      </c>
      <c r="D577" s="150"/>
      <c r="E577" s="923"/>
      <c r="F577" s="923"/>
      <c r="G577" s="934"/>
      <c r="H577" s="934"/>
      <c r="I577" s="934"/>
      <c r="J577" s="934"/>
      <c r="K577" s="934"/>
      <c r="L577" s="934"/>
      <c r="M577" s="934"/>
      <c r="N577" s="929"/>
      <c r="O577" s="933" t="str">
        <f t="shared" si="17"/>
        <v/>
      </c>
    </row>
    <row r="578" spans="1:15" hidden="1">
      <c r="A578" s="1455"/>
      <c r="B578" s="1455"/>
      <c r="C578" s="145" t="str">
        <f t="shared" si="16"/>
        <v/>
      </c>
      <c r="D578" s="150"/>
      <c r="E578" s="923"/>
      <c r="F578" s="923"/>
      <c r="G578" s="934"/>
      <c r="H578" s="934"/>
      <c r="I578" s="934"/>
      <c r="J578" s="934"/>
      <c r="K578" s="934"/>
      <c r="L578" s="934"/>
      <c r="M578" s="934"/>
      <c r="N578" s="929"/>
      <c r="O578" s="933" t="str">
        <f t="shared" si="17"/>
        <v/>
      </c>
    </row>
    <row r="579" spans="1:15" hidden="1">
      <c r="A579" s="1455"/>
      <c r="B579" s="1455"/>
      <c r="C579" s="145" t="str">
        <f t="shared" si="16"/>
        <v/>
      </c>
      <c r="D579" s="150"/>
      <c r="E579" s="923"/>
      <c r="F579" s="923"/>
      <c r="G579" s="934"/>
      <c r="H579" s="934"/>
      <c r="I579" s="934"/>
      <c r="J579" s="934"/>
      <c r="K579" s="934"/>
      <c r="L579" s="934"/>
      <c r="M579" s="934"/>
      <c r="N579" s="929"/>
      <c r="O579" s="933" t="str">
        <f t="shared" si="17"/>
        <v/>
      </c>
    </row>
    <row r="580" spans="1:15" hidden="1">
      <c r="A580" s="1455"/>
      <c r="B580" s="1455"/>
      <c r="C580" s="145" t="str">
        <f t="shared" si="16"/>
        <v/>
      </c>
      <c r="D580" s="150"/>
      <c r="E580" s="923"/>
      <c r="F580" s="923"/>
      <c r="G580" s="934"/>
      <c r="H580" s="934"/>
      <c r="I580" s="934"/>
      <c r="J580" s="934"/>
      <c r="K580" s="934"/>
      <c r="L580" s="934"/>
      <c r="M580" s="934"/>
      <c r="N580" s="929"/>
      <c r="O580" s="933" t="str">
        <f t="shared" si="17"/>
        <v/>
      </c>
    </row>
    <row r="581" spans="1:15" hidden="1">
      <c r="A581" s="1455"/>
      <c r="B581" s="1455"/>
      <c r="C581" s="145" t="str">
        <f t="shared" si="16"/>
        <v/>
      </c>
      <c r="D581" s="150"/>
      <c r="E581" s="923"/>
      <c r="F581" s="923"/>
      <c r="G581" s="934"/>
      <c r="H581" s="934"/>
      <c r="I581" s="934"/>
      <c r="J581" s="934"/>
      <c r="K581" s="934"/>
      <c r="L581" s="934"/>
      <c r="M581" s="934"/>
      <c r="N581" s="929"/>
      <c r="O581" s="933" t="str">
        <f t="shared" si="17"/>
        <v/>
      </c>
    </row>
    <row r="582" spans="1:15" hidden="1">
      <c r="A582" s="1455"/>
      <c r="B582" s="1455"/>
      <c r="C582" s="145" t="str">
        <f t="shared" si="16"/>
        <v/>
      </c>
      <c r="D582" s="150"/>
      <c r="E582" s="923"/>
      <c r="F582" s="923"/>
      <c r="G582" s="934"/>
      <c r="H582" s="934"/>
      <c r="I582" s="934"/>
      <c r="J582" s="934"/>
      <c r="K582" s="934"/>
      <c r="L582" s="934"/>
      <c r="M582" s="934"/>
      <c r="N582" s="929"/>
      <c r="O582" s="933" t="str">
        <f t="shared" si="17"/>
        <v/>
      </c>
    </row>
    <row r="583" spans="1:15" hidden="1">
      <c r="A583" s="1455"/>
      <c r="B583" s="1455"/>
      <c r="C583" s="145" t="str">
        <f t="shared" si="16"/>
        <v/>
      </c>
      <c r="D583" s="150"/>
      <c r="E583" s="923"/>
      <c r="F583" s="923"/>
      <c r="G583" s="934"/>
      <c r="H583" s="934"/>
      <c r="I583" s="934"/>
      <c r="J583" s="934"/>
      <c r="K583" s="934"/>
      <c r="L583" s="934"/>
      <c r="M583" s="934"/>
      <c r="N583" s="929"/>
      <c r="O583" s="933" t="str">
        <f t="shared" si="17"/>
        <v/>
      </c>
    </row>
    <row r="584" spans="1:15" hidden="1">
      <c r="A584" s="1455"/>
      <c r="B584" s="1455"/>
      <c r="C584" s="145" t="str">
        <f t="shared" si="16"/>
        <v/>
      </c>
      <c r="D584" s="150"/>
      <c r="E584" s="923"/>
      <c r="F584" s="923"/>
      <c r="G584" s="934"/>
      <c r="H584" s="934"/>
      <c r="I584" s="934"/>
      <c r="J584" s="934"/>
      <c r="K584" s="934"/>
      <c r="L584" s="934"/>
      <c r="M584" s="934"/>
      <c r="N584" s="929"/>
      <c r="O584" s="933" t="str">
        <f t="shared" si="17"/>
        <v/>
      </c>
    </row>
    <row r="585" spans="1:15" hidden="1">
      <c r="A585" s="1455"/>
      <c r="B585" s="1455"/>
      <c r="C585" s="145" t="str">
        <f t="shared" si="16"/>
        <v/>
      </c>
      <c r="D585" s="150"/>
      <c r="E585" s="923"/>
      <c r="F585" s="923"/>
      <c r="G585" s="934"/>
      <c r="H585" s="934"/>
      <c r="I585" s="934"/>
      <c r="J585" s="934"/>
      <c r="K585" s="934"/>
      <c r="L585" s="934"/>
      <c r="M585" s="934"/>
      <c r="N585" s="929"/>
      <c r="O585" s="933" t="str">
        <f t="shared" si="17"/>
        <v/>
      </c>
    </row>
    <row r="586" spans="1:15" hidden="1">
      <c r="A586" s="1455"/>
      <c r="B586" s="1455"/>
      <c r="C586" s="145" t="str">
        <f t="shared" si="16"/>
        <v/>
      </c>
      <c r="D586" s="150"/>
      <c r="E586" s="923"/>
      <c r="F586" s="923"/>
      <c r="G586" s="934"/>
      <c r="H586" s="934"/>
      <c r="I586" s="934"/>
      <c r="J586" s="934"/>
      <c r="K586" s="934"/>
      <c r="L586" s="934"/>
      <c r="M586" s="934"/>
      <c r="N586" s="929"/>
      <c r="O586" s="933" t="str">
        <f t="shared" si="17"/>
        <v/>
      </c>
    </row>
    <row r="587" spans="1:15" hidden="1">
      <c r="A587" s="1455"/>
      <c r="B587" s="1455"/>
      <c r="C587" s="145" t="str">
        <f t="shared" si="16"/>
        <v/>
      </c>
      <c r="D587" s="150"/>
      <c r="E587" s="923"/>
      <c r="F587" s="923"/>
      <c r="G587" s="934"/>
      <c r="H587" s="934"/>
      <c r="I587" s="934"/>
      <c r="J587" s="934"/>
      <c r="K587" s="934"/>
      <c r="L587" s="934"/>
      <c r="M587" s="934"/>
      <c r="N587" s="929"/>
      <c r="O587" s="933" t="str">
        <f t="shared" si="17"/>
        <v/>
      </c>
    </row>
    <row r="588" spans="1:15" hidden="1">
      <c r="A588" s="1455"/>
      <c r="B588" s="1455"/>
      <c r="C588" s="145" t="str">
        <f t="shared" si="16"/>
        <v/>
      </c>
      <c r="D588" s="150"/>
      <c r="E588" s="923"/>
      <c r="F588" s="923"/>
      <c r="G588" s="934"/>
      <c r="H588" s="934"/>
      <c r="I588" s="934"/>
      <c r="J588" s="934"/>
      <c r="K588" s="934"/>
      <c r="L588" s="934"/>
      <c r="M588" s="934"/>
      <c r="N588" s="929"/>
      <c r="O588" s="933" t="str">
        <f t="shared" si="17"/>
        <v/>
      </c>
    </row>
    <row r="589" spans="1:15" hidden="1">
      <c r="A589" s="1455"/>
      <c r="B589" s="1455"/>
      <c r="C589" s="145" t="str">
        <f t="shared" si="16"/>
        <v/>
      </c>
      <c r="D589" s="150"/>
      <c r="E589" s="923"/>
      <c r="F589" s="923"/>
      <c r="G589" s="934"/>
      <c r="H589" s="934"/>
      <c r="I589" s="934"/>
      <c r="J589" s="934"/>
      <c r="K589" s="934"/>
      <c r="L589" s="934"/>
      <c r="M589" s="934"/>
      <c r="N589" s="929"/>
      <c r="O589" s="933" t="str">
        <f t="shared" si="17"/>
        <v/>
      </c>
    </row>
    <row r="590" spans="1:15" hidden="1">
      <c r="A590" s="1455"/>
      <c r="B590" s="1455"/>
      <c r="C590" s="145" t="str">
        <f t="shared" si="16"/>
        <v/>
      </c>
      <c r="D590" s="150"/>
      <c r="E590" s="923"/>
      <c r="F590" s="923"/>
      <c r="G590" s="934"/>
      <c r="H590" s="934"/>
      <c r="I590" s="934"/>
      <c r="J590" s="934"/>
      <c r="K590" s="934"/>
      <c r="L590" s="934"/>
      <c r="M590" s="934"/>
      <c r="N590" s="929"/>
      <c r="O590" s="933" t="str">
        <f t="shared" si="17"/>
        <v/>
      </c>
    </row>
    <row r="591" spans="1:15" hidden="1">
      <c r="A591" s="1455"/>
      <c r="B591" s="1455"/>
      <c r="C591" s="145" t="str">
        <f t="shared" si="16"/>
        <v/>
      </c>
      <c r="D591" s="150"/>
      <c r="E591" s="923"/>
      <c r="F591" s="923"/>
      <c r="G591" s="934"/>
      <c r="H591" s="934"/>
      <c r="I591" s="934"/>
      <c r="J591" s="934"/>
      <c r="K591" s="934"/>
      <c r="L591" s="934"/>
      <c r="M591" s="934"/>
      <c r="N591" s="929"/>
      <c r="O591" s="933" t="str">
        <f t="shared" si="17"/>
        <v/>
      </c>
    </row>
    <row r="592" spans="1:15" hidden="1">
      <c r="A592" s="1455"/>
      <c r="B592" s="1455"/>
      <c r="C592" s="145" t="str">
        <f t="shared" si="16"/>
        <v/>
      </c>
      <c r="D592" s="150"/>
      <c r="E592" s="923"/>
      <c r="F592" s="923"/>
      <c r="G592" s="934"/>
      <c r="H592" s="934"/>
      <c r="I592" s="934"/>
      <c r="J592" s="934"/>
      <c r="K592" s="934"/>
      <c r="L592" s="934"/>
      <c r="M592" s="934"/>
      <c r="N592" s="929"/>
      <c r="O592" s="933" t="str">
        <f t="shared" si="17"/>
        <v/>
      </c>
    </row>
    <row r="593" spans="1:15" hidden="1">
      <c r="A593" s="1455"/>
      <c r="B593" s="1455"/>
      <c r="C593" s="145" t="str">
        <f t="shared" ref="C593:C656" si="18">IF(A593&lt;&gt;"",ROW(),"")</f>
        <v/>
      </c>
      <c r="D593" s="150"/>
      <c r="E593" s="923"/>
      <c r="F593" s="923"/>
      <c r="G593" s="934"/>
      <c r="H593" s="934"/>
      <c r="I593" s="934"/>
      <c r="J593" s="934"/>
      <c r="K593" s="934"/>
      <c r="L593" s="934"/>
      <c r="M593" s="934"/>
      <c r="N593" s="929"/>
      <c r="O593" s="933" t="str">
        <f t="shared" ref="O593:O656" si="19">IF(A593&lt;&gt;"",A593,"")</f>
        <v/>
      </c>
    </row>
    <row r="594" spans="1:15" hidden="1">
      <c r="A594" s="1455"/>
      <c r="B594" s="1455"/>
      <c r="C594" s="145" t="str">
        <f t="shared" si="18"/>
        <v/>
      </c>
      <c r="D594" s="150"/>
      <c r="E594" s="923"/>
      <c r="F594" s="923"/>
      <c r="G594" s="934"/>
      <c r="H594" s="934"/>
      <c r="I594" s="934"/>
      <c r="J594" s="934"/>
      <c r="K594" s="934"/>
      <c r="L594" s="934"/>
      <c r="M594" s="934"/>
      <c r="N594" s="929"/>
      <c r="O594" s="933" t="str">
        <f t="shared" si="19"/>
        <v/>
      </c>
    </row>
    <row r="595" spans="1:15" hidden="1">
      <c r="A595" s="1455"/>
      <c r="B595" s="1455"/>
      <c r="C595" s="145" t="str">
        <f t="shared" si="18"/>
        <v/>
      </c>
      <c r="D595" s="150"/>
      <c r="E595" s="923"/>
      <c r="F595" s="923"/>
      <c r="G595" s="934"/>
      <c r="H595" s="934"/>
      <c r="I595" s="934"/>
      <c r="J595" s="934"/>
      <c r="K595" s="934"/>
      <c r="L595" s="934"/>
      <c r="M595" s="934"/>
      <c r="N595" s="929"/>
      <c r="O595" s="933" t="str">
        <f t="shared" si="19"/>
        <v/>
      </c>
    </row>
    <row r="596" spans="1:15" hidden="1">
      <c r="A596" s="1455"/>
      <c r="B596" s="1455"/>
      <c r="C596" s="145" t="str">
        <f t="shared" si="18"/>
        <v/>
      </c>
      <c r="D596" s="150"/>
      <c r="E596" s="923"/>
      <c r="F596" s="923"/>
      <c r="G596" s="934"/>
      <c r="H596" s="934"/>
      <c r="I596" s="934"/>
      <c r="J596" s="934"/>
      <c r="K596" s="934"/>
      <c r="L596" s="934"/>
      <c r="M596" s="934"/>
      <c r="N596" s="929"/>
      <c r="O596" s="933" t="str">
        <f t="shared" si="19"/>
        <v/>
      </c>
    </row>
    <row r="597" spans="1:15" hidden="1">
      <c r="A597" s="1455"/>
      <c r="B597" s="1455"/>
      <c r="C597" s="145" t="str">
        <f t="shared" si="18"/>
        <v/>
      </c>
      <c r="D597" s="150"/>
      <c r="E597" s="923"/>
      <c r="F597" s="923"/>
      <c r="G597" s="934"/>
      <c r="H597" s="934"/>
      <c r="I597" s="934"/>
      <c r="J597" s="934"/>
      <c r="K597" s="934"/>
      <c r="L597" s="934"/>
      <c r="M597" s="934"/>
      <c r="N597" s="929"/>
      <c r="O597" s="933" t="str">
        <f t="shared" si="19"/>
        <v/>
      </c>
    </row>
    <row r="598" spans="1:15" hidden="1">
      <c r="A598" s="1455"/>
      <c r="B598" s="1455"/>
      <c r="C598" s="145" t="str">
        <f t="shared" si="18"/>
        <v/>
      </c>
      <c r="D598" s="150"/>
      <c r="E598" s="923"/>
      <c r="F598" s="923"/>
      <c r="G598" s="934"/>
      <c r="H598" s="934"/>
      <c r="I598" s="934"/>
      <c r="J598" s="934"/>
      <c r="K598" s="934"/>
      <c r="L598" s="934"/>
      <c r="M598" s="934"/>
      <c r="N598" s="929"/>
      <c r="O598" s="933" t="str">
        <f t="shared" si="19"/>
        <v/>
      </c>
    </row>
    <row r="599" spans="1:15" hidden="1">
      <c r="A599" s="1455"/>
      <c r="B599" s="1455"/>
      <c r="C599" s="145" t="str">
        <f t="shared" si="18"/>
        <v/>
      </c>
      <c r="D599" s="150"/>
      <c r="E599" s="923"/>
      <c r="F599" s="923"/>
      <c r="G599" s="934"/>
      <c r="H599" s="934"/>
      <c r="I599" s="934"/>
      <c r="J599" s="934"/>
      <c r="K599" s="934"/>
      <c r="L599" s="934"/>
      <c r="M599" s="934"/>
      <c r="N599" s="929"/>
      <c r="O599" s="933" t="str">
        <f t="shared" si="19"/>
        <v/>
      </c>
    </row>
    <row r="600" spans="1:15" hidden="1">
      <c r="A600" s="1455"/>
      <c r="B600" s="1455"/>
      <c r="C600" s="145" t="str">
        <f t="shared" si="18"/>
        <v/>
      </c>
      <c r="D600" s="150"/>
      <c r="E600" s="923"/>
      <c r="F600" s="923"/>
      <c r="G600" s="934"/>
      <c r="H600" s="934"/>
      <c r="I600" s="934"/>
      <c r="J600" s="934"/>
      <c r="K600" s="934"/>
      <c r="L600" s="934"/>
      <c r="M600" s="934"/>
      <c r="N600" s="929"/>
      <c r="O600" s="933" t="str">
        <f t="shared" si="19"/>
        <v/>
      </c>
    </row>
    <row r="601" spans="1:15" hidden="1">
      <c r="A601" s="1455"/>
      <c r="B601" s="1455"/>
      <c r="C601" s="145" t="str">
        <f t="shared" si="18"/>
        <v/>
      </c>
      <c r="D601" s="150"/>
      <c r="E601" s="923"/>
      <c r="F601" s="923"/>
      <c r="G601" s="934"/>
      <c r="H601" s="934"/>
      <c r="I601" s="934"/>
      <c r="J601" s="934"/>
      <c r="K601" s="934"/>
      <c r="L601" s="934"/>
      <c r="M601" s="934"/>
      <c r="N601" s="929"/>
      <c r="O601" s="933" t="str">
        <f t="shared" si="19"/>
        <v/>
      </c>
    </row>
    <row r="602" spans="1:15" hidden="1">
      <c r="A602" s="1455"/>
      <c r="B602" s="1455"/>
      <c r="C602" s="145" t="str">
        <f t="shared" si="18"/>
        <v/>
      </c>
      <c r="D602" s="150"/>
      <c r="E602" s="923"/>
      <c r="F602" s="923"/>
      <c r="G602" s="934"/>
      <c r="H602" s="934"/>
      <c r="I602" s="934"/>
      <c r="J602" s="934"/>
      <c r="K602" s="934"/>
      <c r="L602" s="934"/>
      <c r="M602" s="934"/>
      <c r="N602" s="929"/>
      <c r="O602" s="933" t="str">
        <f t="shared" si="19"/>
        <v/>
      </c>
    </row>
    <row r="603" spans="1:15" hidden="1">
      <c r="A603" s="1455"/>
      <c r="B603" s="1455"/>
      <c r="C603" s="145" t="str">
        <f t="shared" si="18"/>
        <v/>
      </c>
      <c r="D603" s="150"/>
      <c r="E603" s="923"/>
      <c r="F603" s="923"/>
      <c r="G603" s="934"/>
      <c r="H603" s="934"/>
      <c r="I603" s="934"/>
      <c r="J603" s="934"/>
      <c r="K603" s="934"/>
      <c r="L603" s="934"/>
      <c r="M603" s="934"/>
      <c r="N603" s="929"/>
      <c r="O603" s="933" t="str">
        <f t="shared" si="19"/>
        <v/>
      </c>
    </row>
    <row r="604" spans="1:15" hidden="1">
      <c r="A604" s="1455"/>
      <c r="B604" s="1455"/>
      <c r="C604" s="145" t="str">
        <f t="shared" si="18"/>
        <v/>
      </c>
      <c r="D604" s="150"/>
      <c r="E604" s="923"/>
      <c r="F604" s="923"/>
      <c r="G604" s="934"/>
      <c r="H604" s="934"/>
      <c r="I604" s="934"/>
      <c r="J604" s="934"/>
      <c r="K604" s="934"/>
      <c r="L604" s="934"/>
      <c r="M604" s="934"/>
      <c r="N604" s="929"/>
      <c r="O604" s="933" t="str">
        <f t="shared" si="19"/>
        <v/>
      </c>
    </row>
    <row r="605" spans="1:15" hidden="1">
      <c r="A605" s="1455"/>
      <c r="B605" s="1455"/>
      <c r="C605" s="145" t="str">
        <f t="shared" si="18"/>
        <v/>
      </c>
      <c r="D605" s="150"/>
      <c r="E605" s="923"/>
      <c r="F605" s="923"/>
      <c r="G605" s="934"/>
      <c r="H605" s="934"/>
      <c r="I605" s="934"/>
      <c r="J605" s="934"/>
      <c r="K605" s="934"/>
      <c r="L605" s="934"/>
      <c r="M605" s="934"/>
      <c r="N605" s="929"/>
      <c r="O605" s="933" t="str">
        <f t="shared" si="19"/>
        <v/>
      </c>
    </row>
    <row r="606" spans="1:15" hidden="1">
      <c r="A606" s="1455"/>
      <c r="B606" s="1455"/>
      <c r="C606" s="145" t="str">
        <f t="shared" si="18"/>
        <v/>
      </c>
      <c r="D606" s="150"/>
      <c r="E606" s="923"/>
      <c r="F606" s="923"/>
      <c r="G606" s="934"/>
      <c r="H606" s="934"/>
      <c r="I606" s="934"/>
      <c r="J606" s="934"/>
      <c r="K606" s="934"/>
      <c r="L606" s="934"/>
      <c r="M606" s="934"/>
      <c r="N606" s="929"/>
      <c r="O606" s="933" t="str">
        <f t="shared" si="19"/>
        <v/>
      </c>
    </row>
    <row r="607" spans="1:15" hidden="1">
      <c r="A607" s="1455"/>
      <c r="B607" s="1455"/>
      <c r="C607" s="145" t="str">
        <f t="shared" si="18"/>
        <v/>
      </c>
      <c r="D607" s="150"/>
      <c r="E607" s="923"/>
      <c r="F607" s="923"/>
      <c r="G607" s="934"/>
      <c r="H607" s="934"/>
      <c r="I607" s="934"/>
      <c r="J607" s="934"/>
      <c r="K607" s="934"/>
      <c r="L607" s="934"/>
      <c r="M607" s="934"/>
      <c r="N607" s="929"/>
      <c r="O607" s="933" t="str">
        <f t="shared" si="19"/>
        <v/>
      </c>
    </row>
    <row r="608" spans="1:15" hidden="1">
      <c r="A608" s="1455"/>
      <c r="B608" s="1455"/>
      <c r="C608" s="145" t="str">
        <f t="shared" si="18"/>
        <v/>
      </c>
      <c r="D608" s="150"/>
      <c r="E608" s="923"/>
      <c r="F608" s="923"/>
      <c r="G608" s="934"/>
      <c r="H608" s="934"/>
      <c r="I608" s="934"/>
      <c r="J608" s="934"/>
      <c r="K608" s="934"/>
      <c r="L608" s="934"/>
      <c r="M608" s="934"/>
      <c r="N608" s="929"/>
      <c r="O608" s="933" t="str">
        <f t="shared" si="19"/>
        <v/>
      </c>
    </row>
    <row r="609" spans="1:15" hidden="1">
      <c r="A609" s="1455"/>
      <c r="B609" s="1455"/>
      <c r="C609" s="145" t="str">
        <f t="shared" si="18"/>
        <v/>
      </c>
      <c r="D609" s="150"/>
      <c r="E609" s="923"/>
      <c r="F609" s="923"/>
      <c r="G609" s="934"/>
      <c r="H609" s="934"/>
      <c r="I609" s="934"/>
      <c r="J609" s="934"/>
      <c r="K609" s="934"/>
      <c r="L609" s="934"/>
      <c r="M609" s="934"/>
      <c r="N609" s="929"/>
      <c r="O609" s="933" t="str">
        <f t="shared" si="19"/>
        <v/>
      </c>
    </row>
    <row r="610" spans="1:15" hidden="1">
      <c r="A610" s="1455"/>
      <c r="B610" s="1455"/>
      <c r="C610" s="145" t="str">
        <f t="shared" si="18"/>
        <v/>
      </c>
      <c r="D610" s="150"/>
      <c r="E610" s="923"/>
      <c r="F610" s="923"/>
      <c r="G610" s="934"/>
      <c r="H610" s="934"/>
      <c r="I610" s="934"/>
      <c r="J610" s="934"/>
      <c r="K610" s="934"/>
      <c r="L610" s="934"/>
      <c r="M610" s="934"/>
      <c r="N610" s="929"/>
      <c r="O610" s="933" t="str">
        <f t="shared" si="19"/>
        <v/>
      </c>
    </row>
    <row r="611" spans="1:15" hidden="1">
      <c r="A611" s="1455"/>
      <c r="B611" s="1455"/>
      <c r="C611" s="145" t="str">
        <f t="shared" si="18"/>
        <v/>
      </c>
      <c r="D611" s="150"/>
      <c r="E611" s="923"/>
      <c r="F611" s="923"/>
      <c r="G611" s="934"/>
      <c r="H611" s="934"/>
      <c r="I611" s="934"/>
      <c r="J611" s="934"/>
      <c r="K611" s="934"/>
      <c r="L611" s="934"/>
      <c r="M611" s="934"/>
      <c r="N611" s="929"/>
      <c r="O611" s="933" t="str">
        <f t="shared" si="19"/>
        <v/>
      </c>
    </row>
    <row r="612" spans="1:15" hidden="1">
      <c r="A612" s="1455"/>
      <c r="B612" s="1455"/>
      <c r="C612" s="145" t="str">
        <f t="shared" si="18"/>
        <v/>
      </c>
      <c r="D612" s="150"/>
      <c r="E612" s="923"/>
      <c r="F612" s="923"/>
      <c r="G612" s="934"/>
      <c r="H612" s="934"/>
      <c r="I612" s="934"/>
      <c r="J612" s="934"/>
      <c r="K612" s="934"/>
      <c r="L612" s="934"/>
      <c r="M612" s="934"/>
      <c r="N612" s="929"/>
      <c r="O612" s="933" t="str">
        <f t="shared" si="19"/>
        <v/>
      </c>
    </row>
    <row r="613" spans="1:15" hidden="1">
      <c r="A613" s="1455"/>
      <c r="B613" s="1455"/>
      <c r="C613" s="145" t="str">
        <f t="shared" si="18"/>
        <v/>
      </c>
      <c r="D613" s="150"/>
      <c r="E613" s="923"/>
      <c r="F613" s="923"/>
      <c r="G613" s="934"/>
      <c r="H613" s="934"/>
      <c r="I613" s="934"/>
      <c r="J613" s="934"/>
      <c r="K613" s="934"/>
      <c r="L613" s="934"/>
      <c r="M613" s="934"/>
      <c r="N613" s="929"/>
      <c r="O613" s="933" t="str">
        <f t="shared" si="19"/>
        <v/>
      </c>
    </row>
    <row r="614" spans="1:15" hidden="1">
      <c r="A614" s="1455"/>
      <c r="B614" s="1455"/>
      <c r="C614" s="145" t="str">
        <f t="shared" si="18"/>
        <v/>
      </c>
      <c r="D614" s="150"/>
      <c r="E614" s="923"/>
      <c r="F614" s="923"/>
      <c r="G614" s="934"/>
      <c r="H614" s="934"/>
      <c r="I614" s="934"/>
      <c r="J614" s="934"/>
      <c r="K614" s="934"/>
      <c r="L614" s="934"/>
      <c r="M614" s="934"/>
      <c r="N614" s="929"/>
      <c r="O614" s="933" t="str">
        <f t="shared" si="19"/>
        <v/>
      </c>
    </row>
    <row r="615" spans="1:15" hidden="1">
      <c r="A615" s="1455"/>
      <c r="B615" s="1455"/>
      <c r="C615" s="145" t="str">
        <f t="shared" si="18"/>
        <v/>
      </c>
      <c r="D615" s="150"/>
      <c r="E615" s="923"/>
      <c r="F615" s="923"/>
      <c r="G615" s="934"/>
      <c r="H615" s="934"/>
      <c r="I615" s="934"/>
      <c r="J615" s="934"/>
      <c r="K615" s="934"/>
      <c r="L615" s="934"/>
      <c r="M615" s="934"/>
      <c r="N615" s="929"/>
      <c r="O615" s="933" t="str">
        <f t="shared" si="19"/>
        <v/>
      </c>
    </row>
    <row r="616" spans="1:15" hidden="1">
      <c r="A616" s="1455"/>
      <c r="B616" s="1455"/>
      <c r="C616" s="145" t="str">
        <f t="shared" si="18"/>
        <v/>
      </c>
      <c r="D616" s="150"/>
      <c r="E616" s="923"/>
      <c r="F616" s="923"/>
      <c r="G616" s="934"/>
      <c r="H616" s="934"/>
      <c r="I616" s="934"/>
      <c r="J616" s="934"/>
      <c r="K616" s="934"/>
      <c r="L616" s="934"/>
      <c r="M616" s="934"/>
      <c r="N616" s="929"/>
      <c r="O616" s="933" t="str">
        <f t="shared" si="19"/>
        <v/>
      </c>
    </row>
    <row r="617" spans="1:15" hidden="1">
      <c r="A617" s="1455"/>
      <c r="B617" s="1455"/>
      <c r="C617" s="145" t="str">
        <f t="shared" si="18"/>
        <v/>
      </c>
      <c r="D617" s="150"/>
      <c r="E617" s="923"/>
      <c r="F617" s="923"/>
      <c r="G617" s="934"/>
      <c r="H617" s="934"/>
      <c r="I617" s="934"/>
      <c r="J617" s="934"/>
      <c r="K617" s="934"/>
      <c r="L617" s="934"/>
      <c r="M617" s="934"/>
      <c r="N617" s="929"/>
      <c r="O617" s="933" t="str">
        <f t="shared" si="19"/>
        <v/>
      </c>
    </row>
    <row r="618" spans="1:15" hidden="1">
      <c r="A618" s="1455"/>
      <c r="B618" s="1455"/>
      <c r="C618" s="145" t="str">
        <f t="shared" si="18"/>
        <v/>
      </c>
      <c r="D618" s="150"/>
      <c r="E618" s="923"/>
      <c r="F618" s="923"/>
      <c r="G618" s="934"/>
      <c r="H618" s="934"/>
      <c r="I618" s="934"/>
      <c r="J618" s="934"/>
      <c r="K618" s="934"/>
      <c r="L618" s="934"/>
      <c r="M618" s="934"/>
      <c r="N618" s="929"/>
      <c r="O618" s="933" t="str">
        <f t="shared" si="19"/>
        <v/>
      </c>
    </row>
    <row r="619" spans="1:15" hidden="1">
      <c r="A619" s="1455"/>
      <c r="B619" s="1455"/>
      <c r="C619" s="145" t="str">
        <f t="shared" si="18"/>
        <v/>
      </c>
      <c r="D619" s="150"/>
      <c r="E619" s="923"/>
      <c r="F619" s="923"/>
      <c r="G619" s="934"/>
      <c r="H619" s="934"/>
      <c r="I619" s="934"/>
      <c r="J619" s="934"/>
      <c r="K619" s="934"/>
      <c r="L619" s="934"/>
      <c r="M619" s="934"/>
      <c r="N619" s="929"/>
      <c r="O619" s="933" t="str">
        <f t="shared" si="19"/>
        <v/>
      </c>
    </row>
    <row r="620" spans="1:15" hidden="1">
      <c r="A620" s="1455"/>
      <c r="B620" s="1455"/>
      <c r="C620" s="145" t="str">
        <f t="shared" si="18"/>
        <v/>
      </c>
      <c r="D620" s="150"/>
      <c r="E620" s="923"/>
      <c r="F620" s="923"/>
      <c r="G620" s="934"/>
      <c r="H620" s="934"/>
      <c r="I620" s="934"/>
      <c r="J620" s="934"/>
      <c r="K620" s="934"/>
      <c r="L620" s="934"/>
      <c r="M620" s="934"/>
      <c r="N620" s="929"/>
      <c r="O620" s="933" t="str">
        <f t="shared" si="19"/>
        <v/>
      </c>
    </row>
    <row r="621" spans="1:15" hidden="1">
      <c r="A621" s="1455"/>
      <c r="B621" s="1455"/>
      <c r="C621" s="145" t="str">
        <f t="shared" si="18"/>
        <v/>
      </c>
      <c r="D621" s="150"/>
      <c r="E621" s="923"/>
      <c r="F621" s="923"/>
      <c r="G621" s="934"/>
      <c r="H621" s="934"/>
      <c r="I621" s="934"/>
      <c r="J621" s="934"/>
      <c r="K621" s="934"/>
      <c r="L621" s="934"/>
      <c r="M621" s="934"/>
      <c r="N621" s="929"/>
      <c r="O621" s="933" t="str">
        <f t="shared" si="19"/>
        <v/>
      </c>
    </row>
    <row r="622" spans="1:15" hidden="1">
      <c r="A622" s="1455"/>
      <c r="B622" s="1455"/>
      <c r="C622" s="145" t="str">
        <f t="shared" si="18"/>
        <v/>
      </c>
      <c r="D622" s="150"/>
      <c r="E622" s="923"/>
      <c r="F622" s="923"/>
      <c r="G622" s="934"/>
      <c r="H622" s="934"/>
      <c r="I622" s="934"/>
      <c r="J622" s="934"/>
      <c r="K622" s="934"/>
      <c r="L622" s="934"/>
      <c r="M622" s="934"/>
      <c r="N622" s="929"/>
      <c r="O622" s="933" t="str">
        <f t="shared" si="19"/>
        <v/>
      </c>
    </row>
    <row r="623" spans="1:15" hidden="1">
      <c r="A623" s="1455"/>
      <c r="B623" s="1455"/>
      <c r="C623" s="145" t="str">
        <f t="shared" si="18"/>
        <v/>
      </c>
      <c r="D623" s="150"/>
      <c r="E623" s="923"/>
      <c r="F623" s="923"/>
      <c r="G623" s="934"/>
      <c r="H623" s="934"/>
      <c r="I623" s="934"/>
      <c r="J623" s="934"/>
      <c r="K623" s="934"/>
      <c r="L623" s="934"/>
      <c r="M623" s="934"/>
      <c r="N623" s="929"/>
      <c r="O623" s="933" t="str">
        <f t="shared" si="19"/>
        <v/>
      </c>
    </row>
    <row r="624" spans="1:15" hidden="1">
      <c r="A624" s="1455"/>
      <c r="B624" s="1455"/>
      <c r="C624" s="145" t="str">
        <f t="shared" si="18"/>
        <v/>
      </c>
      <c r="D624" s="150"/>
      <c r="E624" s="923"/>
      <c r="F624" s="923"/>
      <c r="G624" s="934"/>
      <c r="H624" s="934"/>
      <c r="I624" s="934"/>
      <c r="J624" s="934"/>
      <c r="K624" s="934"/>
      <c r="L624" s="934"/>
      <c r="M624" s="934"/>
      <c r="N624" s="929"/>
      <c r="O624" s="933" t="str">
        <f t="shared" si="19"/>
        <v/>
      </c>
    </row>
    <row r="625" spans="1:15" hidden="1">
      <c r="A625" s="1455"/>
      <c r="B625" s="1455"/>
      <c r="C625" s="145" t="str">
        <f t="shared" si="18"/>
        <v/>
      </c>
      <c r="D625" s="150"/>
      <c r="E625" s="923"/>
      <c r="F625" s="923"/>
      <c r="G625" s="934"/>
      <c r="H625" s="934"/>
      <c r="I625" s="934"/>
      <c r="J625" s="934"/>
      <c r="K625" s="934"/>
      <c r="L625" s="934"/>
      <c r="M625" s="934"/>
      <c r="N625" s="929"/>
      <c r="O625" s="933" t="str">
        <f t="shared" si="19"/>
        <v/>
      </c>
    </row>
    <row r="626" spans="1:15" hidden="1">
      <c r="A626" s="1455"/>
      <c r="B626" s="1455"/>
      <c r="C626" s="145" t="str">
        <f t="shared" si="18"/>
        <v/>
      </c>
      <c r="D626" s="150"/>
      <c r="E626" s="923"/>
      <c r="F626" s="923"/>
      <c r="G626" s="934"/>
      <c r="H626" s="934"/>
      <c r="I626" s="934"/>
      <c r="J626" s="934"/>
      <c r="K626" s="934"/>
      <c r="L626" s="934"/>
      <c r="M626" s="934"/>
      <c r="N626" s="929"/>
      <c r="O626" s="933" t="str">
        <f t="shared" si="19"/>
        <v/>
      </c>
    </row>
    <row r="627" spans="1:15" hidden="1">
      <c r="A627" s="1455"/>
      <c r="B627" s="1455"/>
      <c r="C627" s="145" t="str">
        <f t="shared" si="18"/>
        <v/>
      </c>
      <c r="D627" s="150"/>
      <c r="E627" s="923"/>
      <c r="F627" s="923"/>
      <c r="G627" s="934"/>
      <c r="H627" s="934"/>
      <c r="I627" s="934"/>
      <c r="J627" s="934"/>
      <c r="K627" s="934"/>
      <c r="L627" s="934"/>
      <c r="M627" s="934"/>
      <c r="N627" s="929"/>
      <c r="O627" s="933" t="str">
        <f t="shared" si="19"/>
        <v/>
      </c>
    </row>
    <row r="628" spans="1:15" hidden="1">
      <c r="A628" s="1455"/>
      <c r="B628" s="1455"/>
      <c r="C628" s="145" t="str">
        <f t="shared" si="18"/>
        <v/>
      </c>
      <c r="D628" s="150"/>
      <c r="E628" s="923"/>
      <c r="F628" s="923"/>
      <c r="G628" s="934"/>
      <c r="H628" s="934"/>
      <c r="I628" s="934"/>
      <c r="J628" s="934"/>
      <c r="K628" s="934"/>
      <c r="L628" s="934"/>
      <c r="M628" s="934"/>
      <c r="N628" s="929"/>
      <c r="O628" s="933" t="str">
        <f t="shared" si="19"/>
        <v/>
      </c>
    </row>
    <row r="629" spans="1:15" hidden="1">
      <c r="A629" s="1455"/>
      <c r="B629" s="1455"/>
      <c r="C629" s="145" t="str">
        <f t="shared" si="18"/>
        <v/>
      </c>
      <c r="D629" s="150"/>
      <c r="E629" s="923"/>
      <c r="F629" s="923"/>
      <c r="G629" s="934"/>
      <c r="H629" s="934"/>
      <c r="I629" s="934"/>
      <c r="J629" s="934"/>
      <c r="K629" s="934"/>
      <c r="L629" s="934"/>
      <c r="M629" s="934"/>
      <c r="N629" s="929"/>
      <c r="O629" s="933" t="str">
        <f t="shared" si="19"/>
        <v/>
      </c>
    </row>
    <row r="630" spans="1:15" hidden="1">
      <c r="A630" s="1455"/>
      <c r="B630" s="1455"/>
      <c r="C630" s="145" t="str">
        <f t="shared" si="18"/>
        <v/>
      </c>
      <c r="D630" s="150"/>
      <c r="E630" s="923"/>
      <c r="F630" s="923"/>
      <c r="G630" s="934"/>
      <c r="H630" s="934"/>
      <c r="I630" s="934"/>
      <c r="J630" s="934"/>
      <c r="K630" s="934"/>
      <c r="L630" s="934"/>
      <c r="M630" s="934"/>
      <c r="N630" s="929"/>
      <c r="O630" s="933" t="str">
        <f t="shared" si="19"/>
        <v/>
      </c>
    </row>
    <row r="631" spans="1:15" hidden="1">
      <c r="A631" s="1455"/>
      <c r="B631" s="1455"/>
      <c r="C631" s="145" t="str">
        <f t="shared" si="18"/>
        <v/>
      </c>
      <c r="D631" s="150"/>
      <c r="E631" s="923"/>
      <c r="F631" s="923"/>
      <c r="G631" s="934"/>
      <c r="H631" s="934"/>
      <c r="I631" s="934"/>
      <c r="J631" s="934"/>
      <c r="K631" s="934"/>
      <c r="L631" s="934"/>
      <c r="M631" s="934"/>
      <c r="N631" s="929"/>
      <c r="O631" s="933" t="str">
        <f t="shared" si="19"/>
        <v/>
      </c>
    </row>
    <row r="632" spans="1:15" hidden="1">
      <c r="A632" s="1455"/>
      <c r="B632" s="1455"/>
      <c r="C632" s="145" t="str">
        <f t="shared" si="18"/>
        <v/>
      </c>
      <c r="D632" s="150"/>
      <c r="E632" s="923"/>
      <c r="F632" s="923"/>
      <c r="G632" s="934"/>
      <c r="H632" s="934"/>
      <c r="I632" s="934"/>
      <c r="J632" s="934"/>
      <c r="K632" s="934"/>
      <c r="L632" s="934"/>
      <c r="M632" s="934"/>
      <c r="N632" s="929"/>
      <c r="O632" s="933" t="str">
        <f t="shared" si="19"/>
        <v/>
      </c>
    </row>
    <row r="633" spans="1:15" hidden="1">
      <c r="A633" s="1455"/>
      <c r="B633" s="1455"/>
      <c r="C633" s="145" t="str">
        <f t="shared" si="18"/>
        <v/>
      </c>
      <c r="D633" s="150"/>
      <c r="E633" s="923"/>
      <c r="F633" s="923"/>
      <c r="G633" s="934"/>
      <c r="H633" s="934"/>
      <c r="I633" s="934"/>
      <c r="J633" s="934"/>
      <c r="K633" s="934"/>
      <c r="L633" s="934"/>
      <c r="M633" s="934"/>
      <c r="N633" s="929"/>
      <c r="O633" s="933" t="str">
        <f t="shared" si="19"/>
        <v/>
      </c>
    </row>
    <row r="634" spans="1:15" hidden="1">
      <c r="A634" s="1455"/>
      <c r="B634" s="1455"/>
      <c r="C634" s="145" t="str">
        <f t="shared" si="18"/>
        <v/>
      </c>
      <c r="D634" s="150"/>
      <c r="E634" s="923"/>
      <c r="F634" s="923"/>
      <c r="G634" s="934"/>
      <c r="H634" s="934"/>
      <c r="I634" s="934"/>
      <c r="J634" s="934"/>
      <c r="K634" s="934"/>
      <c r="L634" s="934"/>
      <c r="M634" s="934"/>
      <c r="N634" s="929"/>
      <c r="O634" s="933" t="str">
        <f t="shared" si="19"/>
        <v/>
      </c>
    </row>
    <row r="635" spans="1:15" hidden="1">
      <c r="A635" s="1455"/>
      <c r="B635" s="1455"/>
      <c r="C635" s="145" t="str">
        <f t="shared" si="18"/>
        <v/>
      </c>
      <c r="D635" s="150"/>
      <c r="E635" s="923"/>
      <c r="F635" s="923"/>
      <c r="G635" s="934"/>
      <c r="H635" s="934"/>
      <c r="I635" s="934"/>
      <c r="J635" s="934"/>
      <c r="K635" s="934"/>
      <c r="L635" s="934"/>
      <c r="M635" s="934"/>
      <c r="N635" s="929"/>
      <c r="O635" s="933" t="str">
        <f t="shared" si="19"/>
        <v/>
      </c>
    </row>
    <row r="636" spans="1:15" hidden="1">
      <c r="A636" s="1455"/>
      <c r="B636" s="1455"/>
      <c r="C636" s="145" t="str">
        <f t="shared" si="18"/>
        <v/>
      </c>
      <c r="D636" s="150"/>
      <c r="E636" s="923"/>
      <c r="F636" s="923"/>
      <c r="G636" s="934"/>
      <c r="H636" s="934"/>
      <c r="I636" s="934"/>
      <c r="J636" s="934"/>
      <c r="K636" s="934"/>
      <c r="L636" s="934"/>
      <c r="M636" s="934"/>
      <c r="N636" s="929"/>
      <c r="O636" s="933" t="str">
        <f t="shared" si="19"/>
        <v/>
      </c>
    </row>
    <row r="637" spans="1:15" hidden="1">
      <c r="A637" s="1455"/>
      <c r="B637" s="1455"/>
      <c r="C637" s="145" t="str">
        <f t="shared" si="18"/>
        <v/>
      </c>
      <c r="D637" s="150"/>
      <c r="E637" s="923"/>
      <c r="F637" s="923"/>
      <c r="G637" s="934"/>
      <c r="H637" s="934"/>
      <c r="I637" s="934"/>
      <c r="J637" s="934"/>
      <c r="K637" s="934"/>
      <c r="L637" s="934"/>
      <c r="M637" s="934"/>
      <c r="N637" s="929"/>
      <c r="O637" s="933" t="str">
        <f t="shared" si="19"/>
        <v/>
      </c>
    </row>
    <row r="638" spans="1:15" hidden="1">
      <c r="A638" s="1455"/>
      <c r="B638" s="1455"/>
      <c r="C638" s="145" t="str">
        <f t="shared" si="18"/>
        <v/>
      </c>
      <c r="D638" s="150"/>
      <c r="E638" s="923"/>
      <c r="F638" s="923"/>
      <c r="G638" s="934"/>
      <c r="H638" s="934"/>
      <c r="I638" s="934"/>
      <c r="J638" s="934"/>
      <c r="K638" s="934"/>
      <c r="L638" s="934"/>
      <c r="M638" s="934"/>
      <c r="N638" s="929"/>
      <c r="O638" s="933" t="str">
        <f t="shared" si="19"/>
        <v/>
      </c>
    </row>
    <row r="639" spans="1:15" hidden="1">
      <c r="A639" s="1455"/>
      <c r="B639" s="1455"/>
      <c r="C639" s="145" t="str">
        <f t="shared" si="18"/>
        <v/>
      </c>
      <c r="D639" s="150"/>
      <c r="E639" s="923"/>
      <c r="F639" s="923"/>
      <c r="G639" s="934"/>
      <c r="H639" s="934"/>
      <c r="I639" s="934"/>
      <c r="J639" s="934"/>
      <c r="K639" s="934"/>
      <c r="L639" s="934"/>
      <c r="M639" s="934"/>
      <c r="N639" s="929"/>
      <c r="O639" s="933" t="str">
        <f t="shared" si="19"/>
        <v/>
      </c>
    </row>
    <row r="640" spans="1:15" hidden="1">
      <c r="A640" s="1455"/>
      <c r="B640" s="1455"/>
      <c r="C640" s="145" t="str">
        <f t="shared" si="18"/>
        <v/>
      </c>
      <c r="D640" s="150"/>
      <c r="E640" s="923"/>
      <c r="F640" s="923"/>
      <c r="G640" s="934"/>
      <c r="H640" s="934"/>
      <c r="I640" s="934"/>
      <c r="J640" s="934"/>
      <c r="K640" s="934"/>
      <c r="L640" s="934"/>
      <c r="M640" s="934"/>
      <c r="N640" s="929"/>
      <c r="O640" s="933" t="str">
        <f t="shared" si="19"/>
        <v/>
      </c>
    </row>
    <row r="641" spans="1:15" hidden="1">
      <c r="A641" s="1455"/>
      <c r="B641" s="1455"/>
      <c r="C641" s="145" t="str">
        <f t="shared" si="18"/>
        <v/>
      </c>
      <c r="D641" s="150"/>
      <c r="E641" s="923"/>
      <c r="F641" s="923"/>
      <c r="G641" s="934"/>
      <c r="H641" s="934"/>
      <c r="I641" s="934"/>
      <c r="J641" s="934"/>
      <c r="K641" s="934"/>
      <c r="L641" s="934"/>
      <c r="M641" s="934"/>
      <c r="N641" s="929"/>
      <c r="O641" s="933" t="str">
        <f t="shared" si="19"/>
        <v/>
      </c>
    </row>
    <row r="642" spans="1:15" hidden="1">
      <c r="A642" s="1455"/>
      <c r="B642" s="1455"/>
      <c r="C642" s="145" t="str">
        <f t="shared" si="18"/>
        <v/>
      </c>
      <c r="D642" s="150"/>
      <c r="E642" s="923"/>
      <c r="F642" s="923"/>
      <c r="G642" s="934"/>
      <c r="H642" s="934"/>
      <c r="I642" s="934"/>
      <c r="J642" s="934"/>
      <c r="K642" s="934"/>
      <c r="L642" s="934"/>
      <c r="M642" s="934"/>
      <c r="N642" s="929"/>
      <c r="O642" s="933" t="str">
        <f t="shared" si="19"/>
        <v/>
      </c>
    </row>
    <row r="643" spans="1:15" hidden="1">
      <c r="A643" s="1455"/>
      <c r="B643" s="1455"/>
      <c r="C643" s="145" t="str">
        <f t="shared" si="18"/>
        <v/>
      </c>
      <c r="D643" s="150"/>
      <c r="E643" s="923"/>
      <c r="F643" s="923"/>
      <c r="G643" s="934"/>
      <c r="H643" s="934"/>
      <c r="I643" s="934"/>
      <c r="J643" s="934"/>
      <c r="K643" s="934"/>
      <c r="L643" s="934"/>
      <c r="M643" s="934"/>
      <c r="N643" s="929"/>
      <c r="O643" s="933" t="str">
        <f t="shared" si="19"/>
        <v/>
      </c>
    </row>
    <row r="644" spans="1:15" hidden="1">
      <c r="A644" s="1455"/>
      <c r="B644" s="1455"/>
      <c r="C644" s="145" t="str">
        <f t="shared" si="18"/>
        <v/>
      </c>
      <c r="D644" s="150"/>
      <c r="E644" s="923"/>
      <c r="F644" s="923"/>
      <c r="G644" s="934"/>
      <c r="H644" s="934"/>
      <c r="I644" s="934"/>
      <c r="J644" s="934"/>
      <c r="K644" s="934"/>
      <c r="L644" s="934"/>
      <c r="M644" s="934"/>
      <c r="N644" s="929"/>
      <c r="O644" s="933" t="str">
        <f t="shared" si="19"/>
        <v/>
      </c>
    </row>
    <row r="645" spans="1:15" hidden="1">
      <c r="A645" s="1455"/>
      <c r="B645" s="1455"/>
      <c r="C645" s="145" t="str">
        <f t="shared" si="18"/>
        <v/>
      </c>
      <c r="D645" s="150"/>
      <c r="E645" s="923"/>
      <c r="F645" s="923"/>
      <c r="G645" s="934"/>
      <c r="H645" s="934"/>
      <c r="I645" s="934"/>
      <c r="J645" s="934"/>
      <c r="K645" s="934"/>
      <c r="L645" s="934"/>
      <c r="M645" s="934"/>
      <c r="N645" s="929"/>
      <c r="O645" s="933" t="str">
        <f t="shared" si="19"/>
        <v/>
      </c>
    </row>
    <row r="646" spans="1:15" hidden="1">
      <c r="A646" s="1455"/>
      <c r="B646" s="1455"/>
      <c r="C646" s="145" t="str">
        <f t="shared" si="18"/>
        <v/>
      </c>
      <c r="D646" s="150"/>
      <c r="E646" s="923"/>
      <c r="F646" s="923"/>
      <c r="G646" s="934"/>
      <c r="H646" s="934"/>
      <c r="I646" s="934"/>
      <c r="J646" s="934"/>
      <c r="K646" s="934"/>
      <c r="L646" s="934"/>
      <c r="M646" s="934"/>
      <c r="N646" s="929"/>
      <c r="O646" s="933" t="str">
        <f t="shared" si="19"/>
        <v/>
      </c>
    </row>
    <row r="647" spans="1:15" hidden="1">
      <c r="A647" s="1455"/>
      <c r="B647" s="1455"/>
      <c r="C647" s="145" t="str">
        <f t="shared" si="18"/>
        <v/>
      </c>
      <c r="D647" s="150"/>
      <c r="E647" s="923"/>
      <c r="F647" s="923"/>
      <c r="G647" s="934"/>
      <c r="H647" s="934"/>
      <c r="I647" s="934"/>
      <c r="J647" s="934"/>
      <c r="K647" s="934"/>
      <c r="L647" s="934"/>
      <c r="M647" s="934"/>
      <c r="N647" s="929"/>
      <c r="O647" s="933" t="str">
        <f t="shared" si="19"/>
        <v/>
      </c>
    </row>
    <row r="648" spans="1:15" hidden="1">
      <c r="A648" s="1455"/>
      <c r="B648" s="1455"/>
      <c r="C648" s="145" t="str">
        <f t="shared" si="18"/>
        <v/>
      </c>
      <c r="D648" s="150"/>
      <c r="E648" s="923"/>
      <c r="F648" s="923"/>
      <c r="G648" s="934"/>
      <c r="H648" s="934"/>
      <c r="I648" s="934"/>
      <c r="J648" s="934"/>
      <c r="K648" s="934"/>
      <c r="L648" s="934"/>
      <c r="M648" s="934"/>
      <c r="N648" s="929"/>
      <c r="O648" s="933" t="str">
        <f t="shared" si="19"/>
        <v/>
      </c>
    </row>
    <row r="649" spans="1:15" hidden="1">
      <c r="A649" s="1455"/>
      <c r="B649" s="1455"/>
      <c r="C649" s="145" t="str">
        <f t="shared" si="18"/>
        <v/>
      </c>
      <c r="D649" s="150"/>
      <c r="E649" s="923"/>
      <c r="F649" s="923"/>
      <c r="G649" s="934"/>
      <c r="H649" s="934"/>
      <c r="I649" s="934"/>
      <c r="J649" s="934"/>
      <c r="K649" s="934"/>
      <c r="L649" s="934"/>
      <c r="M649" s="934"/>
      <c r="N649" s="929"/>
      <c r="O649" s="933" t="str">
        <f t="shared" si="19"/>
        <v/>
      </c>
    </row>
    <row r="650" spans="1:15" hidden="1">
      <c r="A650" s="1455"/>
      <c r="B650" s="1455"/>
      <c r="C650" s="145" t="str">
        <f t="shared" si="18"/>
        <v/>
      </c>
      <c r="D650" s="150"/>
      <c r="E650" s="923"/>
      <c r="F650" s="923"/>
      <c r="G650" s="934"/>
      <c r="H650" s="934"/>
      <c r="I650" s="934"/>
      <c r="J650" s="934"/>
      <c r="K650" s="934"/>
      <c r="L650" s="934"/>
      <c r="M650" s="934"/>
      <c r="N650" s="929"/>
      <c r="O650" s="933" t="str">
        <f t="shared" si="19"/>
        <v/>
      </c>
    </row>
    <row r="651" spans="1:15" hidden="1">
      <c r="A651" s="1455"/>
      <c r="B651" s="1455"/>
      <c r="C651" s="145" t="str">
        <f t="shared" si="18"/>
        <v/>
      </c>
      <c r="D651" s="150"/>
      <c r="E651" s="923"/>
      <c r="F651" s="923"/>
      <c r="G651" s="934"/>
      <c r="H651" s="934"/>
      <c r="I651" s="934"/>
      <c r="J651" s="934"/>
      <c r="K651" s="934"/>
      <c r="L651" s="934"/>
      <c r="M651" s="934"/>
      <c r="N651" s="929"/>
      <c r="O651" s="933" t="str">
        <f t="shared" si="19"/>
        <v/>
      </c>
    </row>
    <row r="652" spans="1:15" hidden="1">
      <c r="A652" s="1455"/>
      <c r="B652" s="1455"/>
      <c r="C652" s="145" t="str">
        <f t="shared" si="18"/>
        <v/>
      </c>
      <c r="D652" s="150"/>
      <c r="E652" s="923"/>
      <c r="F652" s="923"/>
      <c r="G652" s="934"/>
      <c r="H652" s="934"/>
      <c r="I652" s="934"/>
      <c r="J652" s="934"/>
      <c r="K652" s="934"/>
      <c r="L652" s="934"/>
      <c r="M652" s="934"/>
      <c r="N652" s="929"/>
      <c r="O652" s="933" t="str">
        <f t="shared" si="19"/>
        <v/>
      </c>
    </row>
    <row r="653" spans="1:15" hidden="1">
      <c r="A653" s="1455"/>
      <c r="B653" s="1455"/>
      <c r="C653" s="145" t="str">
        <f t="shared" si="18"/>
        <v/>
      </c>
      <c r="D653" s="150"/>
      <c r="E653" s="923"/>
      <c r="F653" s="923"/>
      <c r="G653" s="934"/>
      <c r="H653" s="934"/>
      <c r="I653" s="934"/>
      <c r="J653" s="934"/>
      <c r="K653" s="934"/>
      <c r="L653" s="934"/>
      <c r="M653" s="934"/>
      <c r="N653" s="929"/>
      <c r="O653" s="933" t="str">
        <f t="shared" si="19"/>
        <v/>
      </c>
    </row>
    <row r="654" spans="1:15" hidden="1">
      <c r="A654" s="1455"/>
      <c r="B654" s="1455"/>
      <c r="C654" s="145" t="str">
        <f t="shared" si="18"/>
        <v/>
      </c>
      <c r="D654" s="150"/>
      <c r="E654" s="923"/>
      <c r="F654" s="923"/>
      <c r="G654" s="934"/>
      <c r="H654" s="934"/>
      <c r="I654" s="934"/>
      <c r="J654" s="934"/>
      <c r="K654" s="934"/>
      <c r="L654" s="934"/>
      <c r="M654" s="934"/>
      <c r="N654" s="929"/>
      <c r="O654" s="933" t="str">
        <f t="shared" si="19"/>
        <v/>
      </c>
    </row>
    <row r="655" spans="1:15" hidden="1">
      <c r="A655" s="1455"/>
      <c r="B655" s="1455"/>
      <c r="C655" s="145" t="str">
        <f t="shared" si="18"/>
        <v/>
      </c>
      <c r="D655" s="150"/>
      <c r="E655" s="923"/>
      <c r="F655" s="923"/>
      <c r="G655" s="934"/>
      <c r="H655" s="934"/>
      <c r="I655" s="934"/>
      <c r="J655" s="934"/>
      <c r="K655" s="934"/>
      <c r="L655" s="934"/>
      <c r="M655" s="934"/>
      <c r="N655" s="929"/>
      <c r="O655" s="933" t="str">
        <f t="shared" si="19"/>
        <v/>
      </c>
    </row>
    <row r="656" spans="1:15" hidden="1">
      <c r="A656" s="1455"/>
      <c r="B656" s="1455"/>
      <c r="C656" s="145" t="str">
        <f t="shared" si="18"/>
        <v/>
      </c>
      <c r="D656" s="150"/>
      <c r="E656" s="923"/>
      <c r="F656" s="923"/>
      <c r="G656" s="934"/>
      <c r="H656" s="934"/>
      <c r="I656" s="934"/>
      <c r="J656" s="934"/>
      <c r="K656" s="934"/>
      <c r="L656" s="934"/>
      <c r="M656" s="934"/>
      <c r="N656" s="929"/>
      <c r="O656" s="933" t="str">
        <f t="shared" si="19"/>
        <v/>
      </c>
    </row>
    <row r="657" spans="1:15" hidden="1">
      <c r="A657" s="1455"/>
      <c r="B657" s="1455"/>
      <c r="C657" s="145" t="str">
        <f t="shared" ref="C657:C704" si="20">IF(A657&lt;&gt;"",ROW(),"")</f>
        <v/>
      </c>
      <c r="D657" s="150"/>
      <c r="E657" s="923"/>
      <c r="F657" s="923"/>
      <c r="G657" s="934"/>
      <c r="H657" s="934"/>
      <c r="I657" s="934"/>
      <c r="J657" s="934"/>
      <c r="K657" s="934"/>
      <c r="L657" s="934"/>
      <c r="M657" s="934"/>
      <c r="N657" s="929"/>
      <c r="O657" s="933" t="str">
        <f t="shared" ref="O657:O705" si="21">IF(A657&lt;&gt;"",A657,"")</f>
        <v/>
      </c>
    </row>
    <row r="658" spans="1:15" hidden="1">
      <c r="A658" s="1455"/>
      <c r="B658" s="1455"/>
      <c r="C658" s="145" t="str">
        <f t="shared" si="20"/>
        <v/>
      </c>
      <c r="D658" s="150"/>
      <c r="E658" s="923"/>
      <c r="F658" s="923"/>
      <c r="G658" s="934"/>
      <c r="H658" s="934"/>
      <c r="I658" s="934"/>
      <c r="J658" s="934"/>
      <c r="K658" s="934"/>
      <c r="L658" s="934"/>
      <c r="M658" s="934"/>
      <c r="N658" s="929"/>
      <c r="O658" s="933" t="str">
        <f t="shared" si="21"/>
        <v/>
      </c>
    </row>
    <row r="659" spans="1:15" hidden="1">
      <c r="A659" s="1455"/>
      <c r="B659" s="1455"/>
      <c r="C659" s="145" t="str">
        <f t="shared" si="20"/>
        <v/>
      </c>
      <c r="D659" s="150"/>
      <c r="E659" s="923"/>
      <c r="F659" s="923"/>
      <c r="G659" s="934"/>
      <c r="H659" s="934"/>
      <c r="I659" s="934"/>
      <c r="J659" s="934"/>
      <c r="K659" s="934"/>
      <c r="L659" s="934"/>
      <c r="M659" s="934"/>
      <c r="N659" s="929"/>
      <c r="O659" s="933" t="str">
        <f t="shared" si="21"/>
        <v/>
      </c>
    </row>
    <row r="660" spans="1:15" hidden="1">
      <c r="A660" s="1455"/>
      <c r="B660" s="1455"/>
      <c r="C660" s="145" t="str">
        <f t="shared" si="20"/>
        <v/>
      </c>
      <c r="D660" s="150"/>
      <c r="E660" s="923"/>
      <c r="F660" s="923"/>
      <c r="G660" s="934"/>
      <c r="H660" s="934"/>
      <c r="I660" s="934"/>
      <c r="J660" s="934"/>
      <c r="K660" s="934"/>
      <c r="L660" s="934"/>
      <c r="M660" s="934"/>
      <c r="N660" s="929"/>
      <c r="O660" s="933" t="str">
        <f t="shared" si="21"/>
        <v/>
      </c>
    </row>
    <row r="661" spans="1:15" hidden="1">
      <c r="A661" s="1455"/>
      <c r="B661" s="1455"/>
      <c r="C661" s="145" t="str">
        <f t="shared" si="20"/>
        <v/>
      </c>
      <c r="D661" s="150"/>
      <c r="E661" s="923"/>
      <c r="F661" s="923"/>
      <c r="G661" s="934"/>
      <c r="H661" s="934"/>
      <c r="I661" s="934"/>
      <c r="J661" s="934"/>
      <c r="K661" s="934"/>
      <c r="L661" s="934"/>
      <c r="M661" s="934"/>
      <c r="N661" s="929"/>
      <c r="O661" s="933" t="str">
        <f t="shared" si="21"/>
        <v/>
      </c>
    </row>
    <row r="662" spans="1:15" hidden="1">
      <c r="A662" s="1455"/>
      <c r="B662" s="1455"/>
      <c r="C662" s="145" t="str">
        <f t="shared" si="20"/>
        <v/>
      </c>
      <c r="D662" s="150"/>
      <c r="E662" s="923"/>
      <c r="F662" s="923"/>
      <c r="G662" s="934"/>
      <c r="H662" s="934"/>
      <c r="I662" s="934"/>
      <c r="J662" s="934"/>
      <c r="K662" s="934"/>
      <c r="L662" s="934"/>
      <c r="M662" s="934"/>
      <c r="N662" s="929"/>
      <c r="O662" s="933" t="str">
        <f t="shared" si="21"/>
        <v/>
      </c>
    </row>
    <row r="663" spans="1:15" hidden="1">
      <c r="A663" s="1455"/>
      <c r="B663" s="1455"/>
      <c r="C663" s="145" t="str">
        <f t="shared" si="20"/>
        <v/>
      </c>
      <c r="D663" s="150"/>
      <c r="E663" s="923"/>
      <c r="F663" s="923"/>
      <c r="G663" s="934"/>
      <c r="H663" s="934"/>
      <c r="I663" s="934"/>
      <c r="J663" s="934"/>
      <c r="K663" s="934"/>
      <c r="L663" s="934"/>
      <c r="M663" s="934"/>
      <c r="N663" s="929"/>
      <c r="O663" s="933" t="str">
        <f t="shared" si="21"/>
        <v/>
      </c>
    </row>
    <row r="664" spans="1:15" hidden="1">
      <c r="A664" s="1455"/>
      <c r="B664" s="1455"/>
      <c r="C664" s="145" t="str">
        <f t="shared" si="20"/>
        <v/>
      </c>
      <c r="D664" s="150"/>
      <c r="E664" s="923"/>
      <c r="F664" s="923"/>
      <c r="G664" s="934"/>
      <c r="H664" s="934"/>
      <c r="I664" s="934"/>
      <c r="J664" s="934"/>
      <c r="K664" s="934"/>
      <c r="L664" s="934"/>
      <c r="M664" s="934"/>
      <c r="N664" s="929"/>
      <c r="O664" s="933" t="str">
        <f t="shared" si="21"/>
        <v/>
      </c>
    </row>
    <row r="665" spans="1:15" hidden="1">
      <c r="A665" s="1455"/>
      <c r="B665" s="1455"/>
      <c r="C665" s="145" t="str">
        <f t="shared" si="20"/>
        <v/>
      </c>
      <c r="D665" s="150"/>
      <c r="E665" s="923"/>
      <c r="F665" s="923"/>
      <c r="G665" s="934"/>
      <c r="H665" s="934"/>
      <c r="I665" s="934"/>
      <c r="J665" s="934"/>
      <c r="K665" s="934"/>
      <c r="L665" s="934"/>
      <c r="M665" s="934"/>
      <c r="N665" s="929"/>
      <c r="O665" s="933" t="str">
        <f t="shared" si="21"/>
        <v/>
      </c>
    </row>
    <row r="666" spans="1:15" hidden="1">
      <c r="A666" s="1455"/>
      <c r="B666" s="1455"/>
      <c r="C666" s="145" t="str">
        <f t="shared" si="20"/>
        <v/>
      </c>
      <c r="D666" s="150"/>
      <c r="E666" s="923"/>
      <c r="F666" s="923"/>
      <c r="G666" s="934"/>
      <c r="H666" s="934"/>
      <c r="I666" s="934"/>
      <c r="J666" s="934"/>
      <c r="K666" s="934"/>
      <c r="L666" s="934"/>
      <c r="M666" s="934"/>
      <c r="N666" s="929"/>
      <c r="O666" s="933" t="str">
        <f t="shared" si="21"/>
        <v/>
      </c>
    </row>
    <row r="667" spans="1:15" hidden="1">
      <c r="A667" s="1455"/>
      <c r="B667" s="1455"/>
      <c r="C667" s="145" t="str">
        <f t="shared" si="20"/>
        <v/>
      </c>
      <c r="D667" s="150"/>
      <c r="E667" s="923"/>
      <c r="F667" s="923"/>
      <c r="G667" s="934"/>
      <c r="H667" s="934"/>
      <c r="I667" s="934"/>
      <c r="J667" s="934"/>
      <c r="K667" s="934"/>
      <c r="L667" s="934"/>
      <c r="M667" s="934"/>
      <c r="N667" s="929"/>
      <c r="O667" s="933" t="str">
        <f t="shared" si="21"/>
        <v/>
      </c>
    </row>
    <row r="668" spans="1:15" hidden="1">
      <c r="A668" s="1455"/>
      <c r="B668" s="1455"/>
      <c r="C668" s="145" t="str">
        <f t="shared" si="20"/>
        <v/>
      </c>
      <c r="D668" s="150"/>
      <c r="E668" s="923"/>
      <c r="F668" s="923"/>
      <c r="G668" s="934"/>
      <c r="H668" s="934"/>
      <c r="I668" s="934"/>
      <c r="J668" s="934"/>
      <c r="K668" s="934"/>
      <c r="L668" s="934"/>
      <c r="M668" s="934"/>
      <c r="N668" s="929"/>
      <c r="O668" s="933" t="str">
        <f t="shared" si="21"/>
        <v/>
      </c>
    </row>
    <row r="669" spans="1:15" hidden="1">
      <c r="A669" s="1455"/>
      <c r="B669" s="1455"/>
      <c r="C669" s="145" t="str">
        <f t="shared" si="20"/>
        <v/>
      </c>
      <c r="D669" s="150"/>
      <c r="E669" s="923"/>
      <c r="F669" s="923"/>
      <c r="G669" s="934"/>
      <c r="H669" s="934"/>
      <c r="I669" s="934"/>
      <c r="J669" s="934"/>
      <c r="K669" s="934"/>
      <c r="L669" s="934"/>
      <c r="M669" s="934"/>
      <c r="N669" s="929"/>
      <c r="O669" s="933" t="str">
        <f t="shared" si="21"/>
        <v/>
      </c>
    </row>
    <row r="670" spans="1:15" hidden="1">
      <c r="A670" s="1455"/>
      <c r="B670" s="1455"/>
      <c r="C670" s="145" t="str">
        <f t="shared" si="20"/>
        <v/>
      </c>
      <c r="D670" s="150"/>
      <c r="E670" s="923"/>
      <c r="F670" s="923"/>
      <c r="G670" s="934"/>
      <c r="H670" s="934"/>
      <c r="I670" s="934"/>
      <c r="J670" s="934"/>
      <c r="K670" s="934"/>
      <c r="L670" s="934"/>
      <c r="M670" s="934"/>
      <c r="N670" s="929"/>
      <c r="O670" s="933" t="str">
        <f t="shared" si="21"/>
        <v/>
      </c>
    </row>
    <row r="671" spans="1:15" hidden="1">
      <c r="A671" s="1455"/>
      <c r="B671" s="1455"/>
      <c r="C671" s="145" t="str">
        <f t="shared" si="20"/>
        <v/>
      </c>
      <c r="D671" s="150"/>
      <c r="E671" s="923"/>
      <c r="F671" s="923"/>
      <c r="G671" s="934"/>
      <c r="H671" s="934"/>
      <c r="I671" s="934"/>
      <c r="J671" s="934"/>
      <c r="K671" s="934"/>
      <c r="L671" s="934"/>
      <c r="M671" s="934"/>
      <c r="N671" s="929"/>
      <c r="O671" s="933" t="str">
        <f t="shared" si="21"/>
        <v/>
      </c>
    </row>
    <row r="672" spans="1:15" hidden="1">
      <c r="A672" s="1455"/>
      <c r="B672" s="1455"/>
      <c r="C672" s="145" t="str">
        <f t="shared" si="20"/>
        <v/>
      </c>
      <c r="D672" s="150"/>
      <c r="E672" s="923"/>
      <c r="F672" s="923"/>
      <c r="G672" s="934"/>
      <c r="H672" s="934"/>
      <c r="I672" s="934"/>
      <c r="J672" s="934"/>
      <c r="K672" s="934"/>
      <c r="L672" s="934"/>
      <c r="M672" s="934"/>
      <c r="N672" s="929"/>
      <c r="O672" s="933" t="str">
        <f t="shared" si="21"/>
        <v/>
      </c>
    </row>
    <row r="673" spans="1:15" hidden="1">
      <c r="A673" s="1455"/>
      <c r="B673" s="1455"/>
      <c r="C673" s="145" t="str">
        <f t="shared" si="20"/>
        <v/>
      </c>
      <c r="D673" s="150"/>
      <c r="E673" s="923"/>
      <c r="F673" s="923"/>
      <c r="G673" s="934"/>
      <c r="H673" s="934"/>
      <c r="I673" s="934"/>
      <c r="J673" s="934"/>
      <c r="K673" s="934"/>
      <c r="L673" s="934"/>
      <c r="M673" s="934"/>
      <c r="N673" s="929"/>
      <c r="O673" s="933" t="str">
        <f t="shared" si="21"/>
        <v/>
      </c>
    </row>
    <row r="674" spans="1:15" hidden="1">
      <c r="A674" s="1455"/>
      <c r="B674" s="1455"/>
      <c r="C674" s="145" t="str">
        <f t="shared" si="20"/>
        <v/>
      </c>
      <c r="D674" s="150"/>
      <c r="E674" s="923"/>
      <c r="F674" s="923"/>
      <c r="G674" s="934"/>
      <c r="H674" s="934"/>
      <c r="I674" s="934"/>
      <c r="J674" s="934"/>
      <c r="K674" s="934"/>
      <c r="L674" s="934"/>
      <c r="M674" s="934"/>
      <c r="N674" s="929"/>
      <c r="O674" s="933" t="str">
        <f t="shared" si="21"/>
        <v/>
      </c>
    </row>
    <row r="675" spans="1:15" hidden="1">
      <c r="A675" s="1455"/>
      <c r="B675" s="1455"/>
      <c r="C675" s="145" t="str">
        <f t="shared" si="20"/>
        <v/>
      </c>
      <c r="D675" s="150"/>
      <c r="E675" s="923"/>
      <c r="F675" s="923"/>
      <c r="G675" s="934"/>
      <c r="H675" s="934"/>
      <c r="I675" s="934"/>
      <c r="J675" s="934"/>
      <c r="K675" s="934"/>
      <c r="L675" s="934"/>
      <c r="M675" s="934"/>
      <c r="N675" s="929"/>
      <c r="O675" s="933" t="str">
        <f t="shared" si="21"/>
        <v/>
      </c>
    </row>
    <row r="676" spans="1:15" hidden="1">
      <c r="A676" s="1455"/>
      <c r="B676" s="1455"/>
      <c r="C676" s="145" t="str">
        <f t="shared" si="20"/>
        <v/>
      </c>
      <c r="D676" s="150"/>
      <c r="E676" s="923"/>
      <c r="F676" s="923"/>
      <c r="G676" s="934"/>
      <c r="H676" s="934"/>
      <c r="I676" s="934"/>
      <c r="J676" s="934"/>
      <c r="K676" s="934"/>
      <c r="L676" s="934"/>
      <c r="M676" s="934"/>
      <c r="N676" s="929"/>
      <c r="O676" s="933" t="str">
        <f t="shared" si="21"/>
        <v/>
      </c>
    </row>
    <row r="677" spans="1:15" hidden="1">
      <c r="A677" s="1455"/>
      <c r="B677" s="1455"/>
      <c r="C677" s="145" t="str">
        <f t="shared" si="20"/>
        <v/>
      </c>
      <c r="D677" s="150"/>
      <c r="E677" s="923"/>
      <c r="F677" s="923"/>
      <c r="G677" s="934"/>
      <c r="H677" s="934"/>
      <c r="I677" s="934"/>
      <c r="J677" s="934"/>
      <c r="K677" s="934"/>
      <c r="L677" s="934"/>
      <c r="M677" s="934"/>
      <c r="N677" s="929"/>
      <c r="O677" s="933" t="str">
        <f t="shared" si="21"/>
        <v/>
      </c>
    </row>
    <row r="678" spans="1:15" hidden="1">
      <c r="A678" s="1455"/>
      <c r="B678" s="1455"/>
      <c r="C678" s="145" t="str">
        <f t="shared" si="20"/>
        <v/>
      </c>
      <c r="D678" s="150"/>
      <c r="E678" s="923"/>
      <c r="F678" s="923"/>
      <c r="G678" s="934"/>
      <c r="H678" s="934"/>
      <c r="I678" s="934"/>
      <c r="J678" s="934"/>
      <c r="K678" s="934"/>
      <c r="L678" s="934"/>
      <c r="M678" s="934"/>
      <c r="N678" s="929"/>
      <c r="O678" s="933" t="str">
        <f t="shared" si="21"/>
        <v/>
      </c>
    </row>
    <row r="679" spans="1:15" hidden="1">
      <c r="A679" s="1455"/>
      <c r="B679" s="1455"/>
      <c r="C679" s="145" t="str">
        <f t="shared" si="20"/>
        <v/>
      </c>
      <c r="D679" s="150"/>
      <c r="E679" s="923"/>
      <c r="F679" s="923"/>
      <c r="G679" s="934"/>
      <c r="H679" s="934"/>
      <c r="I679" s="934"/>
      <c r="J679" s="934"/>
      <c r="K679" s="934"/>
      <c r="L679" s="934"/>
      <c r="M679" s="934"/>
      <c r="N679" s="929"/>
      <c r="O679" s="933" t="str">
        <f t="shared" si="21"/>
        <v/>
      </c>
    </row>
    <row r="680" spans="1:15" hidden="1">
      <c r="A680" s="1455"/>
      <c r="B680" s="1455"/>
      <c r="C680" s="145" t="str">
        <f t="shared" si="20"/>
        <v/>
      </c>
      <c r="D680" s="150"/>
      <c r="E680" s="923"/>
      <c r="F680" s="923"/>
      <c r="G680" s="934"/>
      <c r="H680" s="934"/>
      <c r="I680" s="934"/>
      <c r="J680" s="934"/>
      <c r="K680" s="934"/>
      <c r="L680" s="934"/>
      <c r="M680" s="934"/>
      <c r="N680" s="929"/>
      <c r="O680" s="933" t="str">
        <f t="shared" si="21"/>
        <v/>
      </c>
    </row>
    <row r="681" spans="1:15" hidden="1">
      <c r="A681" s="1455"/>
      <c r="B681" s="1455"/>
      <c r="C681" s="145" t="str">
        <f t="shared" si="20"/>
        <v/>
      </c>
      <c r="D681" s="150"/>
      <c r="E681" s="923"/>
      <c r="F681" s="923"/>
      <c r="G681" s="934"/>
      <c r="H681" s="934"/>
      <c r="I681" s="934"/>
      <c r="J681" s="934"/>
      <c r="K681" s="934"/>
      <c r="L681" s="934"/>
      <c r="M681" s="934"/>
      <c r="N681" s="929"/>
      <c r="O681" s="933" t="str">
        <f t="shared" si="21"/>
        <v/>
      </c>
    </row>
    <row r="682" spans="1:15" hidden="1">
      <c r="A682" s="1455"/>
      <c r="B682" s="1455"/>
      <c r="C682" s="145" t="str">
        <f t="shared" si="20"/>
        <v/>
      </c>
      <c r="D682" s="150"/>
      <c r="E682" s="923"/>
      <c r="F682" s="923"/>
      <c r="G682" s="934"/>
      <c r="H682" s="934"/>
      <c r="I682" s="934"/>
      <c r="J682" s="934"/>
      <c r="K682" s="934"/>
      <c r="L682" s="934"/>
      <c r="M682" s="934"/>
      <c r="N682" s="929"/>
      <c r="O682" s="933" t="str">
        <f t="shared" si="21"/>
        <v/>
      </c>
    </row>
    <row r="683" spans="1:15" hidden="1">
      <c r="A683" s="1455"/>
      <c r="B683" s="1455"/>
      <c r="C683" s="145" t="str">
        <f t="shared" si="20"/>
        <v/>
      </c>
      <c r="D683" s="150"/>
      <c r="E683" s="923"/>
      <c r="F683" s="923"/>
      <c r="G683" s="934"/>
      <c r="H683" s="934"/>
      <c r="I683" s="934"/>
      <c r="J683" s="934"/>
      <c r="K683" s="934"/>
      <c r="L683" s="934"/>
      <c r="M683" s="934"/>
      <c r="N683" s="929"/>
      <c r="O683" s="933" t="str">
        <f t="shared" si="21"/>
        <v/>
      </c>
    </row>
    <row r="684" spans="1:15" hidden="1">
      <c r="A684" s="1455"/>
      <c r="B684" s="1455"/>
      <c r="C684" s="145" t="str">
        <f t="shared" si="20"/>
        <v/>
      </c>
      <c r="D684" s="150"/>
      <c r="E684" s="923"/>
      <c r="F684" s="923"/>
      <c r="G684" s="934"/>
      <c r="H684" s="934"/>
      <c r="I684" s="934"/>
      <c r="J684" s="934"/>
      <c r="K684" s="934"/>
      <c r="L684" s="934"/>
      <c r="M684" s="934"/>
      <c r="N684" s="929"/>
      <c r="O684" s="933" t="str">
        <f t="shared" si="21"/>
        <v/>
      </c>
    </row>
    <row r="685" spans="1:15" hidden="1">
      <c r="A685" s="1455"/>
      <c r="B685" s="1455"/>
      <c r="C685" s="145" t="str">
        <f t="shared" si="20"/>
        <v/>
      </c>
      <c r="D685" s="150"/>
      <c r="E685" s="923"/>
      <c r="F685" s="923"/>
      <c r="G685" s="934"/>
      <c r="H685" s="934"/>
      <c r="I685" s="934"/>
      <c r="J685" s="934"/>
      <c r="K685" s="934"/>
      <c r="L685" s="934"/>
      <c r="M685" s="934"/>
      <c r="N685" s="929"/>
      <c r="O685" s="933" t="str">
        <f t="shared" si="21"/>
        <v/>
      </c>
    </row>
    <row r="686" spans="1:15" hidden="1">
      <c r="A686" s="1455"/>
      <c r="B686" s="1455"/>
      <c r="C686" s="145" t="str">
        <f t="shared" si="20"/>
        <v/>
      </c>
      <c r="D686" s="150"/>
      <c r="E686" s="923"/>
      <c r="F686" s="923"/>
      <c r="G686" s="934"/>
      <c r="H686" s="934"/>
      <c r="I686" s="934"/>
      <c r="J686" s="934"/>
      <c r="K686" s="934"/>
      <c r="L686" s="934"/>
      <c r="M686" s="934"/>
      <c r="N686" s="929"/>
      <c r="O686" s="933" t="str">
        <f t="shared" si="21"/>
        <v/>
      </c>
    </row>
    <row r="687" spans="1:15" hidden="1">
      <c r="A687" s="1455"/>
      <c r="B687" s="1455"/>
      <c r="C687" s="145" t="str">
        <f t="shared" si="20"/>
        <v/>
      </c>
      <c r="D687" s="150"/>
      <c r="E687" s="923"/>
      <c r="F687" s="923"/>
      <c r="G687" s="934"/>
      <c r="H687" s="934"/>
      <c r="I687" s="934"/>
      <c r="J687" s="934"/>
      <c r="K687" s="934"/>
      <c r="L687" s="934"/>
      <c r="M687" s="934"/>
      <c r="N687" s="929"/>
      <c r="O687" s="933" t="str">
        <f t="shared" si="21"/>
        <v/>
      </c>
    </row>
    <row r="688" spans="1:15" hidden="1">
      <c r="A688" s="1455"/>
      <c r="B688" s="1455"/>
      <c r="C688" s="145" t="str">
        <f t="shared" si="20"/>
        <v/>
      </c>
      <c r="D688" s="150"/>
      <c r="E688" s="923"/>
      <c r="F688" s="923"/>
      <c r="G688" s="934"/>
      <c r="H688" s="934"/>
      <c r="I688" s="934"/>
      <c r="J688" s="934"/>
      <c r="K688" s="934"/>
      <c r="L688" s="934"/>
      <c r="M688" s="934"/>
      <c r="N688" s="929"/>
      <c r="O688" s="933" t="str">
        <f t="shared" si="21"/>
        <v/>
      </c>
    </row>
    <row r="689" spans="1:15" hidden="1">
      <c r="A689" s="1455"/>
      <c r="B689" s="1455"/>
      <c r="C689" s="145" t="str">
        <f t="shared" si="20"/>
        <v/>
      </c>
      <c r="D689" s="150"/>
      <c r="E689" s="923"/>
      <c r="F689" s="923"/>
      <c r="G689" s="934"/>
      <c r="H689" s="934"/>
      <c r="I689" s="934"/>
      <c r="J689" s="934"/>
      <c r="K689" s="934"/>
      <c r="L689" s="934"/>
      <c r="M689" s="934"/>
      <c r="N689" s="929"/>
      <c r="O689" s="933" t="str">
        <f t="shared" si="21"/>
        <v/>
      </c>
    </row>
    <row r="690" spans="1:15" hidden="1">
      <c r="A690" s="1455"/>
      <c r="B690" s="1455"/>
      <c r="C690" s="145" t="str">
        <f t="shared" si="20"/>
        <v/>
      </c>
      <c r="D690" s="150"/>
      <c r="E690" s="923"/>
      <c r="F690" s="923"/>
      <c r="G690" s="934"/>
      <c r="H690" s="934"/>
      <c r="I690" s="934"/>
      <c r="J690" s="934"/>
      <c r="K690" s="934"/>
      <c r="L690" s="934"/>
      <c r="M690" s="934"/>
      <c r="N690" s="929"/>
      <c r="O690" s="933" t="str">
        <f t="shared" si="21"/>
        <v/>
      </c>
    </row>
    <row r="691" spans="1:15" hidden="1">
      <c r="A691" s="1455"/>
      <c r="B691" s="1455"/>
      <c r="C691" s="145" t="str">
        <f t="shared" si="20"/>
        <v/>
      </c>
      <c r="D691" s="150"/>
      <c r="E691" s="923"/>
      <c r="F691" s="923"/>
      <c r="G691" s="934"/>
      <c r="H691" s="934"/>
      <c r="I691" s="934"/>
      <c r="J691" s="934"/>
      <c r="K691" s="934"/>
      <c r="L691" s="934"/>
      <c r="M691" s="934"/>
      <c r="N691" s="929"/>
      <c r="O691" s="933" t="str">
        <f t="shared" si="21"/>
        <v/>
      </c>
    </row>
    <row r="692" spans="1:15" hidden="1">
      <c r="A692" s="1455"/>
      <c r="B692" s="1455"/>
      <c r="C692" s="145" t="str">
        <f t="shared" si="20"/>
        <v/>
      </c>
      <c r="D692" s="150"/>
      <c r="E692" s="923"/>
      <c r="F692" s="923"/>
      <c r="G692" s="934"/>
      <c r="H692" s="934"/>
      <c r="I692" s="934"/>
      <c r="J692" s="934"/>
      <c r="K692" s="934"/>
      <c r="L692" s="934"/>
      <c r="M692" s="934"/>
      <c r="N692" s="929"/>
      <c r="O692" s="933" t="str">
        <f t="shared" si="21"/>
        <v/>
      </c>
    </row>
    <row r="693" spans="1:15" hidden="1">
      <c r="A693" s="1455"/>
      <c r="B693" s="1455"/>
      <c r="C693" s="145" t="str">
        <f t="shared" si="20"/>
        <v/>
      </c>
      <c r="D693" s="150"/>
      <c r="E693" s="923"/>
      <c r="F693" s="923"/>
      <c r="G693" s="934"/>
      <c r="H693" s="934"/>
      <c r="I693" s="934"/>
      <c r="J693" s="934"/>
      <c r="K693" s="934"/>
      <c r="L693" s="934"/>
      <c r="M693" s="934"/>
      <c r="N693" s="929"/>
      <c r="O693" s="933" t="str">
        <f t="shared" si="21"/>
        <v/>
      </c>
    </row>
    <row r="694" spans="1:15" hidden="1">
      <c r="A694" s="1455"/>
      <c r="B694" s="1455"/>
      <c r="C694" s="145" t="str">
        <f t="shared" si="20"/>
        <v/>
      </c>
      <c r="D694" s="150"/>
      <c r="E694" s="923"/>
      <c r="F694" s="923"/>
      <c r="G694" s="934"/>
      <c r="H694" s="934"/>
      <c r="I694" s="934"/>
      <c r="J694" s="934"/>
      <c r="K694" s="934"/>
      <c r="L694" s="934"/>
      <c r="M694" s="934"/>
      <c r="N694" s="929"/>
      <c r="O694" s="933" t="str">
        <f t="shared" si="21"/>
        <v/>
      </c>
    </row>
    <row r="695" spans="1:15" hidden="1">
      <c r="A695" s="1455"/>
      <c r="B695" s="1455"/>
      <c r="C695" s="145" t="str">
        <f t="shared" si="20"/>
        <v/>
      </c>
      <c r="D695" s="150"/>
      <c r="E695" s="923"/>
      <c r="F695" s="923"/>
      <c r="G695" s="934"/>
      <c r="H695" s="934"/>
      <c r="I695" s="934"/>
      <c r="J695" s="934"/>
      <c r="K695" s="934"/>
      <c r="L695" s="934"/>
      <c r="M695" s="934"/>
      <c r="N695" s="929"/>
      <c r="O695" s="933" t="str">
        <f t="shared" si="21"/>
        <v/>
      </c>
    </row>
    <row r="696" spans="1:15" hidden="1">
      <c r="A696" s="1455"/>
      <c r="B696" s="1455"/>
      <c r="C696" s="145" t="str">
        <f t="shared" si="20"/>
        <v/>
      </c>
      <c r="D696" s="150"/>
      <c r="E696" s="923"/>
      <c r="F696" s="923"/>
      <c r="G696" s="934"/>
      <c r="H696" s="934"/>
      <c r="I696" s="934"/>
      <c r="J696" s="934"/>
      <c r="K696" s="934"/>
      <c r="L696" s="934"/>
      <c r="M696" s="934"/>
      <c r="N696" s="929"/>
      <c r="O696" s="933" t="str">
        <f t="shared" si="21"/>
        <v/>
      </c>
    </row>
    <row r="697" spans="1:15" hidden="1">
      <c r="A697" s="1455"/>
      <c r="B697" s="1455"/>
      <c r="C697" s="145" t="str">
        <f t="shared" si="20"/>
        <v/>
      </c>
      <c r="D697" s="150"/>
      <c r="E697" s="923"/>
      <c r="F697" s="923"/>
      <c r="G697" s="934"/>
      <c r="H697" s="934"/>
      <c r="I697" s="934"/>
      <c r="J697" s="934"/>
      <c r="K697" s="934"/>
      <c r="L697" s="934"/>
      <c r="M697" s="934"/>
      <c r="N697" s="929"/>
      <c r="O697" s="933" t="str">
        <f t="shared" si="21"/>
        <v/>
      </c>
    </row>
    <row r="698" spans="1:15" hidden="1">
      <c r="A698" s="1455"/>
      <c r="B698" s="1455"/>
      <c r="C698" s="145" t="str">
        <f t="shared" si="20"/>
        <v/>
      </c>
      <c r="D698" s="150"/>
      <c r="E698" s="923"/>
      <c r="F698" s="923"/>
      <c r="G698" s="934"/>
      <c r="H698" s="934"/>
      <c r="I698" s="934"/>
      <c r="J698" s="934"/>
      <c r="K698" s="934"/>
      <c r="L698" s="934"/>
      <c r="M698" s="934"/>
      <c r="N698" s="929"/>
      <c r="O698" s="933" t="str">
        <f t="shared" si="21"/>
        <v/>
      </c>
    </row>
    <row r="699" spans="1:15" hidden="1">
      <c r="A699" s="1455"/>
      <c r="B699" s="1455"/>
      <c r="C699" s="145" t="str">
        <f t="shared" si="20"/>
        <v/>
      </c>
      <c r="D699" s="150"/>
      <c r="E699" s="923"/>
      <c r="F699" s="923"/>
      <c r="G699" s="934"/>
      <c r="H699" s="934"/>
      <c r="I699" s="934"/>
      <c r="J699" s="934"/>
      <c r="K699" s="934"/>
      <c r="L699" s="934"/>
      <c r="M699" s="934"/>
      <c r="N699" s="929"/>
      <c r="O699" s="933" t="str">
        <f t="shared" si="21"/>
        <v/>
      </c>
    </row>
    <row r="700" spans="1:15" hidden="1">
      <c r="A700" s="1455"/>
      <c r="B700" s="1455"/>
      <c r="C700" s="145" t="str">
        <f t="shared" si="20"/>
        <v/>
      </c>
      <c r="D700" s="150"/>
      <c r="E700" s="923"/>
      <c r="F700" s="923"/>
      <c r="G700" s="934"/>
      <c r="H700" s="934"/>
      <c r="I700" s="934"/>
      <c r="J700" s="934"/>
      <c r="K700" s="934"/>
      <c r="L700" s="934"/>
      <c r="M700" s="934"/>
      <c r="N700" s="929"/>
      <c r="O700" s="933" t="str">
        <f t="shared" si="21"/>
        <v/>
      </c>
    </row>
    <row r="701" spans="1:15" hidden="1">
      <c r="A701" s="1455"/>
      <c r="B701" s="1455"/>
      <c r="C701" s="145" t="str">
        <f t="shared" si="20"/>
        <v/>
      </c>
      <c r="D701" s="150"/>
      <c r="E701" s="923"/>
      <c r="F701" s="923"/>
      <c r="G701" s="934"/>
      <c r="H701" s="934"/>
      <c r="I701" s="934"/>
      <c r="J701" s="934"/>
      <c r="K701" s="934"/>
      <c r="L701" s="934"/>
      <c r="M701" s="934"/>
      <c r="N701" s="929"/>
      <c r="O701" s="933" t="str">
        <f t="shared" si="21"/>
        <v/>
      </c>
    </row>
    <row r="702" spans="1:15" hidden="1">
      <c r="A702" s="1455"/>
      <c r="B702" s="1455"/>
      <c r="C702" s="145" t="str">
        <f t="shared" si="20"/>
        <v/>
      </c>
      <c r="D702" s="150"/>
      <c r="E702" s="923"/>
      <c r="F702" s="923"/>
      <c r="G702" s="934"/>
      <c r="H702" s="934"/>
      <c r="I702" s="934"/>
      <c r="J702" s="934"/>
      <c r="K702" s="934"/>
      <c r="L702" s="934"/>
      <c r="M702" s="934"/>
      <c r="N702" s="929"/>
      <c r="O702" s="933" t="str">
        <f t="shared" si="21"/>
        <v/>
      </c>
    </row>
    <row r="703" spans="1:15" hidden="1">
      <c r="A703" s="1455"/>
      <c r="B703" s="1455"/>
      <c r="C703" s="145" t="str">
        <f t="shared" si="20"/>
        <v/>
      </c>
      <c r="D703" s="150"/>
      <c r="E703" s="923"/>
      <c r="F703" s="923"/>
      <c r="G703" s="934"/>
      <c r="H703" s="934"/>
      <c r="I703" s="934"/>
      <c r="J703" s="934"/>
      <c r="K703" s="934"/>
      <c r="L703" s="934"/>
      <c r="M703" s="934"/>
      <c r="N703" s="929"/>
      <c r="O703" s="933" t="str">
        <f t="shared" si="21"/>
        <v/>
      </c>
    </row>
    <row r="704" spans="1:15" hidden="1">
      <c r="A704" s="1455"/>
      <c r="B704" s="1455"/>
      <c r="C704" s="145" t="str">
        <f t="shared" si="20"/>
        <v/>
      </c>
      <c r="D704" s="148"/>
      <c r="E704" s="921"/>
      <c r="F704" s="921"/>
      <c r="G704" s="932"/>
      <c r="H704" s="932"/>
      <c r="I704" s="932"/>
      <c r="J704" s="932"/>
      <c r="K704" s="932"/>
      <c r="L704" s="932"/>
      <c r="M704" s="932"/>
      <c r="N704" s="929"/>
      <c r="O704" s="933" t="str">
        <f t="shared" si="21"/>
        <v/>
      </c>
    </row>
    <row r="705" spans="1:15" hidden="1">
      <c r="A705" s="1455"/>
      <c r="B705" s="1455"/>
      <c r="C705" s="145" t="str">
        <f>IF(A705&lt;&gt;"",ROW(),"")</f>
        <v/>
      </c>
      <c r="D705" s="148"/>
      <c r="E705" s="921"/>
      <c r="F705" s="921"/>
      <c r="G705" s="932"/>
      <c r="H705" s="932"/>
      <c r="I705" s="932"/>
      <c r="J705" s="932"/>
      <c r="K705" s="932"/>
      <c r="L705" s="932"/>
      <c r="M705" s="932"/>
      <c r="N705" s="929"/>
      <c r="O705" s="933" t="str">
        <f t="shared" si="21"/>
        <v/>
      </c>
    </row>
    <row r="706" spans="1:15">
      <c r="A706" s="1873" t="s">
        <v>1055</v>
      </c>
      <c r="B706" s="1944"/>
      <c r="C706" s="145"/>
      <c r="D706" s="148"/>
      <c r="E706" s="921"/>
      <c r="F706" s="921"/>
      <c r="G706" s="932"/>
      <c r="H706" s="932"/>
      <c r="I706" s="932"/>
      <c r="J706" s="932"/>
      <c r="K706" s="932"/>
      <c r="L706" s="932"/>
      <c r="M706" s="932"/>
      <c r="N706" s="929"/>
      <c r="O706" s="933"/>
    </row>
    <row r="707" spans="1:15">
      <c r="A707" s="1968" t="s">
        <v>1056</v>
      </c>
      <c r="B707" s="1968"/>
      <c r="C707" s="145"/>
      <c r="D707" s="148"/>
      <c r="E707" s="921"/>
      <c r="F707" s="921"/>
      <c r="G707" s="932"/>
      <c r="H707" s="932"/>
      <c r="I707" s="932"/>
      <c r="J707" s="932"/>
      <c r="K707" s="932"/>
      <c r="L707" s="932"/>
      <c r="M707" s="932"/>
      <c r="N707" s="929"/>
      <c r="O707" s="933"/>
    </row>
    <row r="708" spans="1:15">
      <c r="A708" s="1969" t="s">
        <v>1057</v>
      </c>
      <c r="B708" s="1969"/>
      <c r="C708" s="145"/>
      <c r="D708" s="148"/>
      <c r="E708" s="921"/>
      <c r="F708" s="921"/>
      <c r="G708" s="932"/>
      <c r="H708" s="932"/>
      <c r="I708" s="932"/>
      <c r="J708" s="932"/>
      <c r="K708" s="932"/>
      <c r="L708" s="932"/>
      <c r="M708" s="932"/>
      <c r="N708" s="929"/>
      <c r="O708" s="933"/>
    </row>
    <row r="709" spans="1:15">
      <c r="A709" s="1968" t="s">
        <v>1056</v>
      </c>
      <c r="B709" s="1968"/>
      <c r="C709" s="145"/>
      <c r="D709" s="148"/>
      <c r="E709" s="921"/>
      <c r="F709" s="921"/>
      <c r="G709" s="932"/>
      <c r="H709" s="932"/>
      <c r="I709" s="932"/>
      <c r="J709" s="932"/>
      <c r="K709" s="932"/>
      <c r="L709" s="932"/>
      <c r="M709" s="932"/>
      <c r="N709" s="929"/>
      <c r="O709" s="933"/>
    </row>
    <row r="710" spans="1:15">
      <c r="A710" s="1969" t="s">
        <v>1058</v>
      </c>
      <c r="B710" s="1970"/>
      <c r="C710" s="145"/>
      <c r="D710" s="148"/>
      <c r="E710" s="921"/>
      <c r="F710" s="921"/>
      <c r="G710" s="932"/>
      <c r="H710" s="932"/>
      <c r="I710" s="932"/>
      <c r="J710" s="932"/>
      <c r="K710" s="932"/>
      <c r="L710" s="932"/>
      <c r="M710" s="932"/>
      <c r="N710" s="929"/>
      <c r="O710" s="929"/>
    </row>
    <row r="711" spans="1:15">
      <c r="A711" s="1965"/>
      <c r="B711" s="1965"/>
      <c r="C711" s="145"/>
      <c r="D711" s="148"/>
      <c r="E711" s="921"/>
      <c r="F711" s="921"/>
      <c r="G711" s="932"/>
      <c r="H711" s="932"/>
      <c r="I711" s="932"/>
      <c r="J711" s="932"/>
      <c r="K711" s="932"/>
      <c r="L711" s="932"/>
      <c r="M711" s="932"/>
      <c r="N711" s="929"/>
      <c r="O711" s="929"/>
    </row>
    <row r="712" spans="1:15">
      <c r="A712" s="1966"/>
      <c r="B712" s="1966"/>
      <c r="C712" s="145"/>
      <c r="D712" s="148"/>
      <c r="E712" s="921"/>
      <c r="F712" s="921"/>
      <c r="G712" s="932"/>
      <c r="H712" s="932"/>
      <c r="I712" s="932"/>
      <c r="J712" s="932"/>
      <c r="K712" s="932"/>
      <c r="L712" s="932"/>
      <c r="M712" s="932"/>
      <c r="N712" s="929"/>
      <c r="O712" s="929"/>
    </row>
    <row r="713" spans="1:15">
      <c r="A713" s="1967"/>
      <c r="B713" s="1967"/>
      <c r="C713" s="145"/>
      <c r="D713" s="148"/>
      <c r="E713" s="921"/>
      <c r="F713" s="921"/>
      <c r="G713" s="932"/>
      <c r="H713" s="932"/>
      <c r="I713" s="932"/>
      <c r="J713" s="932"/>
      <c r="K713" s="932"/>
      <c r="L713" s="932"/>
      <c r="M713" s="932"/>
      <c r="N713" s="929"/>
      <c r="O713" s="929"/>
    </row>
    <row r="714" spans="1:15">
      <c r="A714" s="906" t="s">
        <v>1059</v>
      </c>
      <c r="B714" s="906" t="s">
        <v>1060</v>
      </c>
      <c r="C714" s="145"/>
      <c r="D714" s="148"/>
      <c r="E714" s="921"/>
      <c r="F714" s="921"/>
      <c r="G714" s="932"/>
      <c r="H714" s="932"/>
      <c r="I714" s="932"/>
      <c r="J714" s="932"/>
      <c r="K714" s="932"/>
      <c r="L714" s="932"/>
      <c r="M714" s="932"/>
      <c r="N714" s="929"/>
      <c r="O714" s="929"/>
    </row>
    <row r="715" spans="1:15">
      <c r="C715" s="145"/>
      <c r="D715" s="148"/>
      <c r="E715" s="921"/>
      <c r="F715" s="921"/>
      <c r="G715" s="932"/>
      <c r="H715" s="932"/>
      <c r="I715" s="932"/>
      <c r="J715" s="932"/>
      <c r="K715" s="932"/>
      <c r="L715" s="932"/>
      <c r="M715" s="932"/>
      <c r="N715" s="929"/>
      <c r="O715" s="929"/>
    </row>
    <row r="716" spans="1:15">
      <c r="C716" s="145"/>
      <c r="D716" s="148"/>
      <c r="E716" s="921"/>
      <c r="F716" s="921"/>
      <c r="G716" s="932"/>
      <c r="H716" s="932"/>
      <c r="I716" s="932"/>
      <c r="J716" s="932"/>
      <c r="K716" s="932"/>
      <c r="L716" s="932"/>
      <c r="M716" s="932"/>
      <c r="N716" s="929"/>
      <c r="O716" s="929"/>
    </row>
    <row r="717" spans="1:15">
      <c r="C717" s="145"/>
      <c r="D717" s="148"/>
      <c r="E717" s="921"/>
      <c r="F717" s="921"/>
      <c r="G717" s="932"/>
      <c r="H717" s="932"/>
      <c r="I717" s="932"/>
      <c r="J717" s="932"/>
      <c r="K717" s="932"/>
      <c r="L717" s="932"/>
      <c r="M717" s="932"/>
      <c r="N717" s="929"/>
      <c r="O717" s="929"/>
    </row>
    <row r="718" spans="1:15">
      <c r="C718" s="145"/>
      <c r="D718" s="148"/>
      <c r="E718" s="921"/>
      <c r="F718" s="921"/>
      <c r="G718" s="932"/>
      <c r="H718" s="932"/>
      <c r="I718" s="932"/>
      <c r="J718" s="932"/>
      <c r="K718" s="932"/>
      <c r="L718" s="932"/>
      <c r="M718" s="932"/>
      <c r="N718" s="929"/>
      <c r="O718" s="929"/>
    </row>
    <row r="719" spans="1:15">
      <c r="C719" s="145"/>
      <c r="D719" s="148"/>
      <c r="E719" s="921"/>
      <c r="F719" s="925"/>
      <c r="G719" s="932"/>
      <c r="H719" s="932"/>
      <c r="I719" s="932"/>
      <c r="J719" s="932"/>
      <c r="K719" s="932"/>
      <c r="L719" s="932"/>
      <c r="M719" s="932"/>
      <c r="N719" s="929"/>
      <c r="O719" s="929"/>
    </row>
    <row r="720" spans="1:15">
      <c r="A720" s="906" t="str">
        <f>CBGS1</f>
        <v>Trần Trọng Liêm</v>
      </c>
      <c r="B720" s="906" t="str">
        <f>CBKT1</f>
        <v>Hoàng Đình Tảng</v>
      </c>
      <c r="C720" s="145"/>
      <c r="D720" s="148"/>
      <c r="E720" s="921"/>
      <c r="F720" s="925"/>
      <c r="G720" s="932"/>
      <c r="H720" s="932"/>
      <c r="I720" s="932"/>
      <c r="J720" s="932"/>
      <c r="K720" s="932"/>
      <c r="L720" s="932"/>
      <c r="M720" s="932"/>
      <c r="N720" s="929"/>
      <c r="O720" s="929"/>
    </row>
    <row r="721" spans="1:13">
      <c r="A721" s="148"/>
      <c r="B721" s="148"/>
      <c r="C721" s="151"/>
      <c r="D721" s="148"/>
      <c r="E721" s="921"/>
      <c r="F721" s="921"/>
      <c r="G721" s="921"/>
      <c r="H721" s="921"/>
      <c r="I721" s="921"/>
      <c r="J721" s="921"/>
      <c r="K721" s="921"/>
      <c r="L721" s="921"/>
      <c r="M721" s="921"/>
    </row>
  </sheetData>
  <mergeCells count="711">
    <mergeCell ref="A1:B1"/>
    <mergeCell ref="A2:B2"/>
    <mergeCell ref="A3:B3"/>
    <mergeCell ref="A4:B4"/>
    <mergeCell ref="A5:B5"/>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99:B399"/>
    <mergeCell ref="A400:B400"/>
    <mergeCell ref="A401:B401"/>
    <mergeCell ref="A402:B402"/>
    <mergeCell ref="A403:B403"/>
    <mergeCell ref="A404:B404"/>
    <mergeCell ref="A393:B393"/>
    <mergeCell ref="A394:B394"/>
    <mergeCell ref="A395:B395"/>
    <mergeCell ref="A396:B396"/>
    <mergeCell ref="A397:B397"/>
    <mergeCell ref="A398:B398"/>
    <mergeCell ref="A411:B411"/>
    <mergeCell ref="A412:B412"/>
    <mergeCell ref="A413:B413"/>
    <mergeCell ref="A414:B414"/>
    <mergeCell ref="A415:B415"/>
    <mergeCell ref="A416:B416"/>
    <mergeCell ref="A405:B405"/>
    <mergeCell ref="A406:B406"/>
    <mergeCell ref="A407:B407"/>
    <mergeCell ref="A408:B408"/>
    <mergeCell ref="A409:B409"/>
    <mergeCell ref="A410:B410"/>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35:B435"/>
    <mergeCell ref="A436:B436"/>
    <mergeCell ref="A437:B437"/>
    <mergeCell ref="A438:B438"/>
    <mergeCell ref="A439:B439"/>
    <mergeCell ref="A440:B440"/>
    <mergeCell ref="A429:B429"/>
    <mergeCell ref="A430:B430"/>
    <mergeCell ref="A431:B431"/>
    <mergeCell ref="A432:B432"/>
    <mergeCell ref="A433:B433"/>
    <mergeCell ref="A434:B434"/>
    <mergeCell ref="A447:B447"/>
    <mergeCell ref="A448:B448"/>
    <mergeCell ref="A449:B449"/>
    <mergeCell ref="A450:B450"/>
    <mergeCell ref="A451:B451"/>
    <mergeCell ref="A452:B452"/>
    <mergeCell ref="A441:B441"/>
    <mergeCell ref="A442:B442"/>
    <mergeCell ref="A443:B443"/>
    <mergeCell ref="A444:B444"/>
    <mergeCell ref="A445:B445"/>
    <mergeCell ref="A446:B446"/>
    <mergeCell ref="A459:B459"/>
    <mergeCell ref="A460:B460"/>
    <mergeCell ref="A461:B461"/>
    <mergeCell ref="A462:B462"/>
    <mergeCell ref="A463:B463"/>
    <mergeCell ref="A464:B464"/>
    <mergeCell ref="A453:B453"/>
    <mergeCell ref="A454:B454"/>
    <mergeCell ref="A455:B455"/>
    <mergeCell ref="A456:B456"/>
    <mergeCell ref="A457:B457"/>
    <mergeCell ref="A458:B458"/>
    <mergeCell ref="A471:B471"/>
    <mergeCell ref="A472:B472"/>
    <mergeCell ref="A473:B473"/>
    <mergeCell ref="A474:B474"/>
    <mergeCell ref="A475:B475"/>
    <mergeCell ref="A476:B476"/>
    <mergeCell ref="A465:B465"/>
    <mergeCell ref="A466:B466"/>
    <mergeCell ref="A467:B467"/>
    <mergeCell ref="A468:B468"/>
    <mergeCell ref="A469:B469"/>
    <mergeCell ref="A470:B470"/>
    <mergeCell ref="A483:B483"/>
    <mergeCell ref="A484:B484"/>
    <mergeCell ref="A485:B485"/>
    <mergeCell ref="A486:B486"/>
    <mergeCell ref="A487:B487"/>
    <mergeCell ref="A488:B488"/>
    <mergeCell ref="A477:B477"/>
    <mergeCell ref="A478:B478"/>
    <mergeCell ref="A479:B479"/>
    <mergeCell ref="A480:B480"/>
    <mergeCell ref="A481:B481"/>
    <mergeCell ref="A482:B482"/>
    <mergeCell ref="A495:B495"/>
    <mergeCell ref="A496:B496"/>
    <mergeCell ref="A497:B497"/>
    <mergeCell ref="A498:B498"/>
    <mergeCell ref="A499:B499"/>
    <mergeCell ref="A500:B500"/>
    <mergeCell ref="A489:B489"/>
    <mergeCell ref="A490:B490"/>
    <mergeCell ref="A491:B491"/>
    <mergeCell ref="A492:B492"/>
    <mergeCell ref="A493:B493"/>
    <mergeCell ref="A494:B494"/>
    <mergeCell ref="A507:B507"/>
    <mergeCell ref="A508:B508"/>
    <mergeCell ref="A509:B509"/>
    <mergeCell ref="A510:B510"/>
    <mergeCell ref="A511:B511"/>
    <mergeCell ref="A512:B512"/>
    <mergeCell ref="A501:B501"/>
    <mergeCell ref="A502:B502"/>
    <mergeCell ref="A503:B503"/>
    <mergeCell ref="A504:B504"/>
    <mergeCell ref="A505:B505"/>
    <mergeCell ref="A506:B506"/>
    <mergeCell ref="A519:B519"/>
    <mergeCell ref="A520:B520"/>
    <mergeCell ref="A521:B521"/>
    <mergeCell ref="A522:B522"/>
    <mergeCell ref="A523:B523"/>
    <mergeCell ref="A524:B524"/>
    <mergeCell ref="A513:B513"/>
    <mergeCell ref="A514:B514"/>
    <mergeCell ref="A515:B515"/>
    <mergeCell ref="A516:B516"/>
    <mergeCell ref="A517:B517"/>
    <mergeCell ref="A518:B518"/>
    <mergeCell ref="A531:B531"/>
    <mergeCell ref="A532:B532"/>
    <mergeCell ref="A533:B533"/>
    <mergeCell ref="A534:B534"/>
    <mergeCell ref="A535:B535"/>
    <mergeCell ref="A536:B536"/>
    <mergeCell ref="A525:B525"/>
    <mergeCell ref="A526:B526"/>
    <mergeCell ref="A527:B527"/>
    <mergeCell ref="A528:B528"/>
    <mergeCell ref="A529:B529"/>
    <mergeCell ref="A530:B530"/>
    <mergeCell ref="A543:B543"/>
    <mergeCell ref="A544:B544"/>
    <mergeCell ref="A545:B545"/>
    <mergeCell ref="A546:B546"/>
    <mergeCell ref="A547:B547"/>
    <mergeCell ref="A548:B548"/>
    <mergeCell ref="A537:B537"/>
    <mergeCell ref="A538:B538"/>
    <mergeCell ref="A539:B539"/>
    <mergeCell ref="A540:B540"/>
    <mergeCell ref="A541:B541"/>
    <mergeCell ref="A542:B542"/>
    <mergeCell ref="A555:B555"/>
    <mergeCell ref="A556:B556"/>
    <mergeCell ref="A557:B557"/>
    <mergeCell ref="A558:B558"/>
    <mergeCell ref="A559:B559"/>
    <mergeCell ref="A560:B560"/>
    <mergeCell ref="A549:B549"/>
    <mergeCell ref="A550:B550"/>
    <mergeCell ref="A551:B551"/>
    <mergeCell ref="A552:B552"/>
    <mergeCell ref="A553:B553"/>
    <mergeCell ref="A554:B554"/>
    <mergeCell ref="A567:B567"/>
    <mergeCell ref="A568:B568"/>
    <mergeCell ref="A569:B569"/>
    <mergeCell ref="A570:B570"/>
    <mergeCell ref="A571:B571"/>
    <mergeCell ref="A572:B572"/>
    <mergeCell ref="A561:B561"/>
    <mergeCell ref="A562:B562"/>
    <mergeCell ref="A563:B563"/>
    <mergeCell ref="A564:B564"/>
    <mergeCell ref="A565:B565"/>
    <mergeCell ref="A566:B566"/>
    <mergeCell ref="A579:B579"/>
    <mergeCell ref="A580:B580"/>
    <mergeCell ref="A581:B581"/>
    <mergeCell ref="A582:B582"/>
    <mergeCell ref="A583:B583"/>
    <mergeCell ref="A584:B584"/>
    <mergeCell ref="A573:B573"/>
    <mergeCell ref="A574:B574"/>
    <mergeCell ref="A575:B575"/>
    <mergeCell ref="A576:B576"/>
    <mergeCell ref="A577:B577"/>
    <mergeCell ref="A578:B578"/>
    <mergeCell ref="A591:B591"/>
    <mergeCell ref="A592:B592"/>
    <mergeCell ref="A593:B593"/>
    <mergeCell ref="A594:B594"/>
    <mergeCell ref="A595:B595"/>
    <mergeCell ref="A596:B596"/>
    <mergeCell ref="A585:B585"/>
    <mergeCell ref="A586:B586"/>
    <mergeCell ref="A587:B587"/>
    <mergeCell ref="A588:B588"/>
    <mergeCell ref="A589:B589"/>
    <mergeCell ref="A590:B590"/>
    <mergeCell ref="A603:B603"/>
    <mergeCell ref="A604:B604"/>
    <mergeCell ref="A605:B605"/>
    <mergeCell ref="A606:B606"/>
    <mergeCell ref="A607:B607"/>
    <mergeCell ref="A608:B608"/>
    <mergeCell ref="A597:B597"/>
    <mergeCell ref="A598:B598"/>
    <mergeCell ref="A599:B599"/>
    <mergeCell ref="A600:B600"/>
    <mergeCell ref="A601:B601"/>
    <mergeCell ref="A602:B602"/>
    <mergeCell ref="A615:B615"/>
    <mergeCell ref="A616:B616"/>
    <mergeCell ref="A617:B617"/>
    <mergeCell ref="A618:B618"/>
    <mergeCell ref="A619:B619"/>
    <mergeCell ref="A620:B620"/>
    <mergeCell ref="A609:B609"/>
    <mergeCell ref="A610:B610"/>
    <mergeCell ref="A611:B611"/>
    <mergeCell ref="A612:B612"/>
    <mergeCell ref="A613:B613"/>
    <mergeCell ref="A614:B614"/>
    <mergeCell ref="A627:B627"/>
    <mergeCell ref="A628:B628"/>
    <mergeCell ref="A629:B629"/>
    <mergeCell ref="A630:B630"/>
    <mergeCell ref="A631:B631"/>
    <mergeCell ref="A632:B632"/>
    <mergeCell ref="A621:B621"/>
    <mergeCell ref="A622:B622"/>
    <mergeCell ref="A623:B623"/>
    <mergeCell ref="A624:B624"/>
    <mergeCell ref="A625:B625"/>
    <mergeCell ref="A626:B626"/>
    <mergeCell ref="A639:B639"/>
    <mergeCell ref="A640:B640"/>
    <mergeCell ref="A641:B641"/>
    <mergeCell ref="A642:B642"/>
    <mergeCell ref="A643:B643"/>
    <mergeCell ref="A644:B644"/>
    <mergeCell ref="A633:B633"/>
    <mergeCell ref="A634:B634"/>
    <mergeCell ref="A635:B635"/>
    <mergeCell ref="A636:B636"/>
    <mergeCell ref="A637:B637"/>
    <mergeCell ref="A638:B638"/>
    <mergeCell ref="A651:B651"/>
    <mergeCell ref="A652:B652"/>
    <mergeCell ref="A653:B653"/>
    <mergeCell ref="A654:B654"/>
    <mergeCell ref="A655:B655"/>
    <mergeCell ref="A656:B656"/>
    <mergeCell ref="A645:B645"/>
    <mergeCell ref="A646:B646"/>
    <mergeCell ref="A647:B647"/>
    <mergeCell ref="A648:B648"/>
    <mergeCell ref="A649:B649"/>
    <mergeCell ref="A650:B650"/>
    <mergeCell ref="A663:B663"/>
    <mergeCell ref="A664:B664"/>
    <mergeCell ref="A665:B665"/>
    <mergeCell ref="A666:B666"/>
    <mergeCell ref="A667:B667"/>
    <mergeCell ref="A668:B668"/>
    <mergeCell ref="A657:B657"/>
    <mergeCell ref="A658:B658"/>
    <mergeCell ref="A659:B659"/>
    <mergeCell ref="A660:B660"/>
    <mergeCell ref="A661:B661"/>
    <mergeCell ref="A662:B662"/>
    <mergeCell ref="A675:B675"/>
    <mergeCell ref="A676:B676"/>
    <mergeCell ref="A677:B677"/>
    <mergeCell ref="A678:B678"/>
    <mergeCell ref="A679:B679"/>
    <mergeCell ref="A680:B680"/>
    <mergeCell ref="A669:B669"/>
    <mergeCell ref="A670:B670"/>
    <mergeCell ref="A671:B671"/>
    <mergeCell ref="A672:B672"/>
    <mergeCell ref="A673:B673"/>
    <mergeCell ref="A674:B674"/>
    <mergeCell ref="A687:B687"/>
    <mergeCell ref="A688:B688"/>
    <mergeCell ref="A689:B689"/>
    <mergeCell ref="A690:B690"/>
    <mergeCell ref="A691:B691"/>
    <mergeCell ref="A692:B692"/>
    <mergeCell ref="A681:B681"/>
    <mergeCell ref="A682:B682"/>
    <mergeCell ref="A683:B683"/>
    <mergeCell ref="A684:B684"/>
    <mergeCell ref="A685:B685"/>
    <mergeCell ref="A686:B686"/>
    <mergeCell ref="A699:B699"/>
    <mergeCell ref="A700:B700"/>
    <mergeCell ref="A701:B701"/>
    <mergeCell ref="A702:B702"/>
    <mergeCell ref="A703:B703"/>
    <mergeCell ref="A704:B704"/>
    <mergeCell ref="A693:B693"/>
    <mergeCell ref="A694:B694"/>
    <mergeCell ref="A695:B695"/>
    <mergeCell ref="A696:B696"/>
    <mergeCell ref="A697:B697"/>
    <mergeCell ref="A698:B698"/>
    <mergeCell ref="A711:B711"/>
    <mergeCell ref="A712:B712"/>
    <mergeCell ref="A713:B713"/>
    <mergeCell ref="A705:B705"/>
    <mergeCell ref="A706:B706"/>
    <mergeCell ref="A707:B707"/>
    <mergeCell ref="A708:B708"/>
    <mergeCell ref="A709:B709"/>
    <mergeCell ref="A710:B710"/>
  </mergeCells>
  <dataValidations count="5">
    <dataValidation allowBlank="1" showInputMessage="1" showErrorMessage="1" promptTitle="Hàng chứa" prompt="Dòng chứa thiết bị thi công" sqref="K1:L1" xr:uid="{00000000-0002-0000-4300-000000000000}"/>
    <dataValidation allowBlank="1" showInputMessage="1" showErrorMessage="1" promptTitle="Hàng chứa" prompt="Dòng chứa thời tiết thi cong" sqref="J1" xr:uid="{00000000-0002-0000-4300-000001000000}"/>
    <dataValidation allowBlank="1" showInputMessage="1" showErrorMessage="1" promptTitle="Hàng chứa" prompt="4. Tình hình công tác vệ sinh môi trường:" sqref="H1" xr:uid="{00000000-0002-0000-4300-000002000000}"/>
    <dataValidation allowBlank="1" showInputMessage="1" showErrorMessage="1" promptTitle="Hàng chứa" prompt="3. Nội công việc thi công trong ngày:" sqref="G1" xr:uid="{00000000-0002-0000-4300-000003000000}"/>
    <dataValidation allowBlank="1" showInputMessage="1" showErrorMessage="1" promptTitle="Hàng chứa" prompt="Dòng chứa ngày thi công" sqref="I1" xr:uid="{00000000-0002-0000-4300-000004000000}"/>
  </dataValidations>
  <pageMargins left="0.9055118110236221" right="0.51181102362204722" top="0.55118110236220474"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739329" r:id="rId4" name="Spinner 1">
              <controlPr defaultSize="0" autoPict="0" macro="[0]!chaythu">
                <anchor moveWithCells="1" sizeWithCells="1">
                  <from>
                    <xdr:col>3</xdr:col>
                    <xdr:colOff>95250</xdr:colOff>
                    <xdr:row>1</xdr:row>
                    <xdr:rowOff>180975</xdr:rowOff>
                  </from>
                  <to>
                    <xdr:col>3</xdr:col>
                    <xdr:colOff>333375</xdr:colOff>
                    <xdr:row>4</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8"/>
  <dimension ref="A1:U721"/>
  <sheetViews>
    <sheetView showGridLines="0" zoomScaleNormal="100" workbookViewId="0">
      <pane xSplit="6" ySplit="6" topLeftCell="G7" activePane="bottomRight" state="frozen"/>
      <selection pane="topRight" activeCell="G1" sqref="G1"/>
      <selection pane="bottomLeft" activeCell="A7" sqref="A7"/>
      <selection pane="bottomRight" activeCell="A14" sqref="A14:B14"/>
    </sheetView>
  </sheetViews>
  <sheetFormatPr defaultRowHeight="16.5"/>
  <cols>
    <col min="1" max="1" width="39.33203125" customWidth="1"/>
    <col min="2" max="2" width="36.21875" customWidth="1"/>
    <col min="3" max="3" width="1.88671875" customWidth="1"/>
    <col min="4" max="4" width="5.5546875" customWidth="1"/>
    <col min="5" max="5" width="6" bestFit="1" customWidth="1"/>
    <col min="6" max="6" width="6.77734375" bestFit="1" customWidth="1"/>
    <col min="7" max="7" width="5.6640625" customWidth="1"/>
    <col min="8" max="8" width="6.5546875" customWidth="1"/>
    <col min="9" max="9" width="5.6640625" customWidth="1"/>
    <col min="10" max="10" width="5.77734375" customWidth="1"/>
    <col min="11" max="11" width="6.109375" customWidth="1"/>
    <col min="12" max="12" width="6" customWidth="1"/>
    <col min="13" max="13" width="4.88671875" customWidth="1"/>
    <col min="14" max="14" width="5.6640625" customWidth="1"/>
    <col min="15" max="15" width="71.77734375" customWidth="1"/>
  </cols>
  <sheetData>
    <row r="1" spans="1:21" ht="20.25">
      <c r="A1" s="1972" t="s">
        <v>3842</v>
      </c>
      <c r="B1" s="1972"/>
      <c r="C1" s="145"/>
      <c r="D1" s="186"/>
      <c r="E1" s="927">
        <f>D6+F1</f>
        <v>43966</v>
      </c>
      <c r="F1" s="927">
        <f>MIN(GhiNhatky!A6:A15000)</f>
        <v>43954</v>
      </c>
      <c r="G1" s="928">
        <f>ROW(A15)</f>
        <v>15</v>
      </c>
      <c r="H1" s="928">
        <f>ROW(A706)</f>
        <v>706</v>
      </c>
      <c r="I1" s="928">
        <f>ROW(B6)</f>
        <v>6</v>
      </c>
      <c r="J1" s="928">
        <f>ROW(A8)</f>
        <v>8</v>
      </c>
      <c r="K1" s="928">
        <f>ROW(A12)</f>
        <v>12</v>
      </c>
      <c r="L1" s="928">
        <f>ROW(A14)</f>
        <v>14</v>
      </c>
      <c r="M1" s="932">
        <f>ROW(B714)</f>
        <v>714</v>
      </c>
      <c r="N1" s="929">
        <f>ROW(B720)</f>
        <v>720</v>
      </c>
      <c r="O1" s="929"/>
      <c r="P1" s="929"/>
    </row>
    <row r="2" spans="1:21" hidden="1">
      <c r="A2" s="1973" t="str">
        <f>Tieude1&amp;": "&amp;NDtieude1</f>
        <v>Công trình: Gia cố nâng cấp kênh Bà Xoài từ K0+300÷K0+600 - Hệ thống thủy lợi Nha Trinh, huyện Ninh Hải, tỉnh Ninh Thuận</v>
      </c>
      <c r="B2" s="1973"/>
      <c r="C2" s="146">
        <f>IF(NDtieude1&lt;&gt;"",ROW(),"")</f>
        <v>2</v>
      </c>
      <c r="D2" s="187"/>
      <c r="E2" s="935"/>
      <c r="F2" s="927">
        <f>MAX(GhiNhatky!A6:A15000)</f>
        <v>43989</v>
      </c>
      <c r="G2" s="930"/>
      <c r="H2" s="930"/>
      <c r="I2" s="930"/>
      <c r="J2" s="930"/>
      <c r="K2" s="930"/>
      <c r="L2" s="930"/>
      <c r="M2" s="930"/>
      <c r="N2" s="929"/>
      <c r="O2" s="929"/>
      <c r="P2" s="929"/>
      <c r="U2">
        <f>ROW()</f>
        <v>2</v>
      </c>
    </row>
    <row r="3" spans="1:21">
      <c r="A3" s="1973" t="str">
        <f>Tieude2&amp;": "&amp;NDtieude2</f>
        <v xml:space="preserve">Gói thầu 05: </v>
      </c>
      <c r="B3" s="1973"/>
      <c r="C3" s="146" t="str">
        <f>IF(NDtieude2&lt;&gt;"",ROW(),"")</f>
        <v/>
      </c>
      <c r="D3" s="187"/>
      <c r="E3" s="922"/>
      <c r="F3" s="922"/>
      <c r="G3" s="930"/>
      <c r="H3" s="930"/>
      <c r="I3" s="930"/>
      <c r="J3" s="930"/>
      <c r="K3" s="930"/>
      <c r="L3" s="930"/>
      <c r="M3" s="930"/>
      <c r="N3" s="929"/>
      <c r="O3" s="929"/>
      <c r="P3" s="929"/>
      <c r="U3">
        <f>ROW()</f>
        <v>3</v>
      </c>
    </row>
    <row r="4" spans="1:21">
      <c r="A4" s="1973" t="str">
        <f>Tieude3&amp;": "&amp;NDtieude3</f>
        <v>Hạng mục: Kênh và Công trình trên kênh</v>
      </c>
      <c r="B4" s="1973"/>
      <c r="C4" s="146">
        <f>IF(NDtieude3&lt;&gt;"",ROW(),"")</f>
        <v>4</v>
      </c>
      <c r="D4" s="187"/>
      <c r="E4" s="922"/>
      <c r="F4" s="922"/>
      <c r="G4" s="930"/>
      <c r="H4" s="930"/>
      <c r="I4" s="930"/>
      <c r="J4" s="930"/>
      <c r="K4" s="930"/>
      <c r="L4" s="930"/>
      <c r="M4" s="930"/>
      <c r="N4" s="929"/>
      <c r="O4" s="929"/>
      <c r="P4" s="929"/>
      <c r="U4">
        <f>ROW()</f>
        <v>4</v>
      </c>
    </row>
    <row r="5" spans="1:21">
      <c r="A5" s="1973" t="str">
        <f>"Địa điểm xây dựng : "&amp;DDXD</f>
        <v>Địa điểm xây dựng : Huyện Ninh Hải - Tỉnh Ninh Thuận</v>
      </c>
      <c r="B5" s="1973"/>
      <c r="C5" s="146"/>
      <c r="D5" s="187"/>
      <c r="E5" s="922"/>
      <c r="F5" s="922"/>
      <c r="G5" s="930"/>
      <c r="H5" s="930"/>
      <c r="I5" s="930"/>
      <c r="J5" s="930"/>
      <c r="K5" s="930"/>
      <c r="L5" s="930"/>
      <c r="M5" s="930"/>
      <c r="N5" s="929"/>
      <c r="O5" s="929"/>
      <c r="P5" s="929"/>
      <c r="U5">
        <f>ROW()</f>
        <v>5</v>
      </c>
    </row>
    <row r="6" spans="1:21">
      <c r="B6" s="926">
        <v>43966</v>
      </c>
      <c r="C6" s="145"/>
      <c r="D6" s="152">
        <v>12</v>
      </c>
      <c r="E6" s="921"/>
      <c r="F6" s="921"/>
      <c r="G6" s="932"/>
      <c r="H6" s="932"/>
      <c r="I6" s="932"/>
      <c r="J6" s="932"/>
      <c r="K6" s="932"/>
      <c r="L6" s="932"/>
      <c r="M6" s="932"/>
      <c r="N6" s="929"/>
      <c r="O6" s="929"/>
      <c r="P6" s="929"/>
    </row>
    <row r="7" spans="1:21">
      <c r="C7" s="145"/>
      <c r="D7" s="186"/>
      <c r="E7" s="921"/>
      <c r="F7" s="921"/>
      <c r="G7" s="932"/>
      <c r="H7" s="932"/>
      <c r="I7" s="932"/>
      <c r="J7" s="932"/>
      <c r="K7" s="932"/>
      <c r="L7" s="932"/>
      <c r="M7" s="932"/>
      <c r="N7" s="929"/>
      <c r="O7" s="929"/>
      <c r="P7" s="929"/>
    </row>
    <row r="8" spans="1:21">
      <c r="A8" s="1975" t="s">
        <v>5422</v>
      </c>
      <c r="B8" s="1975"/>
      <c r="C8" s="145"/>
      <c r="D8" s="186"/>
      <c r="E8" s="921"/>
      <c r="F8" s="921"/>
      <c r="G8" s="932"/>
      <c r="H8" s="932"/>
      <c r="I8" s="932"/>
      <c r="J8" s="932"/>
      <c r="K8" s="932"/>
      <c r="L8" s="932"/>
      <c r="M8" s="932"/>
      <c r="N8" s="929"/>
      <c r="O8" s="929"/>
      <c r="P8" s="929"/>
    </row>
    <row r="9" spans="1:21">
      <c r="A9" s="1969" t="s">
        <v>1050</v>
      </c>
      <c r="B9" s="1970"/>
      <c r="C9" s="145"/>
      <c r="D9" s="186"/>
      <c r="E9" s="921"/>
      <c r="F9" s="921"/>
      <c r="G9" s="932"/>
      <c r="H9" s="932"/>
      <c r="I9" s="932"/>
      <c r="J9" s="932"/>
      <c r="K9" s="932"/>
      <c r="L9" s="932"/>
      <c r="M9" s="932"/>
      <c r="N9" s="929"/>
      <c r="O9" s="929"/>
      <c r="P9" s="929"/>
    </row>
    <row r="10" spans="1:21">
      <c r="A10" s="1970" t="s">
        <v>1051</v>
      </c>
      <c r="B10" s="1970"/>
      <c r="C10" s="145"/>
      <c r="D10" s="186"/>
      <c r="E10" s="921"/>
      <c r="F10" s="921"/>
      <c r="G10" s="932"/>
      <c r="H10" s="932"/>
      <c r="I10" s="932"/>
      <c r="J10" s="932"/>
      <c r="K10" s="932"/>
      <c r="L10" s="932"/>
      <c r="M10" s="932"/>
      <c r="N10" s="929"/>
      <c r="O10" s="929"/>
      <c r="P10" s="929"/>
    </row>
    <row r="11" spans="1:21">
      <c r="A11" s="1968" t="s">
        <v>1052</v>
      </c>
      <c r="B11" s="1968"/>
      <c r="C11" s="145"/>
      <c r="D11" s="186"/>
      <c r="E11" s="921"/>
      <c r="F11" s="921"/>
      <c r="G11" s="932"/>
      <c r="H11" s="932"/>
      <c r="I11" s="932"/>
      <c r="J11" s="932"/>
      <c r="K11" s="932"/>
      <c r="L11" s="932"/>
      <c r="M11" s="932"/>
      <c r="N11" s="929"/>
      <c r="O11" s="929"/>
      <c r="P11" s="929"/>
    </row>
    <row r="12" spans="1:21">
      <c r="A12" s="1968" t="s">
        <v>6211</v>
      </c>
      <c r="B12" s="1968"/>
      <c r="C12" s="145"/>
      <c r="D12" s="186"/>
      <c r="E12" s="921"/>
      <c r="F12" s="921"/>
      <c r="G12" s="932"/>
      <c r="H12" s="932"/>
      <c r="I12" s="932"/>
      <c r="J12" s="932"/>
      <c r="K12" s="932"/>
      <c r="L12" s="932"/>
      <c r="M12" s="932"/>
      <c r="N12" s="929"/>
      <c r="O12" s="929"/>
      <c r="P12" s="929"/>
    </row>
    <row r="13" spans="1:21">
      <c r="A13" s="1970" t="s">
        <v>1053</v>
      </c>
      <c r="B13" s="1970"/>
      <c r="C13" s="145"/>
      <c r="D13" s="186"/>
      <c r="E13" s="921"/>
      <c r="F13" s="921"/>
      <c r="G13" s="932"/>
      <c r="H13" s="932"/>
      <c r="I13" s="932"/>
      <c r="J13" s="932"/>
      <c r="K13" s="932"/>
      <c r="L13" s="932"/>
      <c r="M13" s="932"/>
      <c r="N13" s="929"/>
      <c r="O13" s="929"/>
      <c r="P13" s="929"/>
    </row>
    <row r="14" spans="1:21">
      <c r="A14" s="1455"/>
      <c r="B14" s="1455"/>
      <c r="C14" s="145"/>
      <c r="D14" s="186"/>
      <c r="E14" s="921"/>
      <c r="F14" s="921"/>
      <c r="G14" s="932"/>
      <c r="H14" s="932"/>
      <c r="I14" s="932"/>
      <c r="J14" s="932"/>
      <c r="K14" s="932"/>
      <c r="L14" s="932"/>
      <c r="M14" s="932"/>
      <c r="N14" s="929"/>
      <c r="O14" s="933" t="str">
        <f>IF(A14&lt;&gt;"",A14,"")</f>
        <v/>
      </c>
      <c r="P14" s="929"/>
    </row>
    <row r="15" spans="1:21">
      <c r="A15" s="1969" t="s">
        <v>1054</v>
      </c>
      <c r="B15" s="1970"/>
      <c r="C15" s="145"/>
      <c r="D15" s="189"/>
      <c r="E15" s="923"/>
      <c r="F15" s="923"/>
      <c r="G15" s="934"/>
      <c r="H15" s="934"/>
      <c r="I15" s="934"/>
      <c r="J15" s="934"/>
      <c r="K15" s="934"/>
      <c r="L15" s="934"/>
      <c r="M15" s="934"/>
      <c r="N15" s="929"/>
      <c r="O15" s="933"/>
      <c r="P15" s="929"/>
    </row>
    <row r="16" spans="1:21">
      <c r="A16" s="1974" t="s">
        <v>6130</v>
      </c>
      <c r="B16" s="1974"/>
      <c r="C16" s="145">
        <f t="shared" ref="C16:C79" si="0">IF(A16&lt;&gt;"",ROW(),"")</f>
        <v>16</v>
      </c>
      <c r="D16" s="189"/>
      <c r="E16" s="923"/>
      <c r="F16" s="923"/>
      <c r="G16" s="934"/>
      <c r="H16" s="934"/>
      <c r="I16" s="934"/>
      <c r="J16" s="934"/>
      <c r="K16" s="934"/>
      <c r="L16" s="934"/>
      <c r="M16" s="934"/>
      <c r="N16" s="929"/>
      <c r="O16" s="933" t="str">
        <f>IF(A16&lt;&gt;"",A16,"")</f>
        <v xml:space="preserve">   - Bảo dưỡng vữa lót móng M75 Đoạn Km0+400 đến Km0+500</v>
      </c>
      <c r="P16" s="929"/>
    </row>
    <row r="17" spans="1:16">
      <c r="A17" s="1974" t="s">
        <v>6135</v>
      </c>
      <c r="B17" s="1974"/>
      <c r="C17" s="145">
        <f t="shared" si="0"/>
        <v>17</v>
      </c>
      <c r="D17" s="189"/>
      <c r="E17" s="923"/>
      <c r="F17" s="923"/>
      <c r="G17" s="934"/>
      <c r="H17" s="934"/>
      <c r="I17" s="934"/>
      <c r="J17" s="934"/>
      <c r="K17" s="934"/>
      <c r="L17" s="934"/>
      <c r="M17" s="934"/>
      <c r="N17" s="929"/>
      <c r="O17" s="933" t="str">
        <f t="shared" ref="O17:O80" si="1">IF(A17&lt;&gt;"",A17,"")</f>
        <v xml:space="preserve">   - Bảo dưỡng vữa lót móng M75 Đoạn Km0+500 đến Km0+600</v>
      </c>
      <c r="P17" s="929"/>
    </row>
    <row r="18" spans="1:16" hidden="1">
      <c r="A18" s="1974"/>
      <c r="B18" s="1974"/>
      <c r="C18" s="145" t="str">
        <f t="shared" si="0"/>
        <v/>
      </c>
      <c r="D18" s="189"/>
      <c r="E18" s="923"/>
      <c r="F18" s="923"/>
      <c r="G18" s="934"/>
      <c r="H18" s="934"/>
      <c r="I18" s="934"/>
      <c r="J18" s="934"/>
      <c r="K18" s="934"/>
      <c r="L18" s="934"/>
      <c r="M18" s="934"/>
      <c r="N18" s="929"/>
      <c r="O18" s="933" t="str">
        <f t="shared" si="1"/>
        <v/>
      </c>
      <c r="P18" s="929"/>
    </row>
    <row r="19" spans="1:16" hidden="1">
      <c r="A19" s="1974"/>
      <c r="B19" s="1974"/>
      <c r="C19" s="145" t="str">
        <f t="shared" si="0"/>
        <v/>
      </c>
      <c r="D19" s="189"/>
      <c r="E19" s="923"/>
      <c r="F19" s="923"/>
      <c r="G19" s="934"/>
      <c r="H19" s="934"/>
      <c r="I19" s="934"/>
      <c r="J19" s="934"/>
      <c r="K19" s="934"/>
      <c r="L19" s="934"/>
      <c r="M19" s="934"/>
      <c r="N19" s="929"/>
      <c r="O19" s="933" t="str">
        <f t="shared" si="1"/>
        <v/>
      </c>
      <c r="P19" s="929"/>
    </row>
    <row r="20" spans="1:16" hidden="1">
      <c r="A20" s="1974"/>
      <c r="B20" s="1974"/>
      <c r="C20" s="145" t="str">
        <f t="shared" si="0"/>
        <v/>
      </c>
      <c r="D20" s="189"/>
      <c r="E20" s="923"/>
      <c r="F20" s="923"/>
      <c r="G20" s="934"/>
      <c r="H20" s="934"/>
      <c r="I20" s="934"/>
      <c r="J20" s="934"/>
      <c r="K20" s="934"/>
      <c r="L20" s="934"/>
      <c r="M20" s="934"/>
      <c r="N20" s="929"/>
      <c r="O20" s="933" t="str">
        <f t="shared" si="1"/>
        <v/>
      </c>
      <c r="P20" s="929"/>
    </row>
    <row r="21" spans="1:16" hidden="1">
      <c r="A21" s="1974"/>
      <c r="B21" s="1974"/>
      <c r="C21" s="145" t="str">
        <f t="shared" si="0"/>
        <v/>
      </c>
      <c r="D21" s="189"/>
      <c r="E21" s="923"/>
      <c r="F21" s="923"/>
      <c r="G21" s="934"/>
      <c r="H21" s="934"/>
      <c r="I21" s="934"/>
      <c r="J21" s="934"/>
      <c r="K21" s="934"/>
      <c r="L21" s="934"/>
      <c r="M21" s="934"/>
      <c r="N21" s="929"/>
      <c r="O21" s="933" t="str">
        <f t="shared" si="1"/>
        <v/>
      </c>
      <c r="P21" s="929"/>
    </row>
    <row r="22" spans="1:16" hidden="1">
      <c r="A22" s="1974"/>
      <c r="B22" s="1974"/>
      <c r="C22" s="145" t="str">
        <f t="shared" si="0"/>
        <v/>
      </c>
      <c r="D22" s="189"/>
      <c r="E22" s="923"/>
      <c r="F22" s="923"/>
      <c r="G22" s="934"/>
      <c r="H22" s="934"/>
      <c r="I22" s="934"/>
      <c r="J22" s="934"/>
      <c r="K22" s="934"/>
      <c r="L22" s="934"/>
      <c r="M22" s="934"/>
      <c r="N22" s="929"/>
      <c r="O22" s="933" t="str">
        <f t="shared" si="1"/>
        <v/>
      </c>
      <c r="P22" s="929"/>
    </row>
    <row r="23" spans="1:16" hidden="1">
      <c r="A23" s="1974"/>
      <c r="B23" s="1974"/>
      <c r="C23" s="145" t="str">
        <f t="shared" si="0"/>
        <v/>
      </c>
      <c r="D23" s="189"/>
      <c r="E23" s="923"/>
      <c r="F23" s="923"/>
      <c r="G23" s="934"/>
      <c r="H23" s="934"/>
      <c r="I23" s="934"/>
      <c r="J23" s="934"/>
      <c r="K23" s="934"/>
      <c r="L23" s="934"/>
      <c r="M23" s="934"/>
      <c r="N23" s="929"/>
      <c r="O23" s="933" t="str">
        <f t="shared" si="1"/>
        <v/>
      </c>
      <c r="P23" s="929"/>
    </row>
    <row r="24" spans="1:16" hidden="1">
      <c r="A24" s="1974"/>
      <c r="B24" s="1974"/>
      <c r="C24" s="145" t="str">
        <f t="shared" si="0"/>
        <v/>
      </c>
      <c r="D24" s="189"/>
      <c r="E24" s="923"/>
      <c r="F24" s="923"/>
      <c r="G24" s="934"/>
      <c r="H24" s="934"/>
      <c r="I24" s="934"/>
      <c r="J24" s="934"/>
      <c r="K24" s="934"/>
      <c r="L24" s="934"/>
      <c r="M24" s="934"/>
      <c r="N24" s="929"/>
      <c r="O24" s="933" t="str">
        <f t="shared" si="1"/>
        <v/>
      </c>
      <c r="P24" s="929"/>
    </row>
    <row r="25" spans="1:16" hidden="1">
      <c r="A25" s="1974"/>
      <c r="B25" s="1974"/>
      <c r="C25" s="145" t="str">
        <f t="shared" si="0"/>
        <v/>
      </c>
      <c r="D25" s="189"/>
      <c r="E25" s="923"/>
      <c r="F25" s="923"/>
      <c r="G25" s="934"/>
      <c r="H25" s="934"/>
      <c r="I25" s="934"/>
      <c r="J25" s="934"/>
      <c r="K25" s="934"/>
      <c r="L25" s="934"/>
      <c r="M25" s="934"/>
      <c r="N25" s="929"/>
      <c r="O25" s="933" t="str">
        <f t="shared" si="1"/>
        <v/>
      </c>
      <c r="P25" s="929"/>
    </row>
    <row r="26" spans="1:16" hidden="1">
      <c r="A26" s="1974"/>
      <c r="B26" s="1974"/>
      <c r="C26" s="145" t="str">
        <f t="shared" si="0"/>
        <v/>
      </c>
      <c r="D26" s="189"/>
      <c r="E26" s="923"/>
      <c r="F26" s="923"/>
      <c r="G26" s="934"/>
      <c r="H26" s="934"/>
      <c r="I26" s="934"/>
      <c r="J26" s="934"/>
      <c r="K26" s="934"/>
      <c r="L26" s="934"/>
      <c r="M26" s="934"/>
      <c r="N26" s="929"/>
      <c r="O26" s="933" t="str">
        <f t="shared" si="1"/>
        <v/>
      </c>
      <c r="P26" s="929"/>
    </row>
    <row r="27" spans="1:16" hidden="1">
      <c r="A27" s="1974"/>
      <c r="B27" s="1974"/>
      <c r="C27" s="145" t="str">
        <f t="shared" si="0"/>
        <v/>
      </c>
      <c r="D27" s="189"/>
      <c r="E27" s="923"/>
      <c r="F27" s="923"/>
      <c r="G27" s="934"/>
      <c r="H27" s="934"/>
      <c r="I27" s="934"/>
      <c r="J27" s="934"/>
      <c r="K27" s="934"/>
      <c r="L27" s="934"/>
      <c r="M27" s="934"/>
      <c r="N27" s="929"/>
      <c r="O27" s="933" t="str">
        <f t="shared" si="1"/>
        <v/>
      </c>
      <c r="P27" s="929"/>
    </row>
    <row r="28" spans="1:16" hidden="1">
      <c r="A28" s="1974"/>
      <c r="B28" s="1974"/>
      <c r="C28" s="145" t="str">
        <f t="shared" si="0"/>
        <v/>
      </c>
      <c r="D28" s="189"/>
      <c r="E28" s="923"/>
      <c r="F28" s="923"/>
      <c r="G28" s="934"/>
      <c r="H28" s="934"/>
      <c r="I28" s="934"/>
      <c r="J28" s="934"/>
      <c r="K28" s="934"/>
      <c r="L28" s="934"/>
      <c r="M28" s="934"/>
      <c r="N28" s="929"/>
      <c r="O28" s="933" t="str">
        <f t="shared" si="1"/>
        <v/>
      </c>
      <c r="P28" s="929"/>
    </row>
    <row r="29" spans="1:16" hidden="1">
      <c r="A29" s="1974"/>
      <c r="B29" s="1974"/>
      <c r="C29" s="145" t="str">
        <f t="shared" si="0"/>
        <v/>
      </c>
      <c r="D29" s="189"/>
      <c r="E29" s="923"/>
      <c r="F29" s="923"/>
      <c r="G29" s="934"/>
      <c r="H29" s="934"/>
      <c r="I29" s="934"/>
      <c r="J29" s="934"/>
      <c r="K29" s="934"/>
      <c r="L29" s="934"/>
      <c r="M29" s="934"/>
      <c r="N29" s="929"/>
      <c r="O29" s="933" t="str">
        <f t="shared" si="1"/>
        <v/>
      </c>
      <c r="P29" s="929"/>
    </row>
    <row r="30" spans="1:16" hidden="1">
      <c r="A30" s="1974"/>
      <c r="B30" s="1974"/>
      <c r="C30" s="145" t="str">
        <f t="shared" si="0"/>
        <v/>
      </c>
      <c r="D30" s="189"/>
      <c r="E30" s="923"/>
      <c r="F30" s="923"/>
      <c r="G30" s="934"/>
      <c r="H30" s="934"/>
      <c r="I30" s="934"/>
      <c r="J30" s="934"/>
      <c r="K30" s="934"/>
      <c r="L30" s="934"/>
      <c r="M30" s="934"/>
      <c r="N30" s="929"/>
      <c r="O30" s="933" t="str">
        <f t="shared" si="1"/>
        <v/>
      </c>
      <c r="P30" s="929"/>
    </row>
    <row r="31" spans="1:16" hidden="1">
      <c r="A31" s="1974"/>
      <c r="B31" s="1974"/>
      <c r="C31" s="145" t="str">
        <f t="shared" si="0"/>
        <v/>
      </c>
      <c r="D31" s="189"/>
      <c r="E31" s="923"/>
      <c r="F31" s="923"/>
      <c r="G31" s="934"/>
      <c r="H31" s="934"/>
      <c r="I31" s="934"/>
      <c r="J31" s="934"/>
      <c r="K31" s="934"/>
      <c r="L31" s="934"/>
      <c r="M31" s="934"/>
      <c r="N31" s="929"/>
      <c r="O31" s="933" t="str">
        <f t="shared" si="1"/>
        <v/>
      </c>
      <c r="P31" s="929"/>
    </row>
    <row r="32" spans="1:16" hidden="1">
      <c r="A32" s="1974"/>
      <c r="B32" s="1974"/>
      <c r="C32" s="145" t="str">
        <f t="shared" si="0"/>
        <v/>
      </c>
      <c r="D32" s="189"/>
      <c r="E32" s="923"/>
      <c r="F32" s="923"/>
      <c r="G32" s="934"/>
      <c r="H32" s="934"/>
      <c r="I32" s="934"/>
      <c r="J32" s="934"/>
      <c r="K32" s="934"/>
      <c r="L32" s="934"/>
      <c r="M32" s="934"/>
      <c r="N32" s="929"/>
      <c r="O32" s="933" t="str">
        <f t="shared" si="1"/>
        <v/>
      </c>
      <c r="P32" s="929"/>
    </row>
    <row r="33" spans="1:16" hidden="1">
      <c r="A33" s="1974"/>
      <c r="B33" s="1974"/>
      <c r="C33" s="145" t="str">
        <f t="shared" si="0"/>
        <v/>
      </c>
      <c r="D33" s="189"/>
      <c r="E33" s="923"/>
      <c r="F33" s="923"/>
      <c r="G33" s="934"/>
      <c r="H33" s="934"/>
      <c r="I33" s="934"/>
      <c r="J33" s="934"/>
      <c r="K33" s="934"/>
      <c r="L33" s="934"/>
      <c r="M33" s="934"/>
      <c r="N33" s="929"/>
      <c r="O33" s="933" t="str">
        <f t="shared" si="1"/>
        <v/>
      </c>
      <c r="P33" s="929"/>
    </row>
    <row r="34" spans="1:16" hidden="1">
      <c r="A34" s="1974"/>
      <c r="B34" s="1974"/>
      <c r="C34" s="145" t="str">
        <f t="shared" si="0"/>
        <v/>
      </c>
      <c r="D34" s="189"/>
      <c r="E34" s="923"/>
      <c r="F34" s="923"/>
      <c r="G34" s="934"/>
      <c r="H34" s="934"/>
      <c r="I34" s="934"/>
      <c r="J34" s="934"/>
      <c r="K34" s="934"/>
      <c r="L34" s="934"/>
      <c r="M34" s="934"/>
      <c r="N34" s="929"/>
      <c r="O34" s="933" t="str">
        <f t="shared" si="1"/>
        <v/>
      </c>
      <c r="P34" s="929"/>
    </row>
    <row r="35" spans="1:16" hidden="1">
      <c r="A35" s="1974"/>
      <c r="B35" s="1974"/>
      <c r="C35" s="145" t="str">
        <f t="shared" si="0"/>
        <v/>
      </c>
      <c r="D35" s="189"/>
      <c r="E35" s="923"/>
      <c r="F35" s="923"/>
      <c r="G35" s="934"/>
      <c r="H35" s="934"/>
      <c r="I35" s="934"/>
      <c r="J35" s="934"/>
      <c r="K35" s="934"/>
      <c r="L35" s="934"/>
      <c r="M35" s="934"/>
      <c r="N35" s="929"/>
      <c r="O35" s="933" t="str">
        <f t="shared" si="1"/>
        <v/>
      </c>
      <c r="P35" s="929"/>
    </row>
    <row r="36" spans="1:16" hidden="1">
      <c r="A36" s="1974"/>
      <c r="B36" s="1974"/>
      <c r="C36" s="145" t="str">
        <f t="shared" si="0"/>
        <v/>
      </c>
      <c r="D36" s="189"/>
      <c r="E36" s="923"/>
      <c r="F36" s="923"/>
      <c r="G36" s="934"/>
      <c r="H36" s="934"/>
      <c r="I36" s="934"/>
      <c r="J36" s="934"/>
      <c r="K36" s="934"/>
      <c r="L36" s="934"/>
      <c r="M36" s="934"/>
      <c r="N36" s="929"/>
      <c r="O36" s="933" t="str">
        <f t="shared" si="1"/>
        <v/>
      </c>
      <c r="P36" s="929"/>
    </row>
    <row r="37" spans="1:16" hidden="1">
      <c r="A37" s="1974"/>
      <c r="B37" s="1974"/>
      <c r="C37" s="145" t="str">
        <f t="shared" si="0"/>
        <v/>
      </c>
      <c r="D37" s="189"/>
      <c r="E37" s="923"/>
      <c r="F37" s="923"/>
      <c r="G37" s="934"/>
      <c r="H37" s="934"/>
      <c r="I37" s="934"/>
      <c r="J37" s="934"/>
      <c r="K37" s="934"/>
      <c r="L37" s="934"/>
      <c r="M37" s="934"/>
      <c r="N37" s="929"/>
      <c r="O37" s="933" t="str">
        <f t="shared" si="1"/>
        <v/>
      </c>
      <c r="P37" s="929"/>
    </row>
    <row r="38" spans="1:16" hidden="1">
      <c r="A38" s="1974"/>
      <c r="B38" s="1974"/>
      <c r="C38" s="145" t="str">
        <f t="shared" si="0"/>
        <v/>
      </c>
      <c r="D38" s="189"/>
      <c r="E38" s="923"/>
      <c r="F38" s="923"/>
      <c r="G38" s="934"/>
      <c r="H38" s="934"/>
      <c r="I38" s="934"/>
      <c r="J38" s="934"/>
      <c r="K38" s="934"/>
      <c r="L38" s="934"/>
      <c r="M38" s="934"/>
      <c r="N38" s="929"/>
      <c r="O38" s="933" t="str">
        <f t="shared" si="1"/>
        <v/>
      </c>
      <c r="P38" s="929"/>
    </row>
    <row r="39" spans="1:16" hidden="1">
      <c r="A39" s="1974"/>
      <c r="B39" s="1974"/>
      <c r="C39" s="145" t="str">
        <f t="shared" si="0"/>
        <v/>
      </c>
      <c r="D39" s="189"/>
      <c r="E39" s="923"/>
      <c r="F39" s="923"/>
      <c r="G39" s="934"/>
      <c r="H39" s="934"/>
      <c r="I39" s="934"/>
      <c r="J39" s="934"/>
      <c r="K39" s="934"/>
      <c r="L39" s="934"/>
      <c r="M39" s="934"/>
      <c r="N39" s="929"/>
      <c r="O39" s="933" t="str">
        <f t="shared" si="1"/>
        <v/>
      </c>
      <c r="P39" s="929"/>
    </row>
    <row r="40" spans="1:16" hidden="1">
      <c r="A40" s="1974"/>
      <c r="B40" s="1974"/>
      <c r="C40" s="145" t="str">
        <f t="shared" si="0"/>
        <v/>
      </c>
      <c r="D40" s="189"/>
      <c r="E40" s="923"/>
      <c r="F40" s="923"/>
      <c r="G40" s="934"/>
      <c r="H40" s="934"/>
      <c r="I40" s="934"/>
      <c r="J40" s="934"/>
      <c r="K40" s="934"/>
      <c r="L40" s="934"/>
      <c r="M40" s="934"/>
      <c r="N40" s="929"/>
      <c r="O40" s="933" t="str">
        <f t="shared" si="1"/>
        <v/>
      </c>
      <c r="P40" s="929"/>
    </row>
    <row r="41" spans="1:16" hidden="1">
      <c r="A41" s="1974"/>
      <c r="B41" s="1974"/>
      <c r="C41" s="145" t="str">
        <f t="shared" si="0"/>
        <v/>
      </c>
      <c r="D41" s="189"/>
      <c r="E41" s="923"/>
      <c r="F41" s="923"/>
      <c r="G41" s="934"/>
      <c r="H41" s="934"/>
      <c r="I41" s="934"/>
      <c r="J41" s="934"/>
      <c r="K41" s="934"/>
      <c r="L41" s="934"/>
      <c r="M41" s="934"/>
      <c r="N41" s="929"/>
      <c r="O41" s="933" t="str">
        <f t="shared" si="1"/>
        <v/>
      </c>
      <c r="P41" s="929"/>
    </row>
    <row r="42" spans="1:16" hidden="1">
      <c r="A42" s="1974"/>
      <c r="B42" s="1974"/>
      <c r="C42" s="145" t="str">
        <f t="shared" si="0"/>
        <v/>
      </c>
      <c r="D42" s="189"/>
      <c r="E42" s="923"/>
      <c r="F42" s="923"/>
      <c r="G42" s="934"/>
      <c r="H42" s="934"/>
      <c r="I42" s="934"/>
      <c r="J42" s="934"/>
      <c r="K42" s="934"/>
      <c r="L42" s="934"/>
      <c r="M42" s="934"/>
      <c r="N42" s="929"/>
      <c r="O42" s="933" t="str">
        <f t="shared" si="1"/>
        <v/>
      </c>
      <c r="P42" s="929"/>
    </row>
    <row r="43" spans="1:16" hidden="1">
      <c r="A43" s="1974"/>
      <c r="B43" s="1974"/>
      <c r="C43" s="145" t="str">
        <f t="shared" si="0"/>
        <v/>
      </c>
      <c r="D43" s="189"/>
      <c r="E43" s="923"/>
      <c r="F43" s="923"/>
      <c r="G43" s="934"/>
      <c r="H43" s="934"/>
      <c r="I43" s="934"/>
      <c r="J43" s="934"/>
      <c r="K43" s="934"/>
      <c r="L43" s="934"/>
      <c r="M43" s="934"/>
      <c r="N43" s="929"/>
      <c r="O43" s="933" t="str">
        <f t="shared" si="1"/>
        <v/>
      </c>
      <c r="P43" s="929"/>
    </row>
    <row r="44" spans="1:16" hidden="1">
      <c r="A44" s="1974"/>
      <c r="B44" s="1974"/>
      <c r="C44" s="145" t="str">
        <f t="shared" si="0"/>
        <v/>
      </c>
      <c r="D44" s="189"/>
      <c r="E44" s="923"/>
      <c r="F44" s="923"/>
      <c r="G44" s="934"/>
      <c r="H44" s="934"/>
      <c r="I44" s="934"/>
      <c r="J44" s="934"/>
      <c r="K44" s="934"/>
      <c r="L44" s="934"/>
      <c r="M44" s="934"/>
      <c r="N44" s="929"/>
      <c r="O44" s="933" t="str">
        <f t="shared" si="1"/>
        <v/>
      </c>
      <c r="P44" s="929"/>
    </row>
    <row r="45" spans="1:16" hidden="1">
      <c r="A45" s="1974"/>
      <c r="B45" s="1974"/>
      <c r="C45" s="145" t="str">
        <f t="shared" si="0"/>
        <v/>
      </c>
      <c r="D45" s="189"/>
      <c r="E45" s="923"/>
      <c r="F45" s="923"/>
      <c r="G45" s="934"/>
      <c r="H45" s="934"/>
      <c r="I45" s="934"/>
      <c r="J45" s="934"/>
      <c r="K45" s="934"/>
      <c r="L45" s="934"/>
      <c r="M45" s="934"/>
      <c r="N45" s="929"/>
      <c r="O45" s="933" t="str">
        <f t="shared" si="1"/>
        <v/>
      </c>
      <c r="P45" s="929"/>
    </row>
    <row r="46" spans="1:16" hidden="1">
      <c r="A46" s="1974"/>
      <c r="B46" s="1974"/>
      <c r="C46" s="145" t="str">
        <f t="shared" si="0"/>
        <v/>
      </c>
      <c r="D46" s="189"/>
      <c r="E46" s="923"/>
      <c r="F46" s="923"/>
      <c r="G46" s="934"/>
      <c r="H46" s="934"/>
      <c r="I46" s="934"/>
      <c r="J46" s="934"/>
      <c r="K46" s="934"/>
      <c r="L46" s="934"/>
      <c r="M46" s="934"/>
      <c r="N46" s="929"/>
      <c r="O46" s="933" t="str">
        <f t="shared" si="1"/>
        <v/>
      </c>
      <c r="P46" s="929"/>
    </row>
    <row r="47" spans="1:16" hidden="1">
      <c r="A47" s="1974"/>
      <c r="B47" s="1974"/>
      <c r="C47" s="145" t="str">
        <f t="shared" si="0"/>
        <v/>
      </c>
      <c r="D47" s="189"/>
      <c r="E47" s="923"/>
      <c r="F47" s="923"/>
      <c r="G47" s="934"/>
      <c r="H47" s="934"/>
      <c r="I47" s="934"/>
      <c r="J47" s="934"/>
      <c r="K47" s="934"/>
      <c r="L47" s="934"/>
      <c r="M47" s="934"/>
      <c r="N47" s="929"/>
      <c r="O47" s="933" t="str">
        <f t="shared" si="1"/>
        <v/>
      </c>
      <c r="P47" s="929"/>
    </row>
    <row r="48" spans="1:16" hidden="1">
      <c r="A48" s="1974"/>
      <c r="B48" s="1974"/>
      <c r="C48" s="145" t="str">
        <f t="shared" si="0"/>
        <v/>
      </c>
      <c r="D48" s="189"/>
      <c r="E48" s="923"/>
      <c r="F48" s="923"/>
      <c r="G48" s="934"/>
      <c r="H48" s="934"/>
      <c r="I48" s="934"/>
      <c r="J48" s="934"/>
      <c r="K48" s="934"/>
      <c r="L48" s="934"/>
      <c r="M48" s="934"/>
      <c r="N48" s="929"/>
      <c r="O48" s="933" t="str">
        <f t="shared" si="1"/>
        <v/>
      </c>
      <c r="P48" s="929"/>
    </row>
    <row r="49" spans="1:16" hidden="1">
      <c r="A49" s="1974"/>
      <c r="B49" s="1974"/>
      <c r="C49" s="145" t="str">
        <f t="shared" si="0"/>
        <v/>
      </c>
      <c r="D49" s="189"/>
      <c r="E49" s="923"/>
      <c r="F49" s="923"/>
      <c r="G49" s="934"/>
      <c r="H49" s="934"/>
      <c r="I49" s="934"/>
      <c r="J49" s="934"/>
      <c r="K49" s="934"/>
      <c r="L49" s="934"/>
      <c r="M49" s="934"/>
      <c r="N49" s="929"/>
      <c r="O49" s="933" t="str">
        <f t="shared" si="1"/>
        <v/>
      </c>
      <c r="P49" s="929"/>
    </row>
    <row r="50" spans="1:16" hidden="1">
      <c r="A50" s="1974"/>
      <c r="B50" s="1974"/>
      <c r="C50" s="145" t="str">
        <f t="shared" si="0"/>
        <v/>
      </c>
      <c r="D50" s="189"/>
      <c r="E50" s="923"/>
      <c r="F50" s="923"/>
      <c r="G50" s="934"/>
      <c r="H50" s="934"/>
      <c r="I50" s="934"/>
      <c r="J50" s="934"/>
      <c r="K50" s="934"/>
      <c r="L50" s="934"/>
      <c r="M50" s="934"/>
      <c r="N50" s="929"/>
      <c r="O50" s="933" t="str">
        <f t="shared" si="1"/>
        <v/>
      </c>
      <c r="P50" s="929"/>
    </row>
    <row r="51" spans="1:16" hidden="1">
      <c r="A51" s="1974"/>
      <c r="B51" s="1974"/>
      <c r="C51" s="145" t="str">
        <f t="shared" si="0"/>
        <v/>
      </c>
      <c r="D51" s="189"/>
      <c r="E51" s="923"/>
      <c r="F51" s="923"/>
      <c r="G51" s="934"/>
      <c r="H51" s="934"/>
      <c r="I51" s="934"/>
      <c r="J51" s="934"/>
      <c r="K51" s="934"/>
      <c r="L51" s="934"/>
      <c r="M51" s="934"/>
      <c r="N51" s="929"/>
      <c r="O51" s="933" t="str">
        <f t="shared" si="1"/>
        <v/>
      </c>
      <c r="P51" s="929"/>
    </row>
    <row r="52" spans="1:16" hidden="1">
      <c r="A52" s="1974"/>
      <c r="B52" s="1974"/>
      <c r="C52" s="145" t="str">
        <f t="shared" si="0"/>
        <v/>
      </c>
      <c r="D52" s="189"/>
      <c r="E52" s="923"/>
      <c r="F52" s="923"/>
      <c r="G52" s="934"/>
      <c r="H52" s="934"/>
      <c r="I52" s="934"/>
      <c r="J52" s="934"/>
      <c r="K52" s="934"/>
      <c r="L52" s="934"/>
      <c r="M52" s="934"/>
      <c r="N52" s="929"/>
      <c r="O52" s="933" t="str">
        <f t="shared" si="1"/>
        <v/>
      </c>
      <c r="P52" s="929"/>
    </row>
    <row r="53" spans="1:16" hidden="1">
      <c r="A53" s="1974"/>
      <c r="B53" s="1974"/>
      <c r="C53" s="145" t="str">
        <f t="shared" si="0"/>
        <v/>
      </c>
      <c r="D53" s="189"/>
      <c r="E53" s="923"/>
      <c r="F53" s="923"/>
      <c r="G53" s="934"/>
      <c r="H53" s="934"/>
      <c r="I53" s="934"/>
      <c r="J53" s="934"/>
      <c r="K53" s="934"/>
      <c r="L53" s="934"/>
      <c r="M53" s="934"/>
      <c r="N53" s="929"/>
      <c r="O53" s="933" t="str">
        <f t="shared" si="1"/>
        <v/>
      </c>
      <c r="P53" s="929"/>
    </row>
    <row r="54" spans="1:16" hidden="1">
      <c r="A54" s="1974"/>
      <c r="B54" s="1974"/>
      <c r="C54" s="145" t="str">
        <f t="shared" si="0"/>
        <v/>
      </c>
      <c r="D54" s="189"/>
      <c r="E54" s="923"/>
      <c r="F54" s="923"/>
      <c r="G54" s="934"/>
      <c r="H54" s="934"/>
      <c r="I54" s="934"/>
      <c r="J54" s="934"/>
      <c r="K54" s="934"/>
      <c r="L54" s="934"/>
      <c r="M54" s="934"/>
      <c r="N54" s="929"/>
      <c r="O54" s="933" t="str">
        <f t="shared" si="1"/>
        <v/>
      </c>
      <c r="P54" s="929"/>
    </row>
    <row r="55" spans="1:16" hidden="1">
      <c r="A55" s="1974"/>
      <c r="B55" s="1974"/>
      <c r="C55" s="145" t="str">
        <f t="shared" si="0"/>
        <v/>
      </c>
      <c r="D55" s="189"/>
      <c r="E55" s="923"/>
      <c r="F55" s="923"/>
      <c r="G55" s="934"/>
      <c r="H55" s="934"/>
      <c r="I55" s="934"/>
      <c r="J55" s="934"/>
      <c r="K55" s="934"/>
      <c r="L55" s="934"/>
      <c r="M55" s="934"/>
      <c r="N55" s="929"/>
      <c r="O55" s="933" t="str">
        <f t="shared" si="1"/>
        <v/>
      </c>
      <c r="P55" s="929"/>
    </row>
    <row r="56" spans="1:16" hidden="1">
      <c r="A56" s="1974"/>
      <c r="B56" s="1974"/>
      <c r="C56" s="145" t="str">
        <f t="shared" si="0"/>
        <v/>
      </c>
      <c r="D56" s="189"/>
      <c r="E56" s="923"/>
      <c r="F56" s="923"/>
      <c r="G56" s="934"/>
      <c r="H56" s="934"/>
      <c r="I56" s="934"/>
      <c r="J56" s="934"/>
      <c r="K56" s="934"/>
      <c r="L56" s="934"/>
      <c r="M56" s="934"/>
      <c r="N56" s="929"/>
      <c r="O56" s="933" t="str">
        <f t="shared" si="1"/>
        <v/>
      </c>
      <c r="P56" s="929"/>
    </row>
    <row r="57" spans="1:16" hidden="1">
      <c r="A57" s="1974"/>
      <c r="B57" s="1974"/>
      <c r="C57" s="145" t="str">
        <f t="shared" si="0"/>
        <v/>
      </c>
      <c r="D57" s="189"/>
      <c r="E57" s="923"/>
      <c r="F57" s="923"/>
      <c r="G57" s="934"/>
      <c r="H57" s="934"/>
      <c r="I57" s="934"/>
      <c r="J57" s="934"/>
      <c r="K57" s="934"/>
      <c r="L57" s="934"/>
      <c r="M57" s="934"/>
      <c r="N57" s="929"/>
      <c r="O57" s="933" t="str">
        <f t="shared" si="1"/>
        <v/>
      </c>
      <c r="P57" s="929"/>
    </row>
    <row r="58" spans="1:16" hidden="1">
      <c r="A58" s="1974"/>
      <c r="B58" s="1974"/>
      <c r="C58" s="145" t="str">
        <f t="shared" si="0"/>
        <v/>
      </c>
      <c r="D58" s="189"/>
      <c r="E58" s="923"/>
      <c r="F58" s="923"/>
      <c r="G58" s="934"/>
      <c r="H58" s="934"/>
      <c r="I58" s="934"/>
      <c r="J58" s="934"/>
      <c r="K58" s="934"/>
      <c r="L58" s="934"/>
      <c r="M58" s="934"/>
      <c r="N58" s="929"/>
      <c r="O58" s="933" t="str">
        <f t="shared" si="1"/>
        <v/>
      </c>
      <c r="P58" s="929"/>
    </row>
    <row r="59" spans="1:16" hidden="1">
      <c r="A59" s="1974"/>
      <c r="B59" s="1974"/>
      <c r="C59" s="145" t="str">
        <f t="shared" si="0"/>
        <v/>
      </c>
      <c r="D59" s="189"/>
      <c r="E59" s="923"/>
      <c r="F59" s="923"/>
      <c r="G59" s="934"/>
      <c r="H59" s="934"/>
      <c r="I59" s="934"/>
      <c r="J59" s="934"/>
      <c r="K59" s="934"/>
      <c r="L59" s="934"/>
      <c r="M59" s="934"/>
      <c r="N59" s="929"/>
      <c r="O59" s="933" t="str">
        <f t="shared" si="1"/>
        <v/>
      </c>
      <c r="P59" s="929"/>
    </row>
    <row r="60" spans="1:16" hidden="1">
      <c r="A60" s="1974"/>
      <c r="B60" s="1974"/>
      <c r="C60" s="145" t="str">
        <f t="shared" si="0"/>
        <v/>
      </c>
      <c r="D60" s="189"/>
      <c r="E60" s="923"/>
      <c r="F60" s="923"/>
      <c r="G60" s="934"/>
      <c r="H60" s="934"/>
      <c r="I60" s="934"/>
      <c r="J60" s="934"/>
      <c r="K60" s="934"/>
      <c r="L60" s="934"/>
      <c r="M60" s="934"/>
      <c r="N60" s="929"/>
      <c r="O60" s="933" t="str">
        <f t="shared" si="1"/>
        <v/>
      </c>
      <c r="P60" s="929"/>
    </row>
    <row r="61" spans="1:16" hidden="1">
      <c r="A61" s="1974"/>
      <c r="B61" s="1974"/>
      <c r="C61" s="145" t="str">
        <f t="shared" si="0"/>
        <v/>
      </c>
      <c r="D61" s="189"/>
      <c r="E61" s="923"/>
      <c r="F61" s="923"/>
      <c r="G61" s="934"/>
      <c r="H61" s="934"/>
      <c r="I61" s="934"/>
      <c r="J61" s="934"/>
      <c r="K61" s="934"/>
      <c r="L61" s="934"/>
      <c r="M61" s="934"/>
      <c r="N61" s="929"/>
      <c r="O61" s="933" t="str">
        <f t="shared" si="1"/>
        <v/>
      </c>
      <c r="P61" s="929"/>
    </row>
    <row r="62" spans="1:16" hidden="1">
      <c r="A62" s="1974"/>
      <c r="B62" s="1974"/>
      <c r="C62" s="145" t="str">
        <f t="shared" si="0"/>
        <v/>
      </c>
      <c r="D62" s="189"/>
      <c r="E62" s="923"/>
      <c r="F62" s="923"/>
      <c r="G62" s="934"/>
      <c r="H62" s="934"/>
      <c r="I62" s="934"/>
      <c r="J62" s="934"/>
      <c r="K62" s="934"/>
      <c r="L62" s="934"/>
      <c r="M62" s="934"/>
      <c r="N62" s="929"/>
      <c r="O62" s="933" t="str">
        <f t="shared" si="1"/>
        <v/>
      </c>
      <c r="P62" s="929"/>
    </row>
    <row r="63" spans="1:16" hidden="1">
      <c r="A63" s="1974"/>
      <c r="B63" s="1974"/>
      <c r="C63" s="145" t="str">
        <f t="shared" si="0"/>
        <v/>
      </c>
      <c r="D63" s="189"/>
      <c r="E63" s="923"/>
      <c r="F63" s="923"/>
      <c r="G63" s="934"/>
      <c r="H63" s="934"/>
      <c r="I63" s="934"/>
      <c r="J63" s="934"/>
      <c r="K63" s="934"/>
      <c r="L63" s="934"/>
      <c r="M63" s="934"/>
      <c r="N63" s="929"/>
      <c r="O63" s="933" t="str">
        <f t="shared" si="1"/>
        <v/>
      </c>
      <c r="P63" s="929"/>
    </row>
    <row r="64" spans="1:16" hidden="1">
      <c r="A64" s="1974"/>
      <c r="B64" s="1974"/>
      <c r="C64" s="145" t="str">
        <f t="shared" si="0"/>
        <v/>
      </c>
      <c r="D64" s="189"/>
      <c r="E64" s="923"/>
      <c r="F64" s="923"/>
      <c r="G64" s="934"/>
      <c r="H64" s="934"/>
      <c r="I64" s="934"/>
      <c r="J64" s="934"/>
      <c r="K64" s="934"/>
      <c r="L64" s="934"/>
      <c r="M64" s="934"/>
      <c r="N64" s="929"/>
      <c r="O64" s="933" t="str">
        <f t="shared" si="1"/>
        <v/>
      </c>
      <c r="P64" s="929"/>
    </row>
    <row r="65" spans="1:16" hidden="1">
      <c r="A65" s="1974"/>
      <c r="B65" s="1974"/>
      <c r="C65" s="145" t="str">
        <f t="shared" si="0"/>
        <v/>
      </c>
      <c r="D65" s="189"/>
      <c r="E65" s="923"/>
      <c r="F65" s="923"/>
      <c r="G65" s="934"/>
      <c r="H65" s="934"/>
      <c r="I65" s="934"/>
      <c r="J65" s="934"/>
      <c r="K65" s="934"/>
      <c r="L65" s="934"/>
      <c r="M65" s="934"/>
      <c r="N65" s="929"/>
      <c r="O65" s="933" t="str">
        <f t="shared" si="1"/>
        <v/>
      </c>
      <c r="P65" s="929"/>
    </row>
    <row r="66" spans="1:16" hidden="1">
      <c r="A66" s="1974"/>
      <c r="B66" s="1974"/>
      <c r="C66" s="145" t="str">
        <f t="shared" si="0"/>
        <v/>
      </c>
      <c r="D66" s="189"/>
      <c r="E66" s="923"/>
      <c r="F66" s="923"/>
      <c r="G66" s="934"/>
      <c r="H66" s="934"/>
      <c r="I66" s="934"/>
      <c r="J66" s="934"/>
      <c r="K66" s="934"/>
      <c r="L66" s="934"/>
      <c r="M66" s="934"/>
      <c r="N66" s="929"/>
      <c r="O66" s="933" t="str">
        <f t="shared" si="1"/>
        <v/>
      </c>
      <c r="P66" s="929"/>
    </row>
    <row r="67" spans="1:16" hidden="1">
      <c r="A67" s="1974"/>
      <c r="B67" s="1974"/>
      <c r="C67" s="145" t="str">
        <f t="shared" si="0"/>
        <v/>
      </c>
      <c r="D67" s="189"/>
      <c r="E67" s="923"/>
      <c r="F67" s="923"/>
      <c r="G67" s="934"/>
      <c r="H67" s="934"/>
      <c r="I67" s="934"/>
      <c r="J67" s="934"/>
      <c r="K67" s="934"/>
      <c r="L67" s="934"/>
      <c r="M67" s="934"/>
      <c r="N67" s="929"/>
      <c r="O67" s="933" t="str">
        <f t="shared" si="1"/>
        <v/>
      </c>
      <c r="P67" s="929"/>
    </row>
    <row r="68" spans="1:16" hidden="1">
      <c r="A68" s="1974"/>
      <c r="B68" s="1974"/>
      <c r="C68" s="145" t="str">
        <f t="shared" si="0"/>
        <v/>
      </c>
      <c r="D68" s="189"/>
      <c r="E68" s="923"/>
      <c r="F68" s="923"/>
      <c r="G68" s="934"/>
      <c r="H68" s="934"/>
      <c r="I68" s="934"/>
      <c r="J68" s="934"/>
      <c r="K68" s="934"/>
      <c r="L68" s="934"/>
      <c r="M68" s="934"/>
      <c r="N68" s="929"/>
      <c r="O68" s="933" t="str">
        <f t="shared" si="1"/>
        <v/>
      </c>
      <c r="P68" s="929"/>
    </row>
    <row r="69" spans="1:16" hidden="1">
      <c r="A69" s="1974"/>
      <c r="B69" s="1974"/>
      <c r="C69" s="145" t="str">
        <f t="shared" si="0"/>
        <v/>
      </c>
      <c r="D69" s="189"/>
      <c r="E69" s="923"/>
      <c r="F69" s="923"/>
      <c r="G69" s="934"/>
      <c r="H69" s="934"/>
      <c r="I69" s="934"/>
      <c r="J69" s="934"/>
      <c r="K69" s="934"/>
      <c r="L69" s="934"/>
      <c r="M69" s="934"/>
      <c r="N69" s="929"/>
      <c r="O69" s="933" t="str">
        <f t="shared" si="1"/>
        <v/>
      </c>
      <c r="P69" s="929"/>
    </row>
    <row r="70" spans="1:16" hidden="1">
      <c r="A70" s="1974"/>
      <c r="B70" s="1974"/>
      <c r="C70" s="145" t="str">
        <f t="shared" si="0"/>
        <v/>
      </c>
      <c r="D70" s="189"/>
      <c r="E70" s="923"/>
      <c r="F70" s="923"/>
      <c r="G70" s="934"/>
      <c r="H70" s="934"/>
      <c r="I70" s="934"/>
      <c r="J70" s="934"/>
      <c r="K70" s="934"/>
      <c r="L70" s="934"/>
      <c r="M70" s="934"/>
      <c r="N70" s="929"/>
      <c r="O70" s="933" t="str">
        <f t="shared" si="1"/>
        <v/>
      </c>
      <c r="P70" s="929"/>
    </row>
    <row r="71" spans="1:16" hidden="1">
      <c r="A71" s="1974"/>
      <c r="B71" s="1974"/>
      <c r="C71" s="145" t="str">
        <f t="shared" si="0"/>
        <v/>
      </c>
      <c r="D71" s="189"/>
      <c r="E71" s="923"/>
      <c r="F71" s="923"/>
      <c r="G71" s="934"/>
      <c r="H71" s="934"/>
      <c r="I71" s="934"/>
      <c r="J71" s="934"/>
      <c r="K71" s="934"/>
      <c r="L71" s="934"/>
      <c r="M71" s="934"/>
      <c r="N71" s="929"/>
      <c r="O71" s="933" t="str">
        <f t="shared" si="1"/>
        <v/>
      </c>
      <c r="P71" s="929"/>
    </row>
    <row r="72" spans="1:16" hidden="1">
      <c r="A72" s="1974"/>
      <c r="B72" s="1974"/>
      <c r="C72" s="145" t="str">
        <f t="shared" si="0"/>
        <v/>
      </c>
      <c r="D72" s="189"/>
      <c r="E72" s="923"/>
      <c r="F72" s="923"/>
      <c r="G72" s="934"/>
      <c r="H72" s="934"/>
      <c r="I72" s="934"/>
      <c r="J72" s="934"/>
      <c r="K72" s="934"/>
      <c r="L72" s="934"/>
      <c r="M72" s="934"/>
      <c r="N72" s="929"/>
      <c r="O72" s="933" t="str">
        <f t="shared" si="1"/>
        <v/>
      </c>
      <c r="P72" s="929"/>
    </row>
    <row r="73" spans="1:16" hidden="1">
      <c r="A73" s="1974"/>
      <c r="B73" s="1974"/>
      <c r="C73" s="145" t="str">
        <f t="shared" si="0"/>
        <v/>
      </c>
      <c r="D73" s="189"/>
      <c r="E73" s="923"/>
      <c r="F73" s="923"/>
      <c r="G73" s="934"/>
      <c r="H73" s="934"/>
      <c r="I73" s="934"/>
      <c r="J73" s="934"/>
      <c r="K73" s="934"/>
      <c r="L73" s="934"/>
      <c r="M73" s="934"/>
      <c r="N73" s="929"/>
      <c r="O73" s="933" t="str">
        <f t="shared" si="1"/>
        <v/>
      </c>
      <c r="P73" s="929"/>
    </row>
    <row r="74" spans="1:16" hidden="1">
      <c r="A74" s="1974"/>
      <c r="B74" s="1974"/>
      <c r="C74" s="145" t="str">
        <f t="shared" si="0"/>
        <v/>
      </c>
      <c r="D74" s="189"/>
      <c r="E74" s="923"/>
      <c r="F74" s="923"/>
      <c r="G74" s="934"/>
      <c r="H74" s="934"/>
      <c r="I74" s="934"/>
      <c r="J74" s="934"/>
      <c r="K74" s="934"/>
      <c r="L74" s="934"/>
      <c r="M74" s="934"/>
      <c r="N74" s="929"/>
      <c r="O74" s="933" t="str">
        <f t="shared" si="1"/>
        <v/>
      </c>
      <c r="P74" s="929"/>
    </row>
    <row r="75" spans="1:16" hidden="1">
      <c r="A75" s="1974"/>
      <c r="B75" s="1974"/>
      <c r="C75" s="145" t="str">
        <f t="shared" si="0"/>
        <v/>
      </c>
      <c r="D75" s="189"/>
      <c r="E75" s="923"/>
      <c r="F75" s="923"/>
      <c r="G75" s="934"/>
      <c r="H75" s="934"/>
      <c r="I75" s="934"/>
      <c r="J75" s="934"/>
      <c r="K75" s="934"/>
      <c r="L75" s="934"/>
      <c r="M75" s="934"/>
      <c r="N75" s="929"/>
      <c r="O75" s="933" t="str">
        <f t="shared" si="1"/>
        <v/>
      </c>
      <c r="P75" s="929"/>
    </row>
    <row r="76" spans="1:16" hidden="1">
      <c r="A76" s="1974"/>
      <c r="B76" s="1974"/>
      <c r="C76" s="145" t="str">
        <f t="shared" si="0"/>
        <v/>
      </c>
      <c r="D76" s="189"/>
      <c r="E76" s="923"/>
      <c r="F76" s="923"/>
      <c r="G76" s="934"/>
      <c r="H76" s="934"/>
      <c r="I76" s="934"/>
      <c r="J76" s="934"/>
      <c r="K76" s="934"/>
      <c r="L76" s="934"/>
      <c r="M76" s="934"/>
      <c r="N76" s="929"/>
      <c r="O76" s="933" t="str">
        <f t="shared" si="1"/>
        <v/>
      </c>
      <c r="P76" s="929"/>
    </row>
    <row r="77" spans="1:16" hidden="1">
      <c r="A77" s="1974"/>
      <c r="B77" s="1974"/>
      <c r="C77" s="145" t="str">
        <f t="shared" si="0"/>
        <v/>
      </c>
      <c r="D77" s="189"/>
      <c r="E77" s="923"/>
      <c r="F77" s="923"/>
      <c r="G77" s="934"/>
      <c r="H77" s="934"/>
      <c r="I77" s="934"/>
      <c r="J77" s="934"/>
      <c r="K77" s="934"/>
      <c r="L77" s="934"/>
      <c r="M77" s="934"/>
      <c r="N77" s="929"/>
      <c r="O77" s="933" t="str">
        <f t="shared" si="1"/>
        <v/>
      </c>
      <c r="P77" s="929"/>
    </row>
    <row r="78" spans="1:16" hidden="1">
      <c r="A78" s="1974"/>
      <c r="B78" s="1974"/>
      <c r="C78" s="145" t="str">
        <f t="shared" si="0"/>
        <v/>
      </c>
      <c r="D78" s="189"/>
      <c r="E78" s="923"/>
      <c r="F78" s="923"/>
      <c r="G78" s="934"/>
      <c r="H78" s="934"/>
      <c r="I78" s="934"/>
      <c r="J78" s="934"/>
      <c r="K78" s="934"/>
      <c r="L78" s="934"/>
      <c r="M78" s="934"/>
      <c r="N78" s="929"/>
      <c r="O78" s="933" t="str">
        <f t="shared" si="1"/>
        <v/>
      </c>
      <c r="P78" s="929"/>
    </row>
    <row r="79" spans="1:16" hidden="1">
      <c r="A79" s="1974"/>
      <c r="B79" s="1974"/>
      <c r="C79" s="145" t="str">
        <f t="shared" si="0"/>
        <v/>
      </c>
      <c r="D79" s="189"/>
      <c r="E79" s="923"/>
      <c r="F79" s="923"/>
      <c r="G79" s="934"/>
      <c r="H79" s="934"/>
      <c r="I79" s="934"/>
      <c r="J79" s="934"/>
      <c r="K79" s="934"/>
      <c r="L79" s="934"/>
      <c r="M79" s="934"/>
      <c r="N79" s="929"/>
      <c r="O79" s="933" t="str">
        <f t="shared" si="1"/>
        <v/>
      </c>
      <c r="P79" s="929"/>
    </row>
    <row r="80" spans="1:16" hidden="1">
      <c r="A80" s="1974"/>
      <c r="B80" s="1974"/>
      <c r="C80" s="145" t="str">
        <f t="shared" ref="C80:C143" si="2">IF(A80&lt;&gt;"",ROW(),"")</f>
        <v/>
      </c>
      <c r="D80" s="189"/>
      <c r="E80" s="923"/>
      <c r="F80" s="923"/>
      <c r="G80" s="934"/>
      <c r="H80" s="934"/>
      <c r="I80" s="934"/>
      <c r="J80" s="934"/>
      <c r="K80" s="934"/>
      <c r="L80" s="934"/>
      <c r="M80" s="934"/>
      <c r="N80" s="929"/>
      <c r="O80" s="933" t="str">
        <f t="shared" si="1"/>
        <v/>
      </c>
      <c r="P80" s="929"/>
    </row>
    <row r="81" spans="1:16" hidden="1">
      <c r="A81" s="1974"/>
      <c r="B81" s="1974"/>
      <c r="C81" s="145" t="str">
        <f t="shared" si="2"/>
        <v/>
      </c>
      <c r="D81" s="189"/>
      <c r="E81" s="923"/>
      <c r="F81" s="923"/>
      <c r="G81" s="934"/>
      <c r="H81" s="934"/>
      <c r="I81" s="934"/>
      <c r="J81" s="934"/>
      <c r="K81" s="934"/>
      <c r="L81" s="934"/>
      <c r="M81" s="934"/>
      <c r="N81" s="929"/>
      <c r="O81" s="933" t="str">
        <f t="shared" ref="O81:O144" si="3">IF(A81&lt;&gt;"",A81,"")</f>
        <v/>
      </c>
      <c r="P81" s="929"/>
    </row>
    <row r="82" spans="1:16" hidden="1">
      <c r="A82" s="1974"/>
      <c r="B82" s="1974"/>
      <c r="C82" s="145" t="str">
        <f t="shared" si="2"/>
        <v/>
      </c>
      <c r="D82" s="189"/>
      <c r="E82" s="923"/>
      <c r="F82" s="923"/>
      <c r="G82" s="934"/>
      <c r="H82" s="934"/>
      <c r="I82" s="934"/>
      <c r="J82" s="934"/>
      <c r="K82" s="934"/>
      <c r="L82" s="934"/>
      <c r="M82" s="934"/>
      <c r="N82" s="929"/>
      <c r="O82" s="933" t="str">
        <f t="shared" si="3"/>
        <v/>
      </c>
      <c r="P82" s="929"/>
    </row>
    <row r="83" spans="1:16" hidden="1">
      <c r="A83" s="1974"/>
      <c r="B83" s="1974"/>
      <c r="C83" s="145" t="str">
        <f t="shared" si="2"/>
        <v/>
      </c>
      <c r="D83" s="189"/>
      <c r="E83" s="923"/>
      <c r="F83" s="923"/>
      <c r="G83" s="934"/>
      <c r="H83" s="934"/>
      <c r="I83" s="934"/>
      <c r="J83" s="934"/>
      <c r="K83" s="934"/>
      <c r="L83" s="934"/>
      <c r="M83" s="934"/>
      <c r="N83" s="929"/>
      <c r="O83" s="933" t="str">
        <f t="shared" si="3"/>
        <v/>
      </c>
      <c r="P83" s="929"/>
    </row>
    <row r="84" spans="1:16" hidden="1">
      <c r="A84" s="1974"/>
      <c r="B84" s="1974"/>
      <c r="C84" s="145" t="str">
        <f t="shared" si="2"/>
        <v/>
      </c>
      <c r="D84" s="189"/>
      <c r="E84" s="923"/>
      <c r="F84" s="923"/>
      <c r="G84" s="934"/>
      <c r="H84" s="934"/>
      <c r="I84" s="934"/>
      <c r="J84" s="934"/>
      <c r="K84" s="934"/>
      <c r="L84" s="934"/>
      <c r="M84" s="934"/>
      <c r="N84" s="929"/>
      <c r="O84" s="933" t="str">
        <f t="shared" si="3"/>
        <v/>
      </c>
      <c r="P84" s="929"/>
    </row>
    <row r="85" spans="1:16" hidden="1">
      <c r="A85" s="1974"/>
      <c r="B85" s="1974"/>
      <c r="C85" s="145" t="str">
        <f t="shared" si="2"/>
        <v/>
      </c>
      <c r="D85" s="189"/>
      <c r="E85" s="923"/>
      <c r="F85" s="923"/>
      <c r="G85" s="934"/>
      <c r="H85" s="934"/>
      <c r="I85" s="934"/>
      <c r="J85" s="934"/>
      <c r="K85" s="934"/>
      <c r="L85" s="934"/>
      <c r="M85" s="934"/>
      <c r="N85" s="929"/>
      <c r="O85" s="933" t="str">
        <f t="shared" si="3"/>
        <v/>
      </c>
      <c r="P85" s="929"/>
    </row>
    <row r="86" spans="1:16" hidden="1">
      <c r="A86" s="1974"/>
      <c r="B86" s="1974"/>
      <c r="C86" s="145" t="str">
        <f t="shared" si="2"/>
        <v/>
      </c>
      <c r="D86" s="189"/>
      <c r="E86" s="923"/>
      <c r="F86" s="923"/>
      <c r="G86" s="934"/>
      <c r="H86" s="934"/>
      <c r="I86" s="934"/>
      <c r="J86" s="934"/>
      <c r="K86" s="934"/>
      <c r="L86" s="934"/>
      <c r="M86" s="934"/>
      <c r="N86" s="929"/>
      <c r="O86" s="933" t="str">
        <f t="shared" si="3"/>
        <v/>
      </c>
      <c r="P86" s="929"/>
    </row>
    <row r="87" spans="1:16" hidden="1">
      <c r="A87" s="1974"/>
      <c r="B87" s="1974"/>
      <c r="C87" s="145" t="str">
        <f t="shared" si="2"/>
        <v/>
      </c>
      <c r="D87" s="189"/>
      <c r="E87" s="923"/>
      <c r="F87" s="923"/>
      <c r="G87" s="934"/>
      <c r="H87" s="934"/>
      <c r="I87" s="934"/>
      <c r="J87" s="934"/>
      <c r="K87" s="934"/>
      <c r="L87" s="934"/>
      <c r="M87" s="934"/>
      <c r="N87" s="929"/>
      <c r="O87" s="933" t="str">
        <f t="shared" si="3"/>
        <v/>
      </c>
      <c r="P87" s="929"/>
    </row>
    <row r="88" spans="1:16" hidden="1">
      <c r="A88" s="1974"/>
      <c r="B88" s="1974"/>
      <c r="C88" s="145" t="str">
        <f t="shared" si="2"/>
        <v/>
      </c>
      <c r="D88" s="189"/>
      <c r="E88" s="923"/>
      <c r="F88" s="923"/>
      <c r="G88" s="934"/>
      <c r="H88" s="934"/>
      <c r="I88" s="934"/>
      <c r="J88" s="934"/>
      <c r="K88" s="934"/>
      <c r="L88" s="934"/>
      <c r="M88" s="934"/>
      <c r="N88" s="929"/>
      <c r="O88" s="933" t="str">
        <f t="shared" si="3"/>
        <v/>
      </c>
      <c r="P88" s="929"/>
    </row>
    <row r="89" spans="1:16" hidden="1">
      <c r="A89" s="1974"/>
      <c r="B89" s="1974"/>
      <c r="C89" s="145" t="str">
        <f t="shared" si="2"/>
        <v/>
      </c>
      <c r="D89" s="189"/>
      <c r="E89" s="923"/>
      <c r="F89" s="923"/>
      <c r="G89" s="934"/>
      <c r="H89" s="934"/>
      <c r="I89" s="934"/>
      <c r="J89" s="934"/>
      <c r="K89" s="934"/>
      <c r="L89" s="934"/>
      <c r="M89" s="934"/>
      <c r="N89" s="929"/>
      <c r="O89" s="933" t="str">
        <f t="shared" si="3"/>
        <v/>
      </c>
      <c r="P89" s="929"/>
    </row>
    <row r="90" spans="1:16" hidden="1">
      <c r="A90" s="1974"/>
      <c r="B90" s="1974"/>
      <c r="C90" s="145" t="str">
        <f t="shared" si="2"/>
        <v/>
      </c>
      <c r="D90" s="189"/>
      <c r="E90" s="923"/>
      <c r="F90" s="923"/>
      <c r="G90" s="934"/>
      <c r="H90" s="934"/>
      <c r="I90" s="934"/>
      <c r="J90" s="934"/>
      <c r="K90" s="934"/>
      <c r="L90" s="934"/>
      <c r="M90" s="934"/>
      <c r="N90" s="929"/>
      <c r="O90" s="933" t="str">
        <f t="shared" si="3"/>
        <v/>
      </c>
      <c r="P90" s="929"/>
    </row>
    <row r="91" spans="1:16" hidden="1">
      <c r="A91" s="1974"/>
      <c r="B91" s="1974"/>
      <c r="C91" s="145" t="str">
        <f t="shared" si="2"/>
        <v/>
      </c>
      <c r="D91" s="189"/>
      <c r="E91" s="923"/>
      <c r="F91" s="923"/>
      <c r="G91" s="934"/>
      <c r="H91" s="934"/>
      <c r="I91" s="934"/>
      <c r="J91" s="934"/>
      <c r="K91" s="934"/>
      <c r="L91" s="934"/>
      <c r="M91" s="934"/>
      <c r="N91" s="929"/>
      <c r="O91" s="933" t="str">
        <f t="shared" si="3"/>
        <v/>
      </c>
      <c r="P91" s="929"/>
    </row>
    <row r="92" spans="1:16" hidden="1">
      <c r="A92" s="1974"/>
      <c r="B92" s="1974"/>
      <c r="C92" s="145" t="str">
        <f t="shared" si="2"/>
        <v/>
      </c>
      <c r="D92" s="189"/>
      <c r="E92" s="923"/>
      <c r="F92" s="923"/>
      <c r="G92" s="934"/>
      <c r="H92" s="934"/>
      <c r="I92" s="934"/>
      <c r="J92" s="934"/>
      <c r="K92" s="934"/>
      <c r="L92" s="934"/>
      <c r="M92" s="934"/>
      <c r="N92" s="929"/>
      <c r="O92" s="933" t="str">
        <f t="shared" si="3"/>
        <v/>
      </c>
      <c r="P92" s="929"/>
    </row>
    <row r="93" spans="1:16" hidden="1">
      <c r="A93" s="1974"/>
      <c r="B93" s="1974"/>
      <c r="C93" s="145" t="str">
        <f t="shared" si="2"/>
        <v/>
      </c>
      <c r="D93" s="189"/>
      <c r="E93" s="923"/>
      <c r="F93" s="923"/>
      <c r="G93" s="934"/>
      <c r="H93" s="934"/>
      <c r="I93" s="934"/>
      <c r="J93" s="934"/>
      <c r="K93" s="934"/>
      <c r="L93" s="934"/>
      <c r="M93" s="934"/>
      <c r="N93" s="929"/>
      <c r="O93" s="933" t="str">
        <f t="shared" si="3"/>
        <v/>
      </c>
      <c r="P93" s="929"/>
    </row>
    <row r="94" spans="1:16" hidden="1">
      <c r="A94" s="1974"/>
      <c r="B94" s="1974"/>
      <c r="C94" s="145" t="str">
        <f t="shared" si="2"/>
        <v/>
      </c>
      <c r="D94" s="189"/>
      <c r="E94" s="923"/>
      <c r="F94" s="923"/>
      <c r="G94" s="934"/>
      <c r="H94" s="934"/>
      <c r="I94" s="934"/>
      <c r="J94" s="934"/>
      <c r="K94" s="934"/>
      <c r="L94" s="934"/>
      <c r="M94" s="934"/>
      <c r="N94" s="929"/>
      <c r="O94" s="933" t="str">
        <f t="shared" si="3"/>
        <v/>
      </c>
      <c r="P94" s="929"/>
    </row>
    <row r="95" spans="1:16" hidden="1">
      <c r="A95" s="1974"/>
      <c r="B95" s="1974"/>
      <c r="C95" s="145" t="str">
        <f t="shared" si="2"/>
        <v/>
      </c>
      <c r="D95" s="189"/>
      <c r="E95" s="923"/>
      <c r="F95" s="923"/>
      <c r="G95" s="934"/>
      <c r="H95" s="934"/>
      <c r="I95" s="934"/>
      <c r="J95" s="934"/>
      <c r="K95" s="934"/>
      <c r="L95" s="934"/>
      <c r="M95" s="934"/>
      <c r="N95" s="929"/>
      <c r="O95" s="933" t="str">
        <f t="shared" si="3"/>
        <v/>
      </c>
      <c r="P95" s="929"/>
    </row>
    <row r="96" spans="1:16" hidden="1">
      <c r="A96" s="1974"/>
      <c r="B96" s="1974"/>
      <c r="C96" s="145" t="str">
        <f t="shared" si="2"/>
        <v/>
      </c>
      <c r="D96" s="189"/>
      <c r="E96" s="923"/>
      <c r="F96" s="923"/>
      <c r="G96" s="934"/>
      <c r="H96" s="934"/>
      <c r="I96" s="934"/>
      <c r="J96" s="934"/>
      <c r="K96" s="934"/>
      <c r="L96" s="934"/>
      <c r="M96" s="934"/>
      <c r="N96" s="929"/>
      <c r="O96" s="933" t="str">
        <f t="shared" si="3"/>
        <v/>
      </c>
      <c r="P96" s="929"/>
    </row>
    <row r="97" spans="1:16" hidden="1">
      <c r="A97" s="1974"/>
      <c r="B97" s="1974"/>
      <c r="C97" s="145" t="str">
        <f t="shared" si="2"/>
        <v/>
      </c>
      <c r="D97" s="189"/>
      <c r="E97" s="923"/>
      <c r="F97" s="923"/>
      <c r="G97" s="934"/>
      <c r="H97" s="934"/>
      <c r="I97" s="934"/>
      <c r="J97" s="934"/>
      <c r="K97" s="934"/>
      <c r="L97" s="934"/>
      <c r="M97" s="934"/>
      <c r="N97" s="929"/>
      <c r="O97" s="933" t="str">
        <f t="shared" si="3"/>
        <v/>
      </c>
      <c r="P97" s="929"/>
    </row>
    <row r="98" spans="1:16" hidden="1">
      <c r="A98" s="1974"/>
      <c r="B98" s="1974"/>
      <c r="C98" s="145" t="str">
        <f t="shared" si="2"/>
        <v/>
      </c>
      <c r="D98" s="189"/>
      <c r="E98" s="923"/>
      <c r="F98" s="923"/>
      <c r="G98" s="934"/>
      <c r="H98" s="934"/>
      <c r="I98" s="934"/>
      <c r="J98" s="934"/>
      <c r="K98" s="934"/>
      <c r="L98" s="934"/>
      <c r="M98" s="934"/>
      <c r="N98" s="929"/>
      <c r="O98" s="933" t="str">
        <f t="shared" si="3"/>
        <v/>
      </c>
      <c r="P98" s="929"/>
    </row>
    <row r="99" spans="1:16" hidden="1">
      <c r="A99" s="1974"/>
      <c r="B99" s="1974"/>
      <c r="C99" s="145" t="str">
        <f t="shared" si="2"/>
        <v/>
      </c>
      <c r="D99" s="189"/>
      <c r="E99" s="923"/>
      <c r="F99" s="923"/>
      <c r="G99" s="934"/>
      <c r="H99" s="934"/>
      <c r="I99" s="934"/>
      <c r="J99" s="934"/>
      <c r="K99" s="934"/>
      <c r="L99" s="934"/>
      <c r="M99" s="934"/>
      <c r="N99" s="929"/>
      <c r="O99" s="933" t="str">
        <f t="shared" si="3"/>
        <v/>
      </c>
      <c r="P99" s="929"/>
    </row>
    <row r="100" spans="1:16" hidden="1">
      <c r="A100" s="1974"/>
      <c r="B100" s="1974"/>
      <c r="C100" s="145" t="str">
        <f t="shared" si="2"/>
        <v/>
      </c>
      <c r="D100" s="189"/>
      <c r="E100" s="923"/>
      <c r="F100" s="923"/>
      <c r="G100" s="934"/>
      <c r="H100" s="934"/>
      <c r="I100" s="934"/>
      <c r="J100" s="934"/>
      <c r="K100" s="934"/>
      <c r="L100" s="934"/>
      <c r="M100" s="934"/>
      <c r="N100" s="929"/>
      <c r="O100" s="933" t="str">
        <f t="shared" si="3"/>
        <v/>
      </c>
      <c r="P100" s="929"/>
    </row>
    <row r="101" spans="1:16" hidden="1">
      <c r="A101" s="1974"/>
      <c r="B101" s="1974"/>
      <c r="C101" s="145" t="str">
        <f t="shared" si="2"/>
        <v/>
      </c>
      <c r="D101" s="189"/>
      <c r="E101" s="923"/>
      <c r="F101" s="923"/>
      <c r="G101" s="934"/>
      <c r="H101" s="934"/>
      <c r="I101" s="934"/>
      <c r="J101" s="934"/>
      <c r="K101" s="934"/>
      <c r="L101" s="934"/>
      <c r="M101" s="934"/>
      <c r="N101" s="929"/>
      <c r="O101" s="933" t="str">
        <f t="shared" si="3"/>
        <v/>
      </c>
      <c r="P101" s="929"/>
    </row>
    <row r="102" spans="1:16" hidden="1">
      <c r="A102" s="1974"/>
      <c r="B102" s="1974"/>
      <c r="C102" s="145" t="str">
        <f t="shared" si="2"/>
        <v/>
      </c>
      <c r="D102" s="189"/>
      <c r="E102" s="923"/>
      <c r="F102" s="923"/>
      <c r="G102" s="934"/>
      <c r="H102" s="934"/>
      <c r="I102" s="934"/>
      <c r="J102" s="934"/>
      <c r="K102" s="934"/>
      <c r="L102" s="934"/>
      <c r="M102" s="934"/>
      <c r="N102" s="929"/>
      <c r="O102" s="933" t="str">
        <f t="shared" si="3"/>
        <v/>
      </c>
      <c r="P102" s="929"/>
    </row>
    <row r="103" spans="1:16" hidden="1">
      <c r="A103" s="1974"/>
      <c r="B103" s="1974"/>
      <c r="C103" s="145" t="str">
        <f t="shared" si="2"/>
        <v/>
      </c>
      <c r="D103" s="189"/>
      <c r="E103" s="923"/>
      <c r="F103" s="923"/>
      <c r="G103" s="934"/>
      <c r="H103" s="934"/>
      <c r="I103" s="934"/>
      <c r="J103" s="934"/>
      <c r="K103" s="934"/>
      <c r="L103" s="934"/>
      <c r="M103" s="934"/>
      <c r="N103" s="929"/>
      <c r="O103" s="933" t="str">
        <f t="shared" si="3"/>
        <v/>
      </c>
      <c r="P103" s="929"/>
    </row>
    <row r="104" spans="1:16" hidden="1">
      <c r="A104" s="1974"/>
      <c r="B104" s="1974"/>
      <c r="C104" s="145" t="str">
        <f t="shared" si="2"/>
        <v/>
      </c>
      <c r="D104" s="189"/>
      <c r="E104" s="923"/>
      <c r="F104" s="923"/>
      <c r="G104" s="934"/>
      <c r="H104" s="934"/>
      <c r="I104" s="934"/>
      <c r="J104" s="934"/>
      <c r="K104" s="934"/>
      <c r="L104" s="934"/>
      <c r="M104" s="934"/>
      <c r="N104" s="929"/>
      <c r="O104" s="933" t="str">
        <f t="shared" si="3"/>
        <v/>
      </c>
      <c r="P104" s="929"/>
    </row>
    <row r="105" spans="1:16" hidden="1">
      <c r="A105" s="1974"/>
      <c r="B105" s="1974"/>
      <c r="C105" s="145" t="str">
        <f t="shared" si="2"/>
        <v/>
      </c>
      <c r="D105" s="189"/>
      <c r="E105" s="923"/>
      <c r="F105" s="923"/>
      <c r="G105" s="934"/>
      <c r="H105" s="934"/>
      <c r="I105" s="934"/>
      <c r="J105" s="934"/>
      <c r="K105" s="934"/>
      <c r="L105" s="934"/>
      <c r="M105" s="934"/>
      <c r="N105" s="929"/>
      <c r="O105" s="933" t="str">
        <f t="shared" si="3"/>
        <v/>
      </c>
      <c r="P105" s="929"/>
    </row>
    <row r="106" spans="1:16" hidden="1">
      <c r="A106" s="1974"/>
      <c r="B106" s="1974"/>
      <c r="C106" s="145" t="str">
        <f t="shared" si="2"/>
        <v/>
      </c>
      <c r="D106" s="189"/>
      <c r="E106" s="923"/>
      <c r="F106" s="923"/>
      <c r="G106" s="934"/>
      <c r="H106" s="934"/>
      <c r="I106" s="934"/>
      <c r="J106" s="934"/>
      <c r="K106" s="934"/>
      <c r="L106" s="934"/>
      <c r="M106" s="934"/>
      <c r="N106" s="929"/>
      <c r="O106" s="933" t="str">
        <f t="shared" si="3"/>
        <v/>
      </c>
      <c r="P106" s="929"/>
    </row>
    <row r="107" spans="1:16" hidden="1">
      <c r="A107" s="1974"/>
      <c r="B107" s="1974"/>
      <c r="C107" s="145" t="str">
        <f t="shared" si="2"/>
        <v/>
      </c>
      <c r="D107" s="189"/>
      <c r="E107" s="923"/>
      <c r="F107" s="923"/>
      <c r="G107" s="934"/>
      <c r="H107" s="934"/>
      <c r="I107" s="934"/>
      <c r="J107" s="934"/>
      <c r="K107" s="934"/>
      <c r="L107" s="934"/>
      <c r="M107" s="934"/>
      <c r="N107" s="929"/>
      <c r="O107" s="933" t="str">
        <f t="shared" si="3"/>
        <v/>
      </c>
      <c r="P107" s="929"/>
    </row>
    <row r="108" spans="1:16" hidden="1">
      <c r="A108" s="1974"/>
      <c r="B108" s="1974"/>
      <c r="C108" s="145" t="str">
        <f t="shared" si="2"/>
        <v/>
      </c>
      <c r="D108" s="189"/>
      <c r="E108" s="923"/>
      <c r="F108" s="923"/>
      <c r="G108" s="934"/>
      <c r="H108" s="934"/>
      <c r="I108" s="934"/>
      <c r="J108" s="934"/>
      <c r="K108" s="934"/>
      <c r="L108" s="934"/>
      <c r="M108" s="934"/>
      <c r="N108" s="929"/>
      <c r="O108" s="933" t="str">
        <f t="shared" si="3"/>
        <v/>
      </c>
      <c r="P108" s="929"/>
    </row>
    <row r="109" spans="1:16" hidden="1">
      <c r="A109" s="1974"/>
      <c r="B109" s="1974"/>
      <c r="C109" s="145" t="str">
        <f t="shared" si="2"/>
        <v/>
      </c>
      <c r="D109" s="189"/>
      <c r="E109" s="923"/>
      <c r="F109" s="923"/>
      <c r="G109" s="934"/>
      <c r="H109" s="934"/>
      <c r="I109" s="934"/>
      <c r="J109" s="934"/>
      <c r="K109" s="934"/>
      <c r="L109" s="934"/>
      <c r="M109" s="934"/>
      <c r="N109" s="929"/>
      <c r="O109" s="933" t="str">
        <f t="shared" si="3"/>
        <v/>
      </c>
      <c r="P109" s="929"/>
    </row>
    <row r="110" spans="1:16" hidden="1">
      <c r="A110" s="1974"/>
      <c r="B110" s="1974"/>
      <c r="C110" s="145" t="str">
        <f t="shared" si="2"/>
        <v/>
      </c>
      <c r="D110" s="189"/>
      <c r="E110" s="923"/>
      <c r="F110" s="923"/>
      <c r="G110" s="934"/>
      <c r="H110" s="934"/>
      <c r="I110" s="934"/>
      <c r="J110" s="934"/>
      <c r="K110" s="934"/>
      <c r="L110" s="934"/>
      <c r="M110" s="934"/>
      <c r="N110" s="929"/>
      <c r="O110" s="933" t="str">
        <f t="shared" si="3"/>
        <v/>
      </c>
      <c r="P110" s="929"/>
    </row>
    <row r="111" spans="1:16" hidden="1">
      <c r="A111" s="1974"/>
      <c r="B111" s="1974"/>
      <c r="C111" s="145" t="str">
        <f t="shared" si="2"/>
        <v/>
      </c>
      <c r="D111" s="189"/>
      <c r="E111" s="923"/>
      <c r="F111" s="923"/>
      <c r="G111" s="934"/>
      <c r="H111" s="934"/>
      <c r="I111" s="934"/>
      <c r="J111" s="934"/>
      <c r="K111" s="934"/>
      <c r="L111" s="934"/>
      <c r="M111" s="934"/>
      <c r="N111" s="929"/>
      <c r="O111" s="933" t="str">
        <f t="shared" si="3"/>
        <v/>
      </c>
      <c r="P111" s="929"/>
    </row>
    <row r="112" spans="1:16" hidden="1">
      <c r="A112" s="1974"/>
      <c r="B112" s="1974"/>
      <c r="C112" s="145" t="str">
        <f t="shared" si="2"/>
        <v/>
      </c>
      <c r="D112" s="189"/>
      <c r="E112" s="923"/>
      <c r="F112" s="923"/>
      <c r="G112" s="934"/>
      <c r="H112" s="934"/>
      <c r="I112" s="934"/>
      <c r="J112" s="934"/>
      <c r="K112" s="934"/>
      <c r="L112" s="934"/>
      <c r="M112" s="934"/>
      <c r="N112" s="929"/>
      <c r="O112" s="933" t="str">
        <f t="shared" si="3"/>
        <v/>
      </c>
      <c r="P112" s="929"/>
    </row>
    <row r="113" spans="1:16" hidden="1">
      <c r="A113" s="1974"/>
      <c r="B113" s="1974"/>
      <c r="C113" s="145" t="str">
        <f t="shared" si="2"/>
        <v/>
      </c>
      <c r="D113" s="189"/>
      <c r="E113" s="923"/>
      <c r="F113" s="923"/>
      <c r="G113" s="934"/>
      <c r="H113" s="934"/>
      <c r="I113" s="934"/>
      <c r="J113" s="934"/>
      <c r="K113" s="934"/>
      <c r="L113" s="934"/>
      <c r="M113" s="934"/>
      <c r="N113" s="929"/>
      <c r="O113" s="933" t="str">
        <f t="shared" si="3"/>
        <v/>
      </c>
      <c r="P113" s="929"/>
    </row>
    <row r="114" spans="1:16" hidden="1">
      <c r="A114" s="1974"/>
      <c r="B114" s="1974"/>
      <c r="C114" s="145" t="str">
        <f t="shared" si="2"/>
        <v/>
      </c>
      <c r="D114" s="189"/>
      <c r="E114" s="923"/>
      <c r="F114" s="923"/>
      <c r="G114" s="934"/>
      <c r="H114" s="934"/>
      <c r="I114" s="934"/>
      <c r="J114" s="934"/>
      <c r="K114" s="934"/>
      <c r="L114" s="934"/>
      <c r="M114" s="934"/>
      <c r="N114" s="929"/>
      <c r="O114" s="933" t="str">
        <f t="shared" si="3"/>
        <v/>
      </c>
      <c r="P114" s="929"/>
    </row>
    <row r="115" spans="1:16" hidden="1">
      <c r="A115" s="1974"/>
      <c r="B115" s="1974"/>
      <c r="C115" s="145" t="str">
        <f t="shared" si="2"/>
        <v/>
      </c>
      <c r="D115" s="189"/>
      <c r="E115" s="923"/>
      <c r="F115" s="923"/>
      <c r="G115" s="934"/>
      <c r="H115" s="934"/>
      <c r="I115" s="934"/>
      <c r="J115" s="934"/>
      <c r="K115" s="934"/>
      <c r="L115" s="934"/>
      <c r="M115" s="934"/>
      <c r="N115" s="929"/>
      <c r="O115" s="933" t="str">
        <f t="shared" si="3"/>
        <v/>
      </c>
      <c r="P115" s="929"/>
    </row>
    <row r="116" spans="1:16" hidden="1">
      <c r="A116" s="1974"/>
      <c r="B116" s="1974"/>
      <c r="C116" s="145" t="str">
        <f t="shared" si="2"/>
        <v/>
      </c>
      <c r="D116" s="189"/>
      <c r="E116" s="923"/>
      <c r="F116" s="923"/>
      <c r="G116" s="934"/>
      <c r="H116" s="934"/>
      <c r="I116" s="934"/>
      <c r="J116" s="934"/>
      <c r="K116" s="934"/>
      <c r="L116" s="934"/>
      <c r="M116" s="934"/>
      <c r="N116" s="929"/>
      <c r="O116" s="933" t="str">
        <f t="shared" si="3"/>
        <v/>
      </c>
      <c r="P116" s="929"/>
    </row>
    <row r="117" spans="1:16" hidden="1">
      <c r="A117" s="1974"/>
      <c r="B117" s="1974"/>
      <c r="C117" s="145" t="str">
        <f t="shared" si="2"/>
        <v/>
      </c>
      <c r="D117" s="189"/>
      <c r="E117" s="923"/>
      <c r="F117" s="923"/>
      <c r="G117" s="934"/>
      <c r="H117" s="934"/>
      <c r="I117" s="934"/>
      <c r="J117" s="934"/>
      <c r="K117" s="934"/>
      <c r="L117" s="934"/>
      <c r="M117" s="934"/>
      <c r="N117" s="929"/>
      <c r="O117" s="933" t="str">
        <f t="shared" si="3"/>
        <v/>
      </c>
      <c r="P117" s="929"/>
    </row>
    <row r="118" spans="1:16" hidden="1">
      <c r="A118" s="1974"/>
      <c r="B118" s="1974"/>
      <c r="C118" s="145" t="str">
        <f t="shared" si="2"/>
        <v/>
      </c>
      <c r="D118" s="189"/>
      <c r="E118" s="923"/>
      <c r="F118" s="923"/>
      <c r="G118" s="934"/>
      <c r="H118" s="934"/>
      <c r="I118" s="934"/>
      <c r="J118" s="934"/>
      <c r="K118" s="934"/>
      <c r="L118" s="934"/>
      <c r="M118" s="934"/>
      <c r="N118" s="929"/>
      <c r="O118" s="933" t="str">
        <f t="shared" si="3"/>
        <v/>
      </c>
      <c r="P118" s="929"/>
    </row>
    <row r="119" spans="1:16" hidden="1">
      <c r="A119" s="1974"/>
      <c r="B119" s="1974"/>
      <c r="C119" s="145" t="str">
        <f t="shared" si="2"/>
        <v/>
      </c>
      <c r="D119" s="189"/>
      <c r="E119" s="923"/>
      <c r="F119" s="923"/>
      <c r="G119" s="934"/>
      <c r="H119" s="934"/>
      <c r="I119" s="934"/>
      <c r="J119" s="934"/>
      <c r="K119" s="934"/>
      <c r="L119" s="934"/>
      <c r="M119" s="934"/>
      <c r="N119" s="929"/>
      <c r="O119" s="933" t="str">
        <f t="shared" si="3"/>
        <v/>
      </c>
      <c r="P119" s="929"/>
    </row>
    <row r="120" spans="1:16" hidden="1">
      <c r="A120" s="1974"/>
      <c r="B120" s="1974"/>
      <c r="C120" s="145" t="str">
        <f t="shared" si="2"/>
        <v/>
      </c>
      <c r="D120" s="189"/>
      <c r="E120" s="923"/>
      <c r="F120" s="923"/>
      <c r="G120" s="934"/>
      <c r="H120" s="934"/>
      <c r="I120" s="934"/>
      <c r="J120" s="934"/>
      <c r="K120" s="934"/>
      <c r="L120" s="934"/>
      <c r="M120" s="934"/>
      <c r="N120" s="929"/>
      <c r="O120" s="933" t="str">
        <f t="shared" si="3"/>
        <v/>
      </c>
      <c r="P120" s="929"/>
    </row>
    <row r="121" spans="1:16" hidden="1">
      <c r="A121" s="1974"/>
      <c r="B121" s="1974"/>
      <c r="C121" s="145" t="str">
        <f t="shared" si="2"/>
        <v/>
      </c>
      <c r="D121" s="189"/>
      <c r="E121" s="923"/>
      <c r="F121" s="923"/>
      <c r="G121" s="934"/>
      <c r="H121" s="934"/>
      <c r="I121" s="934"/>
      <c r="J121" s="934"/>
      <c r="K121" s="934"/>
      <c r="L121" s="934"/>
      <c r="M121" s="934"/>
      <c r="N121" s="929"/>
      <c r="O121" s="933" t="str">
        <f t="shared" si="3"/>
        <v/>
      </c>
      <c r="P121" s="929"/>
    </row>
    <row r="122" spans="1:16" hidden="1">
      <c r="A122" s="1974"/>
      <c r="B122" s="1974"/>
      <c r="C122" s="145" t="str">
        <f t="shared" si="2"/>
        <v/>
      </c>
      <c r="D122" s="189"/>
      <c r="E122" s="923"/>
      <c r="F122" s="923"/>
      <c r="G122" s="934"/>
      <c r="H122" s="934"/>
      <c r="I122" s="934"/>
      <c r="J122" s="934"/>
      <c r="K122" s="934"/>
      <c r="L122" s="934"/>
      <c r="M122" s="934"/>
      <c r="N122" s="929"/>
      <c r="O122" s="933" t="str">
        <f t="shared" si="3"/>
        <v/>
      </c>
      <c r="P122" s="929"/>
    </row>
    <row r="123" spans="1:16" hidden="1">
      <c r="A123" s="1974"/>
      <c r="B123" s="1974"/>
      <c r="C123" s="145" t="str">
        <f t="shared" si="2"/>
        <v/>
      </c>
      <c r="D123" s="189"/>
      <c r="E123" s="923"/>
      <c r="F123" s="923"/>
      <c r="G123" s="934"/>
      <c r="H123" s="934"/>
      <c r="I123" s="934"/>
      <c r="J123" s="934"/>
      <c r="K123" s="934"/>
      <c r="L123" s="934"/>
      <c r="M123" s="934"/>
      <c r="N123" s="929"/>
      <c r="O123" s="933" t="str">
        <f t="shared" si="3"/>
        <v/>
      </c>
      <c r="P123" s="929"/>
    </row>
    <row r="124" spans="1:16" hidden="1">
      <c r="A124" s="1974"/>
      <c r="B124" s="1974"/>
      <c r="C124" s="145" t="str">
        <f t="shared" si="2"/>
        <v/>
      </c>
      <c r="D124" s="189"/>
      <c r="E124" s="923"/>
      <c r="F124" s="923"/>
      <c r="G124" s="934"/>
      <c r="H124" s="934"/>
      <c r="I124" s="934"/>
      <c r="J124" s="934"/>
      <c r="K124" s="934"/>
      <c r="L124" s="934"/>
      <c r="M124" s="934"/>
      <c r="N124" s="929"/>
      <c r="O124" s="933" t="str">
        <f t="shared" si="3"/>
        <v/>
      </c>
      <c r="P124" s="929"/>
    </row>
    <row r="125" spans="1:16" hidden="1">
      <c r="A125" s="1974"/>
      <c r="B125" s="1974"/>
      <c r="C125" s="145" t="str">
        <f t="shared" si="2"/>
        <v/>
      </c>
      <c r="D125" s="189"/>
      <c r="E125" s="923"/>
      <c r="F125" s="923"/>
      <c r="G125" s="934"/>
      <c r="H125" s="934"/>
      <c r="I125" s="934"/>
      <c r="J125" s="934"/>
      <c r="K125" s="934"/>
      <c r="L125" s="934"/>
      <c r="M125" s="934"/>
      <c r="N125" s="929"/>
      <c r="O125" s="933" t="str">
        <f t="shared" si="3"/>
        <v/>
      </c>
      <c r="P125" s="929"/>
    </row>
    <row r="126" spans="1:16" hidden="1">
      <c r="A126" s="1974"/>
      <c r="B126" s="1974"/>
      <c r="C126" s="145" t="str">
        <f t="shared" si="2"/>
        <v/>
      </c>
      <c r="D126" s="189"/>
      <c r="E126" s="923"/>
      <c r="F126" s="923"/>
      <c r="G126" s="934"/>
      <c r="H126" s="934"/>
      <c r="I126" s="934"/>
      <c r="J126" s="934"/>
      <c r="K126" s="934"/>
      <c r="L126" s="934"/>
      <c r="M126" s="934"/>
      <c r="N126" s="929"/>
      <c r="O126" s="933" t="str">
        <f t="shared" si="3"/>
        <v/>
      </c>
      <c r="P126" s="929"/>
    </row>
    <row r="127" spans="1:16" hidden="1">
      <c r="A127" s="1974"/>
      <c r="B127" s="1974"/>
      <c r="C127" s="145" t="str">
        <f t="shared" si="2"/>
        <v/>
      </c>
      <c r="D127" s="189"/>
      <c r="E127" s="923"/>
      <c r="F127" s="923"/>
      <c r="G127" s="934"/>
      <c r="H127" s="934"/>
      <c r="I127" s="934"/>
      <c r="J127" s="934"/>
      <c r="K127" s="934"/>
      <c r="L127" s="934"/>
      <c r="M127" s="934"/>
      <c r="N127" s="929"/>
      <c r="O127" s="933" t="str">
        <f t="shared" si="3"/>
        <v/>
      </c>
      <c r="P127" s="929"/>
    </row>
    <row r="128" spans="1:16" hidden="1">
      <c r="A128" s="1974"/>
      <c r="B128" s="1974"/>
      <c r="C128" s="145" t="str">
        <f t="shared" si="2"/>
        <v/>
      </c>
      <c r="D128" s="189"/>
      <c r="E128" s="923"/>
      <c r="F128" s="923"/>
      <c r="G128" s="934"/>
      <c r="H128" s="934"/>
      <c r="I128" s="934"/>
      <c r="J128" s="934"/>
      <c r="K128" s="934"/>
      <c r="L128" s="934"/>
      <c r="M128" s="934"/>
      <c r="N128" s="929"/>
      <c r="O128" s="933" t="str">
        <f t="shared" si="3"/>
        <v/>
      </c>
      <c r="P128" s="929"/>
    </row>
    <row r="129" spans="1:16" hidden="1">
      <c r="A129" s="1974"/>
      <c r="B129" s="1974"/>
      <c r="C129" s="145" t="str">
        <f t="shared" si="2"/>
        <v/>
      </c>
      <c r="D129" s="189"/>
      <c r="E129" s="923"/>
      <c r="F129" s="923"/>
      <c r="G129" s="934"/>
      <c r="H129" s="934"/>
      <c r="I129" s="934"/>
      <c r="J129" s="934"/>
      <c r="K129" s="934"/>
      <c r="L129" s="934"/>
      <c r="M129" s="934"/>
      <c r="N129" s="929"/>
      <c r="O129" s="933" t="str">
        <f t="shared" si="3"/>
        <v/>
      </c>
      <c r="P129" s="929"/>
    </row>
    <row r="130" spans="1:16" hidden="1">
      <c r="A130" s="1974"/>
      <c r="B130" s="1974"/>
      <c r="C130" s="145" t="str">
        <f t="shared" si="2"/>
        <v/>
      </c>
      <c r="D130" s="189"/>
      <c r="E130" s="923"/>
      <c r="F130" s="923"/>
      <c r="G130" s="934"/>
      <c r="H130" s="934"/>
      <c r="I130" s="934"/>
      <c r="J130" s="934"/>
      <c r="K130" s="934"/>
      <c r="L130" s="934"/>
      <c r="M130" s="934"/>
      <c r="N130" s="929"/>
      <c r="O130" s="933" t="str">
        <f t="shared" si="3"/>
        <v/>
      </c>
      <c r="P130" s="929"/>
    </row>
    <row r="131" spans="1:16" hidden="1">
      <c r="A131" s="1974"/>
      <c r="B131" s="1974"/>
      <c r="C131" s="145" t="str">
        <f t="shared" si="2"/>
        <v/>
      </c>
      <c r="D131" s="189"/>
      <c r="E131" s="923"/>
      <c r="F131" s="923"/>
      <c r="G131" s="934"/>
      <c r="H131" s="934"/>
      <c r="I131" s="934"/>
      <c r="J131" s="934"/>
      <c r="K131" s="934"/>
      <c r="L131" s="934"/>
      <c r="M131" s="934"/>
      <c r="N131" s="929"/>
      <c r="O131" s="933" t="str">
        <f t="shared" si="3"/>
        <v/>
      </c>
      <c r="P131" s="929"/>
    </row>
    <row r="132" spans="1:16" hidden="1">
      <c r="A132" s="1974"/>
      <c r="B132" s="1974"/>
      <c r="C132" s="145" t="str">
        <f t="shared" si="2"/>
        <v/>
      </c>
      <c r="D132" s="189"/>
      <c r="E132" s="923"/>
      <c r="F132" s="923"/>
      <c r="G132" s="934"/>
      <c r="H132" s="934"/>
      <c r="I132" s="934"/>
      <c r="J132" s="934"/>
      <c r="K132" s="934"/>
      <c r="L132" s="934"/>
      <c r="M132" s="934"/>
      <c r="N132" s="929"/>
      <c r="O132" s="933" t="str">
        <f t="shared" si="3"/>
        <v/>
      </c>
      <c r="P132" s="929"/>
    </row>
    <row r="133" spans="1:16" hidden="1">
      <c r="A133" s="1974"/>
      <c r="B133" s="1974"/>
      <c r="C133" s="145" t="str">
        <f t="shared" si="2"/>
        <v/>
      </c>
      <c r="D133" s="189"/>
      <c r="E133" s="923"/>
      <c r="F133" s="923"/>
      <c r="G133" s="934"/>
      <c r="H133" s="934"/>
      <c r="I133" s="934"/>
      <c r="J133" s="934"/>
      <c r="K133" s="934"/>
      <c r="L133" s="934"/>
      <c r="M133" s="934"/>
      <c r="N133" s="929"/>
      <c r="O133" s="933" t="str">
        <f t="shared" si="3"/>
        <v/>
      </c>
      <c r="P133" s="929"/>
    </row>
    <row r="134" spans="1:16" hidden="1">
      <c r="A134" s="1974"/>
      <c r="B134" s="1974"/>
      <c r="C134" s="145" t="str">
        <f t="shared" si="2"/>
        <v/>
      </c>
      <c r="D134" s="189"/>
      <c r="E134" s="923"/>
      <c r="F134" s="923"/>
      <c r="G134" s="934"/>
      <c r="H134" s="934"/>
      <c r="I134" s="934"/>
      <c r="J134" s="934"/>
      <c r="K134" s="934"/>
      <c r="L134" s="934"/>
      <c r="M134" s="934"/>
      <c r="N134" s="929"/>
      <c r="O134" s="933" t="str">
        <f t="shared" si="3"/>
        <v/>
      </c>
      <c r="P134" s="929"/>
    </row>
    <row r="135" spans="1:16" hidden="1">
      <c r="A135" s="1974"/>
      <c r="B135" s="1974"/>
      <c r="C135" s="145" t="str">
        <f t="shared" si="2"/>
        <v/>
      </c>
      <c r="D135" s="189"/>
      <c r="E135" s="923"/>
      <c r="F135" s="923"/>
      <c r="G135" s="934"/>
      <c r="H135" s="934"/>
      <c r="I135" s="934"/>
      <c r="J135" s="934"/>
      <c r="K135" s="934"/>
      <c r="L135" s="934"/>
      <c r="M135" s="934"/>
      <c r="N135" s="929"/>
      <c r="O135" s="933" t="str">
        <f t="shared" si="3"/>
        <v/>
      </c>
      <c r="P135" s="929"/>
    </row>
    <row r="136" spans="1:16" hidden="1">
      <c r="A136" s="1974"/>
      <c r="B136" s="1974"/>
      <c r="C136" s="145" t="str">
        <f t="shared" si="2"/>
        <v/>
      </c>
      <c r="D136" s="189"/>
      <c r="E136" s="923"/>
      <c r="F136" s="923"/>
      <c r="G136" s="934"/>
      <c r="H136" s="934"/>
      <c r="I136" s="934"/>
      <c r="J136" s="934"/>
      <c r="K136" s="934"/>
      <c r="L136" s="934"/>
      <c r="M136" s="934"/>
      <c r="N136" s="929"/>
      <c r="O136" s="933" t="str">
        <f t="shared" si="3"/>
        <v/>
      </c>
      <c r="P136" s="929"/>
    </row>
    <row r="137" spans="1:16" hidden="1">
      <c r="A137" s="1974"/>
      <c r="B137" s="1974"/>
      <c r="C137" s="145" t="str">
        <f t="shared" si="2"/>
        <v/>
      </c>
      <c r="D137" s="189"/>
      <c r="E137" s="923"/>
      <c r="F137" s="923"/>
      <c r="G137" s="934"/>
      <c r="H137" s="934"/>
      <c r="I137" s="934"/>
      <c r="J137" s="934"/>
      <c r="K137" s="934"/>
      <c r="L137" s="934"/>
      <c r="M137" s="934"/>
      <c r="N137" s="929"/>
      <c r="O137" s="933" t="str">
        <f t="shared" si="3"/>
        <v/>
      </c>
      <c r="P137" s="929"/>
    </row>
    <row r="138" spans="1:16" hidden="1">
      <c r="A138" s="1974"/>
      <c r="B138" s="1974"/>
      <c r="C138" s="145" t="str">
        <f t="shared" si="2"/>
        <v/>
      </c>
      <c r="D138" s="189"/>
      <c r="E138" s="923"/>
      <c r="F138" s="923"/>
      <c r="G138" s="934"/>
      <c r="H138" s="934"/>
      <c r="I138" s="934"/>
      <c r="J138" s="934"/>
      <c r="K138" s="934"/>
      <c r="L138" s="934"/>
      <c r="M138" s="934"/>
      <c r="N138" s="929"/>
      <c r="O138" s="933" t="str">
        <f t="shared" si="3"/>
        <v/>
      </c>
      <c r="P138" s="929"/>
    </row>
    <row r="139" spans="1:16" hidden="1">
      <c r="A139" s="1974"/>
      <c r="B139" s="1974"/>
      <c r="C139" s="145" t="str">
        <f t="shared" si="2"/>
        <v/>
      </c>
      <c r="D139" s="189"/>
      <c r="E139" s="923"/>
      <c r="F139" s="923"/>
      <c r="G139" s="934"/>
      <c r="H139" s="934"/>
      <c r="I139" s="934"/>
      <c r="J139" s="934"/>
      <c r="K139" s="934"/>
      <c r="L139" s="934"/>
      <c r="M139" s="934"/>
      <c r="N139" s="929"/>
      <c r="O139" s="933" t="str">
        <f t="shared" si="3"/>
        <v/>
      </c>
      <c r="P139" s="929"/>
    </row>
    <row r="140" spans="1:16" hidden="1">
      <c r="A140" s="1974"/>
      <c r="B140" s="1974"/>
      <c r="C140" s="145" t="str">
        <f t="shared" si="2"/>
        <v/>
      </c>
      <c r="D140" s="189"/>
      <c r="E140" s="923"/>
      <c r="F140" s="923"/>
      <c r="G140" s="934"/>
      <c r="H140" s="934"/>
      <c r="I140" s="934"/>
      <c r="J140" s="934"/>
      <c r="K140" s="934"/>
      <c r="L140" s="934"/>
      <c r="M140" s="934"/>
      <c r="N140" s="929"/>
      <c r="O140" s="933" t="str">
        <f t="shared" si="3"/>
        <v/>
      </c>
      <c r="P140" s="929"/>
    </row>
    <row r="141" spans="1:16" hidden="1">
      <c r="A141" s="1974"/>
      <c r="B141" s="1974"/>
      <c r="C141" s="145" t="str">
        <f t="shared" si="2"/>
        <v/>
      </c>
      <c r="D141" s="189"/>
      <c r="E141" s="923"/>
      <c r="F141" s="923"/>
      <c r="G141" s="934"/>
      <c r="H141" s="934"/>
      <c r="I141" s="934"/>
      <c r="J141" s="934"/>
      <c r="K141" s="934"/>
      <c r="L141" s="934"/>
      <c r="M141" s="934"/>
      <c r="N141" s="929"/>
      <c r="O141" s="933" t="str">
        <f t="shared" si="3"/>
        <v/>
      </c>
      <c r="P141" s="929"/>
    </row>
    <row r="142" spans="1:16" hidden="1">
      <c r="A142" s="1974"/>
      <c r="B142" s="1974"/>
      <c r="C142" s="145" t="str">
        <f t="shared" si="2"/>
        <v/>
      </c>
      <c r="D142" s="189"/>
      <c r="E142" s="923"/>
      <c r="F142" s="923"/>
      <c r="G142" s="934"/>
      <c r="H142" s="934"/>
      <c r="I142" s="934"/>
      <c r="J142" s="934"/>
      <c r="K142" s="934"/>
      <c r="L142" s="934"/>
      <c r="M142" s="934"/>
      <c r="N142" s="929"/>
      <c r="O142" s="933" t="str">
        <f t="shared" si="3"/>
        <v/>
      </c>
      <c r="P142" s="929"/>
    </row>
    <row r="143" spans="1:16" hidden="1">
      <c r="A143" s="1974"/>
      <c r="B143" s="1974"/>
      <c r="C143" s="145" t="str">
        <f t="shared" si="2"/>
        <v/>
      </c>
      <c r="D143" s="189"/>
      <c r="E143" s="923"/>
      <c r="F143" s="923"/>
      <c r="G143" s="934"/>
      <c r="H143" s="934"/>
      <c r="I143" s="934"/>
      <c r="J143" s="934"/>
      <c r="K143" s="934"/>
      <c r="L143" s="934"/>
      <c r="M143" s="934"/>
      <c r="N143" s="929"/>
      <c r="O143" s="933" t="str">
        <f t="shared" si="3"/>
        <v/>
      </c>
      <c r="P143" s="929"/>
    </row>
    <row r="144" spans="1:16" hidden="1">
      <c r="A144" s="1974"/>
      <c r="B144" s="1974"/>
      <c r="C144" s="145" t="str">
        <f t="shared" ref="C144:C207" si="4">IF(A144&lt;&gt;"",ROW(),"")</f>
        <v/>
      </c>
      <c r="D144" s="189"/>
      <c r="E144" s="923"/>
      <c r="F144" s="923"/>
      <c r="G144" s="934"/>
      <c r="H144" s="934"/>
      <c r="I144" s="934"/>
      <c r="J144" s="934"/>
      <c r="K144" s="934"/>
      <c r="L144" s="934"/>
      <c r="M144" s="934"/>
      <c r="N144" s="929"/>
      <c r="O144" s="933" t="str">
        <f t="shared" si="3"/>
        <v/>
      </c>
      <c r="P144" s="929"/>
    </row>
    <row r="145" spans="1:16" hidden="1">
      <c r="A145" s="1974"/>
      <c r="B145" s="1974"/>
      <c r="C145" s="145" t="str">
        <f t="shared" si="4"/>
        <v/>
      </c>
      <c r="D145" s="189"/>
      <c r="E145" s="923"/>
      <c r="F145" s="923"/>
      <c r="G145" s="934"/>
      <c r="H145" s="934"/>
      <c r="I145" s="934"/>
      <c r="J145" s="934"/>
      <c r="K145" s="934"/>
      <c r="L145" s="934"/>
      <c r="M145" s="934"/>
      <c r="N145" s="929"/>
      <c r="O145" s="933" t="str">
        <f t="shared" ref="O145:O208" si="5">IF(A145&lt;&gt;"",A145,"")</f>
        <v/>
      </c>
      <c r="P145" s="929"/>
    </row>
    <row r="146" spans="1:16" hidden="1">
      <c r="A146" s="1974"/>
      <c r="B146" s="1974"/>
      <c r="C146" s="145" t="str">
        <f t="shared" si="4"/>
        <v/>
      </c>
      <c r="D146" s="189"/>
      <c r="E146" s="923"/>
      <c r="F146" s="923"/>
      <c r="G146" s="934"/>
      <c r="H146" s="934"/>
      <c r="I146" s="934"/>
      <c r="J146" s="934"/>
      <c r="K146" s="934"/>
      <c r="L146" s="934"/>
      <c r="M146" s="934"/>
      <c r="N146" s="929"/>
      <c r="O146" s="933" t="str">
        <f t="shared" si="5"/>
        <v/>
      </c>
      <c r="P146" s="929"/>
    </row>
    <row r="147" spans="1:16" hidden="1">
      <c r="A147" s="1974"/>
      <c r="B147" s="1974"/>
      <c r="C147" s="145" t="str">
        <f t="shared" si="4"/>
        <v/>
      </c>
      <c r="D147" s="189"/>
      <c r="E147" s="923"/>
      <c r="F147" s="923"/>
      <c r="G147" s="934"/>
      <c r="H147" s="934"/>
      <c r="I147" s="934"/>
      <c r="J147" s="934"/>
      <c r="K147" s="934"/>
      <c r="L147" s="934"/>
      <c r="M147" s="934"/>
      <c r="N147" s="929"/>
      <c r="O147" s="933" t="str">
        <f t="shared" si="5"/>
        <v/>
      </c>
      <c r="P147" s="929"/>
    </row>
    <row r="148" spans="1:16" hidden="1">
      <c r="A148" s="1974"/>
      <c r="B148" s="1974"/>
      <c r="C148" s="145" t="str">
        <f t="shared" si="4"/>
        <v/>
      </c>
      <c r="D148" s="189"/>
      <c r="E148" s="923"/>
      <c r="F148" s="923"/>
      <c r="G148" s="934"/>
      <c r="H148" s="934"/>
      <c r="I148" s="934"/>
      <c r="J148" s="934"/>
      <c r="K148" s="934"/>
      <c r="L148" s="934"/>
      <c r="M148" s="934"/>
      <c r="N148" s="929"/>
      <c r="O148" s="933" t="str">
        <f t="shared" si="5"/>
        <v/>
      </c>
      <c r="P148" s="929"/>
    </row>
    <row r="149" spans="1:16" hidden="1">
      <c r="A149" s="1974"/>
      <c r="B149" s="1974"/>
      <c r="C149" s="145" t="str">
        <f t="shared" si="4"/>
        <v/>
      </c>
      <c r="D149" s="189"/>
      <c r="E149" s="923"/>
      <c r="F149" s="923"/>
      <c r="G149" s="934"/>
      <c r="H149" s="934"/>
      <c r="I149" s="934"/>
      <c r="J149" s="934"/>
      <c r="K149" s="934"/>
      <c r="L149" s="934"/>
      <c r="M149" s="934"/>
      <c r="N149" s="929"/>
      <c r="O149" s="933" t="str">
        <f t="shared" si="5"/>
        <v/>
      </c>
      <c r="P149" s="929"/>
    </row>
    <row r="150" spans="1:16" hidden="1">
      <c r="A150" s="1974"/>
      <c r="B150" s="1974"/>
      <c r="C150" s="145" t="str">
        <f t="shared" si="4"/>
        <v/>
      </c>
      <c r="D150" s="189"/>
      <c r="E150" s="923"/>
      <c r="F150" s="923"/>
      <c r="G150" s="934"/>
      <c r="H150" s="934"/>
      <c r="I150" s="934"/>
      <c r="J150" s="934"/>
      <c r="K150" s="934"/>
      <c r="L150" s="934"/>
      <c r="M150" s="934"/>
      <c r="N150" s="929"/>
      <c r="O150" s="933" t="str">
        <f t="shared" si="5"/>
        <v/>
      </c>
      <c r="P150" s="929"/>
    </row>
    <row r="151" spans="1:16" hidden="1">
      <c r="A151" s="1974"/>
      <c r="B151" s="1974"/>
      <c r="C151" s="145" t="str">
        <f t="shared" si="4"/>
        <v/>
      </c>
      <c r="D151" s="189"/>
      <c r="E151" s="923"/>
      <c r="F151" s="923"/>
      <c r="G151" s="934"/>
      <c r="H151" s="934"/>
      <c r="I151" s="934"/>
      <c r="J151" s="934"/>
      <c r="K151" s="934"/>
      <c r="L151" s="934"/>
      <c r="M151" s="934"/>
      <c r="N151" s="929"/>
      <c r="O151" s="933" t="str">
        <f t="shared" si="5"/>
        <v/>
      </c>
      <c r="P151" s="929"/>
    </row>
    <row r="152" spans="1:16" hidden="1">
      <c r="A152" s="1974"/>
      <c r="B152" s="1974"/>
      <c r="C152" s="145" t="str">
        <f t="shared" si="4"/>
        <v/>
      </c>
      <c r="D152" s="189"/>
      <c r="E152" s="923"/>
      <c r="F152" s="923"/>
      <c r="G152" s="934"/>
      <c r="H152" s="934"/>
      <c r="I152" s="934"/>
      <c r="J152" s="934"/>
      <c r="K152" s="934"/>
      <c r="L152" s="934"/>
      <c r="M152" s="934"/>
      <c r="N152" s="929"/>
      <c r="O152" s="933" t="str">
        <f t="shared" si="5"/>
        <v/>
      </c>
      <c r="P152" s="929"/>
    </row>
    <row r="153" spans="1:16" hidden="1">
      <c r="A153" s="1974"/>
      <c r="B153" s="1974"/>
      <c r="C153" s="145" t="str">
        <f t="shared" si="4"/>
        <v/>
      </c>
      <c r="D153" s="189"/>
      <c r="E153" s="923"/>
      <c r="F153" s="923"/>
      <c r="G153" s="934"/>
      <c r="H153" s="934"/>
      <c r="I153" s="934"/>
      <c r="J153" s="934"/>
      <c r="K153" s="934"/>
      <c r="L153" s="934"/>
      <c r="M153" s="934"/>
      <c r="N153" s="929"/>
      <c r="O153" s="933" t="str">
        <f t="shared" si="5"/>
        <v/>
      </c>
      <c r="P153" s="929"/>
    </row>
    <row r="154" spans="1:16" hidden="1">
      <c r="A154" s="1974"/>
      <c r="B154" s="1974"/>
      <c r="C154" s="145" t="str">
        <f t="shared" si="4"/>
        <v/>
      </c>
      <c r="D154" s="189"/>
      <c r="E154" s="923"/>
      <c r="F154" s="923"/>
      <c r="G154" s="934"/>
      <c r="H154" s="934"/>
      <c r="I154" s="934"/>
      <c r="J154" s="934"/>
      <c r="K154" s="934"/>
      <c r="L154" s="934"/>
      <c r="M154" s="934"/>
      <c r="N154" s="929"/>
      <c r="O154" s="933" t="str">
        <f t="shared" si="5"/>
        <v/>
      </c>
      <c r="P154" s="929"/>
    </row>
    <row r="155" spans="1:16" hidden="1">
      <c r="A155" s="1974"/>
      <c r="B155" s="1974"/>
      <c r="C155" s="145" t="str">
        <f t="shared" si="4"/>
        <v/>
      </c>
      <c r="D155" s="189"/>
      <c r="E155" s="923"/>
      <c r="F155" s="923"/>
      <c r="G155" s="934"/>
      <c r="H155" s="934"/>
      <c r="I155" s="934"/>
      <c r="J155" s="934"/>
      <c r="K155" s="934"/>
      <c r="L155" s="934"/>
      <c r="M155" s="934"/>
      <c r="N155" s="929"/>
      <c r="O155" s="933" t="str">
        <f t="shared" si="5"/>
        <v/>
      </c>
      <c r="P155" s="929"/>
    </row>
    <row r="156" spans="1:16" hidden="1">
      <c r="A156" s="1974"/>
      <c r="B156" s="1974"/>
      <c r="C156" s="145" t="str">
        <f t="shared" si="4"/>
        <v/>
      </c>
      <c r="D156" s="189"/>
      <c r="E156" s="923"/>
      <c r="F156" s="923"/>
      <c r="G156" s="934"/>
      <c r="H156" s="934"/>
      <c r="I156" s="934"/>
      <c r="J156" s="934"/>
      <c r="K156" s="934"/>
      <c r="L156" s="934"/>
      <c r="M156" s="934"/>
      <c r="N156" s="929"/>
      <c r="O156" s="933" t="str">
        <f t="shared" si="5"/>
        <v/>
      </c>
      <c r="P156" s="929"/>
    </row>
    <row r="157" spans="1:16" hidden="1">
      <c r="A157" s="1974"/>
      <c r="B157" s="1974"/>
      <c r="C157" s="145" t="str">
        <f t="shared" si="4"/>
        <v/>
      </c>
      <c r="D157" s="189"/>
      <c r="E157" s="923"/>
      <c r="F157" s="923"/>
      <c r="G157" s="934"/>
      <c r="H157" s="934"/>
      <c r="I157" s="934"/>
      <c r="J157" s="934"/>
      <c r="K157" s="934"/>
      <c r="L157" s="934"/>
      <c r="M157" s="934"/>
      <c r="N157" s="929"/>
      <c r="O157" s="933" t="str">
        <f t="shared" si="5"/>
        <v/>
      </c>
      <c r="P157" s="929"/>
    </row>
    <row r="158" spans="1:16" hidden="1">
      <c r="A158" s="1974"/>
      <c r="B158" s="1974"/>
      <c r="C158" s="145" t="str">
        <f t="shared" si="4"/>
        <v/>
      </c>
      <c r="D158" s="189"/>
      <c r="E158" s="923"/>
      <c r="F158" s="923"/>
      <c r="G158" s="934"/>
      <c r="H158" s="934"/>
      <c r="I158" s="934"/>
      <c r="J158" s="934"/>
      <c r="K158" s="934"/>
      <c r="L158" s="934"/>
      <c r="M158" s="934"/>
      <c r="N158" s="929"/>
      <c r="O158" s="933" t="str">
        <f t="shared" si="5"/>
        <v/>
      </c>
      <c r="P158" s="929"/>
    </row>
    <row r="159" spans="1:16" hidden="1">
      <c r="A159" s="1974"/>
      <c r="B159" s="1974"/>
      <c r="C159" s="145" t="str">
        <f t="shared" si="4"/>
        <v/>
      </c>
      <c r="D159" s="189"/>
      <c r="E159" s="923"/>
      <c r="F159" s="923"/>
      <c r="G159" s="934"/>
      <c r="H159" s="934"/>
      <c r="I159" s="934"/>
      <c r="J159" s="934"/>
      <c r="K159" s="934"/>
      <c r="L159" s="934"/>
      <c r="M159" s="934"/>
      <c r="N159" s="929"/>
      <c r="O159" s="933" t="str">
        <f t="shared" si="5"/>
        <v/>
      </c>
      <c r="P159" s="929"/>
    </row>
    <row r="160" spans="1:16" hidden="1">
      <c r="A160" s="1974"/>
      <c r="B160" s="1974"/>
      <c r="C160" s="145" t="str">
        <f t="shared" si="4"/>
        <v/>
      </c>
      <c r="D160" s="189"/>
      <c r="E160" s="923"/>
      <c r="F160" s="923"/>
      <c r="G160" s="934"/>
      <c r="H160" s="934"/>
      <c r="I160" s="934"/>
      <c r="J160" s="934"/>
      <c r="K160" s="934"/>
      <c r="L160" s="934"/>
      <c r="M160" s="934"/>
      <c r="N160" s="929"/>
      <c r="O160" s="933" t="str">
        <f t="shared" si="5"/>
        <v/>
      </c>
      <c r="P160" s="929"/>
    </row>
    <row r="161" spans="1:16" hidden="1">
      <c r="A161" s="1974"/>
      <c r="B161" s="1974"/>
      <c r="C161" s="145" t="str">
        <f t="shared" si="4"/>
        <v/>
      </c>
      <c r="D161" s="189"/>
      <c r="E161" s="923"/>
      <c r="F161" s="923"/>
      <c r="G161" s="934"/>
      <c r="H161" s="934"/>
      <c r="I161" s="934"/>
      <c r="J161" s="934"/>
      <c r="K161" s="934"/>
      <c r="L161" s="934"/>
      <c r="M161" s="934"/>
      <c r="N161" s="929"/>
      <c r="O161" s="933" t="str">
        <f t="shared" si="5"/>
        <v/>
      </c>
      <c r="P161" s="929"/>
    </row>
    <row r="162" spans="1:16" hidden="1">
      <c r="A162" s="1974"/>
      <c r="B162" s="1974"/>
      <c r="C162" s="145" t="str">
        <f t="shared" si="4"/>
        <v/>
      </c>
      <c r="D162" s="189"/>
      <c r="E162" s="923"/>
      <c r="F162" s="923"/>
      <c r="G162" s="934"/>
      <c r="H162" s="934"/>
      <c r="I162" s="934"/>
      <c r="J162" s="934"/>
      <c r="K162" s="934"/>
      <c r="L162" s="934"/>
      <c r="M162" s="934"/>
      <c r="N162" s="929"/>
      <c r="O162" s="933" t="str">
        <f t="shared" si="5"/>
        <v/>
      </c>
      <c r="P162" s="929"/>
    </row>
    <row r="163" spans="1:16" hidden="1">
      <c r="A163" s="1974"/>
      <c r="B163" s="1974"/>
      <c r="C163" s="145" t="str">
        <f t="shared" si="4"/>
        <v/>
      </c>
      <c r="D163" s="189"/>
      <c r="E163" s="923"/>
      <c r="F163" s="923"/>
      <c r="G163" s="934"/>
      <c r="H163" s="934"/>
      <c r="I163" s="934"/>
      <c r="J163" s="934"/>
      <c r="K163" s="934"/>
      <c r="L163" s="934"/>
      <c r="M163" s="934"/>
      <c r="N163" s="929"/>
      <c r="O163" s="933" t="str">
        <f t="shared" si="5"/>
        <v/>
      </c>
      <c r="P163" s="929"/>
    </row>
    <row r="164" spans="1:16" hidden="1">
      <c r="A164" s="1974"/>
      <c r="B164" s="1974"/>
      <c r="C164" s="145" t="str">
        <f t="shared" si="4"/>
        <v/>
      </c>
      <c r="D164" s="189"/>
      <c r="E164" s="923"/>
      <c r="F164" s="923"/>
      <c r="G164" s="934"/>
      <c r="H164" s="934"/>
      <c r="I164" s="934"/>
      <c r="J164" s="934"/>
      <c r="K164" s="934"/>
      <c r="L164" s="934"/>
      <c r="M164" s="934"/>
      <c r="N164" s="929"/>
      <c r="O164" s="933" t="str">
        <f t="shared" si="5"/>
        <v/>
      </c>
      <c r="P164" s="929"/>
    </row>
    <row r="165" spans="1:16" hidden="1">
      <c r="A165" s="1974"/>
      <c r="B165" s="1974"/>
      <c r="C165" s="145" t="str">
        <f t="shared" si="4"/>
        <v/>
      </c>
      <c r="D165" s="189"/>
      <c r="E165" s="923"/>
      <c r="F165" s="923"/>
      <c r="G165" s="934"/>
      <c r="H165" s="934"/>
      <c r="I165" s="934"/>
      <c r="J165" s="934"/>
      <c r="K165" s="934"/>
      <c r="L165" s="934"/>
      <c r="M165" s="934"/>
      <c r="N165" s="929"/>
      <c r="O165" s="933" t="str">
        <f t="shared" si="5"/>
        <v/>
      </c>
      <c r="P165" s="929"/>
    </row>
    <row r="166" spans="1:16" hidden="1">
      <c r="A166" s="1974"/>
      <c r="B166" s="1974"/>
      <c r="C166" s="145" t="str">
        <f t="shared" si="4"/>
        <v/>
      </c>
      <c r="D166" s="189"/>
      <c r="E166" s="923"/>
      <c r="F166" s="923"/>
      <c r="G166" s="934"/>
      <c r="H166" s="934"/>
      <c r="I166" s="934"/>
      <c r="J166" s="934"/>
      <c r="K166" s="934"/>
      <c r="L166" s="934"/>
      <c r="M166" s="934"/>
      <c r="N166" s="929"/>
      <c r="O166" s="933" t="str">
        <f t="shared" si="5"/>
        <v/>
      </c>
      <c r="P166" s="929"/>
    </row>
    <row r="167" spans="1:16" hidden="1">
      <c r="A167" s="1974"/>
      <c r="B167" s="1974"/>
      <c r="C167" s="145" t="str">
        <f t="shared" si="4"/>
        <v/>
      </c>
      <c r="D167" s="189"/>
      <c r="E167" s="923"/>
      <c r="F167" s="923"/>
      <c r="G167" s="934"/>
      <c r="H167" s="934"/>
      <c r="I167" s="934"/>
      <c r="J167" s="934"/>
      <c r="K167" s="934"/>
      <c r="L167" s="934"/>
      <c r="M167" s="934"/>
      <c r="N167" s="929"/>
      <c r="O167" s="933" t="str">
        <f t="shared" si="5"/>
        <v/>
      </c>
      <c r="P167" s="929"/>
    </row>
    <row r="168" spans="1:16" hidden="1">
      <c r="A168" s="1974"/>
      <c r="B168" s="1974"/>
      <c r="C168" s="145" t="str">
        <f t="shared" si="4"/>
        <v/>
      </c>
      <c r="D168" s="189"/>
      <c r="E168" s="923"/>
      <c r="F168" s="923"/>
      <c r="G168" s="934"/>
      <c r="H168" s="934"/>
      <c r="I168" s="934"/>
      <c r="J168" s="934"/>
      <c r="K168" s="934"/>
      <c r="L168" s="934"/>
      <c r="M168" s="934"/>
      <c r="N168" s="929"/>
      <c r="O168" s="933" t="str">
        <f t="shared" si="5"/>
        <v/>
      </c>
      <c r="P168" s="929"/>
    </row>
    <row r="169" spans="1:16" hidden="1">
      <c r="A169" s="1974"/>
      <c r="B169" s="1974"/>
      <c r="C169" s="145" t="str">
        <f t="shared" si="4"/>
        <v/>
      </c>
      <c r="D169" s="189"/>
      <c r="E169" s="923"/>
      <c r="F169" s="923"/>
      <c r="G169" s="934"/>
      <c r="H169" s="934"/>
      <c r="I169" s="934"/>
      <c r="J169" s="934"/>
      <c r="K169" s="934"/>
      <c r="L169" s="934"/>
      <c r="M169" s="934"/>
      <c r="N169" s="929"/>
      <c r="O169" s="933" t="str">
        <f t="shared" si="5"/>
        <v/>
      </c>
      <c r="P169" s="929"/>
    </row>
    <row r="170" spans="1:16" hidden="1">
      <c r="A170" s="1974"/>
      <c r="B170" s="1974"/>
      <c r="C170" s="145" t="str">
        <f t="shared" si="4"/>
        <v/>
      </c>
      <c r="D170" s="189"/>
      <c r="E170" s="923"/>
      <c r="F170" s="923"/>
      <c r="G170" s="934"/>
      <c r="H170" s="934"/>
      <c r="I170" s="934"/>
      <c r="J170" s="934"/>
      <c r="K170" s="934"/>
      <c r="L170" s="934"/>
      <c r="M170" s="934"/>
      <c r="N170" s="929"/>
      <c r="O170" s="933" t="str">
        <f t="shared" si="5"/>
        <v/>
      </c>
      <c r="P170" s="929"/>
    </row>
    <row r="171" spans="1:16" hidden="1">
      <c r="A171" s="1974"/>
      <c r="B171" s="1974"/>
      <c r="C171" s="145" t="str">
        <f t="shared" si="4"/>
        <v/>
      </c>
      <c r="D171" s="189"/>
      <c r="E171" s="923"/>
      <c r="F171" s="923"/>
      <c r="G171" s="934"/>
      <c r="H171" s="934"/>
      <c r="I171" s="934"/>
      <c r="J171" s="934"/>
      <c r="K171" s="934"/>
      <c r="L171" s="934"/>
      <c r="M171" s="934"/>
      <c r="N171" s="929"/>
      <c r="O171" s="933" t="str">
        <f t="shared" si="5"/>
        <v/>
      </c>
      <c r="P171" s="929"/>
    </row>
    <row r="172" spans="1:16" hidden="1">
      <c r="A172" s="1974"/>
      <c r="B172" s="1974"/>
      <c r="C172" s="145" t="str">
        <f t="shared" si="4"/>
        <v/>
      </c>
      <c r="D172" s="189"/>
      <c r="E172" s="923"/>
      <c r="F172" s="923"/>
      <c r="G172" s="934"/>
      <c r="H172" s="934"/>
      <c r="I172" s="934"/>
      <c r="J172" s="934"/>
      <c r="K172" s="934"/>
      <c r="L172" s="934"/>
      <c r="M172" s="934"/>
      <c r="N172" s="929"/>
      <c r="O172" s="933" t="str">
        <f t="shared" si="5"/>
        <v/>
      </c>
      <c r="P172" s="929"/>
    </row>
    <row r="173" spans="1:16" hidden="1">
      <c r="A173" s="1974"/>
      <c r="B173" s="1974"/>
      <c r="C173" s="145" t="str">
        <f t="shared" si="4"/>
        <v/>
      </c>
      <c r="D173" s="189"/>
      <c r="E173" s="923"/>
      <c r="F173" s="923"/>
      <c r="G173" s="934"/>
      <c r="H173" s="934"/>
      <c r="I173" s="934"/>
      <c r="J173" s="934"/>
      <c r="K173" s="934"/>
      <c r="L173" s="934"/>
      <c r="M173" s="934"/>
      <c r="N173" s="929"/>
      <c r="O173" s="933" t="str">
        <f t="shared" si="5"/>
        <v/>
      </c>
      <c r="P173" s="929"/>
    </row>
    <row r="174" spans="1:16" hidden="1">
      <c r="A174" s="1974"/>
      <c r="B174" s="1974"/>
      <c r="C174" s="145" t="str">
        <f t="shared" si="4"/>
        <v/>
      </c>
      <c r="D174" s="189"/>
      <c r="E174" s="923"/>
      <c r="F174" s="923"/>
      <c r="G174" s="934"/>
      <c r="H174" s="934"/>
      <c r="I174" s="934"/>
      <c r="J174" s="934"/>
      <c r="K174" s="934"/>
      <c r="L174" s="934"/>
      <c r="M174" s="934"/>
      <c r="N174" s="929"/>
      <c r="O174" s="933" t="str">
        <f t="shared" si="5"/>
        <v/>
      </c>
      <c r="P174" s="929"/>
    </row>
    <row r="175" spans="1:16" hidden="1">
      <c r="A175" s="1974"/>
      <c r="B175" s="1974"/>
      <c r="C175" s="145" t="str">
        <f t="shared" si="4"/>
        <v/>
      </c>
      <c r="D175" s="189"/>
      <c r="E175" s="923"/>
      <c r="F175" s="923"/>
      <c r="G175" s="934"/>
      <c r="H175" s="934"/>
      <c r="I175" s="934"/>
      <c r="J175" s="934"/>
      <c r="K175" s="934"/>
      <c r="L175" s="934"/>
      <c r="M175" s="934"/>
      <c r="N175" s="929"/>
      <c r="O175" s="933" t="str">
        <f t="shared" si="5"/>
        <v/>
      </c>
      <c r="P175" s="929"/>
    </row>
    <row r="176" spans="1:16" hidden="1">
      <c r="A176" s="1974"/>
      <c r="B176" s="1974"/>
      <c r="C176" s="145" t="str">
        <f t="shared" si="4"/>
        <v/>
      </c>
      <c r="D176" s="189"/>
      <c r="E176" s="923"/>
      <c r="F176" s="923"/>
      <c r="G176" s="934"/>
      <c r="H176" s="934"/>
      <c r="I176" s="934"/>
      <c r="J176" s="934"/>
      <c r="K176" s="934"/>
      <c r="L176" s="934"/>
      <c r="M176" s="934"/>
      <c r="N176" s="929"/>
      <c r="O176" s="933" t="str">
        <f t="shared" si="5"/>
        <v/>
      </c>
      <c r="P176" s="929"/>
    </row>
    <row r="177" spans="1:16" hidden="1">
      <c r="A177" s="1974"/>
      <c r="B177" s="1974"/>
      <c r="C177" s="145" t="str">
        <f t="shared" si="4"/>
        <v/>
      </c>
      <c r="D177" s="189"/>
      <c r="E177" s="923"/>
      <c r="F177" s="923"/>
      <c r="G177" s="934"/>
      <c r="H177" s="934"/>
      <c r="I177" s="934"/>
      <c r="J177" s="934"/>
      <c r="K177" s="934"/>
      <c r="L177" s="934"/>
      <c r="M177" s="934"/>
      <c r="N177" s="929"/>
      <c r="O177" s="933" t="str">
        <f t="shared" si="5"/>
        <v/>
      </c>
      <c r="P177" s="929"/>
    </row>
    <row r="178" spans="1:16" hidden="1">
      <c r="A178" s="1974"/>
      <c r="B178" s="1974"/>
      <c r="C178" s="145" t="str">
        <f t="shared" si="4"/>
        <v/>
      </c>
      <c r="D178" s="189"/>
      <c r="E178" s="923"/>
      <c r="F178" s="923"/>
      <c r="G178" s="934"/>
      <c r="H178" s="934"/>
      <c r="I178" s="934"/>
      <c r="J178" s="934"/>
      <c r="K178" s="934"/>
      <c r="L178" s="934"/>
      <c r="M178" s="934"/>
      <c r="N178" s="929"/>
      <c r="O178" s="933" t="str">
        <f t="shared" si="5"/>
        <v/>
      </c>
      <c r="P178" s="929"/>
    </row>
    <row r="179" spans="1:16" hidden="1">
      <c r="A179" s="1974"/>
      <c r="B179" s="1974"/>
      <c r="C179" s="145" t="str">
        <f t="shared" si="4"/>
        <v/>
      </c>
      <c r="D179" s="189"/>
      <c r="E179" s="923"/>
      <c r="F179" s="923"/>
      <c r="G179" s="934"/>
      <c r="H179" s="934"/>
      <c r="I179" s="934"/>
      <c r="J179" s="934"/>
      <c r="K179" s="934"/>
      <c r="L179" s="934"/>
      <c r="M179" s="934"/>
      <c r="N179" s="929"/>
      <c r="O179" s="933" t="str">
        <f t="shared" si="5"/>
        <v/>
      </c>
      <c r="P179" s="929"/>
    </row>
    <row r="180" spans="1:16" hidden="1">
      <c r="A180" s="1974"/>
      <c r="B180" s="1974"/>
      <c r="C180" s="145" t="str">
        <f t="shared" si="4"/>
        <v/>
      </c>
      <c r="D180" s="189"/>
      <c r="E180" s="923"/>
      <c r="F180" s="923"/>
      <c r="G180" s="934"/>
      <c r="H180" s="934"/>
      <c r="I180" s="934"/>
      <c r="J180" s="934"/>
      <c r="K180" s="934"/>
      <c r="L180" s="934"/>
      <c r="M180" s="934"/>
      <c r="N180" s="929"/>
      <c r="O180" s="933" t="str">
        <f t="shared" si="5"/>
        <v/>
      </c>
      <c r="P180" s="929"/>
    </row>
    <row r="181" spans="1:16" hidden="1">
      <c r="A181" s="1974"/>
      <c r="B181" s="1974"/>
      <c r="C181" s="145" t="str">
        <f t="shared" si="4"/>
        <v/>
      </c>
      <c r="D181" s="189"/>
      <c r="E181" s="923"/>
      <c r="F181" s="923"/>
      <c r="G181" s="934"/>
      <c r="H181" s="934"/>
      <c r="I181" s="934"/>
      <c r="J181" s="934"/>
      <c r="K181" s="934"/>
      <c r="L181" s="934"/>
      <c r="M181" s="934"/>
      <c r="N181" s="929"/>
      <c r="O181" s="933" t="str">
        <f t="shared" si="5"/>
        <v/>
      </c>
      <c r="P181" s="929"/>
    </row>
    <row r="182" spans="1:16" hidden="1">
      <c r="A182" s="1974"/>
      <c r="B182" s="1974"/>
      <c r="C182" s="145" t="str">
        <f t="shared" si="4"/>
        <v/>
      </c>
      <c r="D182" s="189"/>
      <c r="E182" s="923"/>
      <c r="F182" s="923"/>
      <c r="G182" s="934"/>
      <c r="H182" s="934"/>
      <c r="I182" s="934"/>
      <c r="J182" s="934"/>
      <c r="K182" s="934"/>
      <c r="L182" s="934"/>
      <c r="M182" s="934"/>
      <c r="N182" s="929"/>
      <c r="O182" s="933" t="str">
        <f t="shared" si="5"/>
        <v/>
      </c>
      <c r="P182" s="929"/>
    </row>
    <row r="183" spans="1:16" hidden="1">
      <c r="A183" s="1974"/>
      <c r="B183" s="1974"/>
      <c r="C183" s="145" t="str">
        <f t="shared" si="4"/>
        <v/>
      </c>
      <c r="D183" s="189"/>
      <c r="E183" s="923"/>
      <c r="F183" s="923"/>
      <c r="G183" s="934"/>
      <c r="H183" s="934"/>
      <c r="I183" s="934"/>
      <c r="J183" s="934"/>
      <c r="K183" s="934"/>
      <c r="L183" s="934"/>
      <c r="M183" s="934"/>
      <c r="N183" s="929"/>
      <c r="O183" s="933" t="str">
        <f t="shared" si="5"/>
        <v/>
      </c>
      <c r="P183" s="929"/>
    </row>
    <row r="184" spans="1:16" hidden="1">
      <c r="A184" s="1974"/>
      <c r="B184" s="1974"/>
      <c r="C184" s="145" t="str">
        <f t="shared" si="4"/>
        <v/>
      </c>
      <c r="D184" s="189"/>
      <c r="E184" s="923"/>
      <c r="F184" s="923"/>
      <c r="G184" s="934"/>
      <c r="H184" s="934"/>
      <c r="I184" s="934"/>
      <c r="J184" s="934"/>
      <c r="K184" s="934"/>
      <c r="L184" s="934"/>
      <c r="M184" s="934"/>
      <c r="N184" s="929"/>
      <c r="O184" s="933" t="str">
        <f t="shared" si="5"/>
        <v/>
      </c>
      <c r="P184" s="929"/>
    </row>
    <row r="185" spans="1:16" hidden="1">
      <c r="A185" s="1974"/>
      <c r="B185" s="1974"/>
      <c r="C185" s="145" t="str">
        <f t="shared" si="4"/>
        <v/>
      </c>
      <c r="D185" s="189"/>
      <c r="E185" s="923"/>
      <c r="F185" s="923"/>
      <c r="G185" s="934"/>
      <c r="H185" s="934"/>
      <c r="I185" s="934"/>
      <c r="J185" s="934"/>
      <c r="K185" s="934"/>
      <c r="L185" s="934"/>
      <c r="M185" s="934"/>
      <c r="N185" s="929"/>
      <c r="O185" s="933" t="str">
        <f t="shared" si="5"/>
        <v/>
      </c>
      <c r="P185" s="929"/>
    </row>
    <row r="186" spans="1:16" hidden="1">
      <c r="A186" s="1974"/>
      <c r="B186" s="1974"/>
      <c r="C186" s="145" t="str">
        <f t="shared" si="4"/>
        <v/>
      </c>
      <c r="D186" s="189"/>
      <c r="E186" s="923"/>
      <c r="F186" s="923"/>
      <c r="G186" s="934"/>
      <c r="H186" s="934"/>
      <c r="I186" s="934"/>
      <c r="J186" s="934"/>
      <c r="K186" s="934"/>
      <c r="L186" s="934"/>
      <c r="M186" s="934"/>
      <c r="N186" s="929"/>
      <c r="O186" s="933" t="str">
        <f t="shared" si="5"/>
        <v/>
      </c>
      <c r="P186" s="929"/>
    </row>
    <row r="187" spans="1:16" hidden="1">
      <c r="A187" s="1974"/>
      <c r="B187" s="1974"/>
      <c r="C187" s="145" t="str">
        <f t="shared" si="4"/>
        <v/>
      </c>
      <c r="D187" s="189"/>
      <c r="E187" s="923"/>
      <c r="F187" s="923"/>
      <c r="G187" s="934"/>
      <c r="H187" s="934"/>
      <c r="I187" s="934"/>
      <c r="J187" s="934"/>
      <c r="K187" s="934"/>
      <c r="L187" s="934"/>
      <c r="M187" s="934"/>
      <c r="N187" s="929"/>
      <c r="O187" s="933" t="str">
        <f t="shared" si="5"/>
        <v/>
      </c>
      <c r="P187" s="929"/>
    </row>
    <row r="188" spans="1:16" hidden="1">
      <c r="A188" s="1974"/>
      <c r="B188" s="1974"/>
      <c r="C188" s="145" t="str">
        <f t="shared" si="4"/>
        <v/>
      </c>
      <c r="D188" s="189"/>
      <c r="E188" s="923"/>
      <c r="F188" s="923"/>
      <c r="G188" s="934"/>
      <c r="H188" s="934"/>
      <c r="I188" s="934"/>
      <c r="J188" s="934"/>
      <c r="K188" s="934"/>
      <c r="L188" s="934"/>
      <c r="M188" s="934"/>
      <c r="N188" s="929"/>
      <c r="O188" s="933" t="str">
        <f t="shared" si="5"/>
        <v/>
      </c>
      <c r="P188" s="929"/>
    </row>
    <row r="189" spans="1:16" hidden="1">
      <c r="A189" s="1974"/>
      <c r="B189" s="1974"/>
      <c r="C189" s="145" t="str">
        <f t="shared" si="4"/>
        <v/>
      </c>
      <c r="D189" s="189"/>
      <c r="E189" s="923"/>
      <c r="F189" s="923"/>
      <c r="G189" s="934"/>
      <c r="H189" s="934"/>
      <c r="I189" s="934"/>
      <c r="J189" s="934"/>
      <c r="K189" s="934"/>
      <c r="L189" s="934"/>
      <c r="M189" s="934"/>
      <c r="N189" s="929"/>
      <c r="O189" s="933" t="str">
        <f t="shared" si="5"/>
        <v/>
      </c>
      <c r="P189" s="929"/>
    </row>
    <row r="190" spans="1:16" hidden="1">
      <c r="A190" s="1974"/>
      <c r="B190" s="1974"/>
      <c r="C190" s="145" t="str">
        <f t="shared" si="4"/>
        <v/>
      </c>
      <c r="D190" s="189"/>
      <c r="E190" s="923"/>
      <c r="F190" s="923"/>
      <c r="G190" s="934"/>
      <c r="H190" s="934"/>
      <c r="I190" s="934"/>
      <c r="J190" s="934"/>
      <c r="K190" s="934"/>
      <c r="L190" s="934"/>
      <c r="M190" s="934"/>
      <c r="N190" s="929"/>
      <c r="O190" s="933" t="str">
        <f t="shared" si="5"/>
        <v/>
      </c>
      <c r="P190" s="929"/>
    </row>
    <row r="191" spans="1:16" hidden="1">
      <c r="A191" s="1974"/>
      <c r="B191" s="1974"/>
      <c r="C191" s="145" t="str">
        <f t="shared" si="4"/>
        <v/>
      </c>
      <c r="D191" s="189"/>
      <c r="E191" s="923"/>
      <c r="F191" s="923"/>
      <c r="G191" s="934"/>
      <c r="H191" s="934"/>
      <c r="I191" s="934"/>
      <c r="J191" s="934"/>
      <c r="K191" s="934"/>
      <c r="L191" s="934"/>
      <c r="M191" s="934"/>
      <c r="N191" s="929"/>
      <c r="O191" s="933" t="str">
        <f t="shared" si="5"/>
        <v/>
      </c>
      <c r="P191" s="929"/>
    </row>
    <row r="192" spans="1:16" hidden="1">
      <c r="A192" s="1974"/>
      <c r="B192" s="1974"/>
      <c r="C192" s="145" t="str">
        <f t="shared" si="4"/>
        <v/>
      </c>
      <c r="D192" s="189"/>
      <c r="E192" s="923"/>
      <c r="F192" s="923"/>
      <c r="G192" s="934"/>
      <c r="H192" s="934"/>
      <c r="I192" s="934"/>
      <c r="J192" s="934"/>
      <c r="K192" s="934"/>
      <c r="L192" s="934"/>
      <c r="M192" s="934"/>
      <c r="N192" s="929"/>
      <c r="O192" s="933" t="str">
        <f t="shared" si="5"/>
        <v/>
      </c>
      <c r="P192" s="929"/>
    </row>
    <row r="193" spans="1:16" hidden="1">
      <c r="A193" s="1974"/>
      <c r="B193" s="1974"/>
      <c r="C193" s="145" t="str">
        <f t="shared" si="4"/>
        <v/>
      </c>
      <c r="D193" s="189"/>
      <c r="E193" s="923"/>
      <c r="F193" s="923"/>
      <c r="G193" s="934"/>
      <c r="H193" s="934"/>
      <c r="I193" s="934"/>
      <c r="J193" s="934"/>
      <c r="K193" s="934"/>
      <c r="L193" s="934"/>
      <c r="M193" s="934"/>
      <c r="N193" s="929"/>
      <c r="O193" s="933" t="str">
        <f t="shared" si="5"/>
        <v/>
      </c>
      <c r="P193" s="929"/>
    </row>
    <row r="194" spans="1:16" hidden="1">
      <c r="A194" s="1974"/>
      <c r="B194" s="1974"/>
      <c r="C194" s="145" t="str">
        <f t="shared" si="4"/>
        <v/>
      </c>
      <c r="D194" s="189"/>
      <c r="E194" s="923"/>
      <c r="F194" s="923"/>
      <c r="G194" s="934"/>
      <c r="H194" s="934"/>
      <c r="I194" s="934"/>
      <c r="J194" s="934"/>
      <c r="K194" s="934"/>
      <c r="L194" s="934"/>
      <c r="M194" s="934"/>
      <c r="N194" s="929"/>
      <c r="O194" s="933" t="str">
        <f t="shared" si="5"/>
        <v/>
      </c>
      <c r="P194" s="929"/>
    </row>
    <row r="195" spans="1:16" hidden="1">
      <c r="A195" s="1974"/>
      <c r="B195" s="1974"/>
      <c r="C195" s="145" t="str">
        <f t="shared" si="4"/>
        <v/>
      </c>
      <c r="D195" s="189"/>
      <c r="E195" s="923"/>
      <c r="F195" s="923"/>
      <c r="G195" s="934"/>
      <c r="H195" s="934"/>
      <c r="I195" s="934"/>
      <c r="J195" s="934"/>
      <c r="K195" s="934"/>
      <c r="L195" s="934"/>
      <c r="M195" s="934"/>
      <c r="N195" s="929"/>
      <c r="O195" s="933" t="str">
        <f t="shared" si="5"/>
        <v/>
      </c>
      <c r="P195" s="929"/>
    </row>
    <row r="196" spans="1:16" hidden="1">
      <c r="A196" s="1974"/>
      <c r="B196" s="1974"/>
      <c r="C196" s="145" t="str">
        <f t="shared" si="4"/>
        <v/>
      </c>
      <c r="D196" s="189"/>
      <c r="E196" s="923"/>
      <c r="F196" s="923"/>
      <c r="G196" s="934"/>
      <c r="H196" s="934"/>
      <c r="I196" s="934"/>
      <c r="J196" s="934"/>
      <c r="K196" s="934"/>
      <c r="L196" s="934"/>
      <c r="M196" s="934"/>
      <c r="N196" s="929"/>
      <c r="O196" s="933" t="str">
        <f t="shared" si="5"/>
        <v/>
      </c>
      <c r="P196" s="929"/>
    </row>
    <row r="197" spans="1:16" hidden="1">
      <c r="A197" s="1974"/>
      <c r="B197" s="1974"/>
      <c r="C197" s="145" t="str">
        <f t="shared" si="4"/>
        <v/>
      </c>
      <c r="D197" s="189"/>
      <c r="E197" s="923"/>
      <c r="F197" s="923"/>
      <c r="G197" s="934"/>
      <c r="H197" s="934"/>
      <c r="I197" s="934"/>
      <c r="J197" s="934"/>
      <c r="K197" s="934"/>
      <c r="L197" s="934"/>
      <c r="M197" s="934"/>
      <c r="N197" s="929"/>
      <c r="O197" s="933" t="str">
        <f t="shared" si="5"/>
        <v/>
      </c>
      <c r="P197" s="929"/>
    </row>
    <row r="198" spans="1:16" hidden="1">
      <c r="A198" s="1974"/>
      <c r="B198" s="1974"/>
      <c r="C198" s="145" t="str">
        <f t="shared" si="4"/>
        <v/>
      </c>
      <c r="D198" s="189"/>
      <c r="E198" s="923"/>
      <c r="F198" s="923"/>
      <c r="G198" s="934"/>
      <c r="H198" s="934"/>
      <c r="I198" s="934"/>
      <c r="J198" s="934"/>
      <c r="K198" s="934"/>
      <c r="L198" s="934"/>
      <c r="M198" s="934"/>
      <c r="N198" s="929"/>
      <c r="O198" s="933" t="str">
        <f t="shared" si="5"/>
        <v/>
      </c>
      <c r="P198" s="929"/>
    </row>
    <row r="199" spans="1:16" hidden="1">
      <c r="A199" s="1974"/>
      <c r="B199" s="1974"/>
      <c r="C199" s="145" t="str">
        <f t="shared" si="4"/>
        <v/>
      </c>
      <c r="D199" s="189"/>
      <c r="E199" s="923"/>
      <c r="F199" s="923"/>
      <c r="G199" s="934"/>
      <c r="H199" s="934"/>
      <c r="I199" s="934"/>
      <c r="J199" s="934"/>
      <c r="K199" s="934"/>
      <c r="L199" s="934"/>
      <c r="M199" s="934"/>
      <c r="N199" s="929"/>
      <c r="O199" s="933" t="str">
        <f t="shared" si="5"/>
        <v/>
      </c>
      <c r="P199" s="929"/>
    </row>
    <row r="200" spans="1:16" hidden="1">
      <c r="A200" s="1974"/>
      <c r="B200" s="1974"/>
      <c r="C200" s="145" t="str">
        <f t="shared" si="4"/>
        <v/>
      </c>
      <c r="D200" s="189"/>
      <c r="E200" s="923"/>
      <c r="F200" s="923"/>
      <c r="G200" s="934"/>
      <c r="H200" s="934"/>
      <c r="I200" s="934"/>
      <c r="J200" s="934"/>
      <c r="K200" s="934"/>
      <c r="L200" s="934"/>
      <c r="M200" s="934"/>
      <c r="N200" s="929"/>
      <c r="O200" s="933" t="str">
        <f t="shared" si="5"/>
        <v/>
      </c>
      <c r="P200" s="929"/>
    </row>
    <row r="201" spans="1:16" hidden="1">
      <c r="A201" s="1974"/>
      <c r="B201" s="1974"/>
      <c r="C201" s="145" t="str">
        <f t="shared" si="4"/>
        <v/>
      </c>
      <c r="D201" s="189"/>
      <c r="E201" s="923"/>
      <c r="F201" s="923"/>
      <c r="G201" s="934"/>
      <c r="H201" s="934"/>
      <c r="I201" s="934"/>
      <c r="J201" s="934"/>
      <c r="K201" s="934"/>
      <c r="L201" s="934"/>
      <c r="M201" s="934"/>
      <c r="N201" s="929"/>
      <c r="O201" s="933" t="str">
        <f t="shared" si="5"/>
        <v/>
      </c>
      <c r="P201" s="929"/>
    </row>
    <row r="202" spans="1:16" hidden="1">
      <c r="A202" s="1974"/>
      <c r="B202" s="1974"/>
      <c r="C202" s="145" t="str">
        <f t="shared" si="4"/>
        <v/>
      </c>
      <c r="D202" s="189"/>
      <c r="E202" s="923"/>
      <c r="F202" s="923"/>
      <c r="G202" s="934"/>
      <c r="H202" s="934"/>
      <c r="I202" s="934"/>
      <c r="J202" s="934"/>
      <c r="K202" s="934"/>
      <c r="L202" s="934"/>
      <c r="M202" s="934"/>
      <c r="N202" s="929"/>
      <c r="O202" s="933" t="str">
        <f t="shared" si="5"/>
        <v/>
      </c>
      <c r="P202" s="929"/>
    </row>
    <row r="203" spans="1:16" hidden="1">
      <c r="A203" s="1974"/>
      <c r="B203" s="1974"/>
      <c r="C203" s="145" t="str">
        <f t="shared" si="4"/>
        <v/>
      </c>
      <c r="D203" s="189"/>
      <c r="E203" s="923"/>
      <c r="F203" s="923"/>
      <c r="G203" s="934"/>
      <c r="H203" s="934"/>
      <c r="I203" s="934"/>
      <c r="J203" s="934"/>
      <c r="K203" s="934"/>
      <c r="L203" s="934"/>
      <c r="M203" s="934"/>
      <c r="N203" s="929"/>
      <c r="O203" s="933" t="str">
        <f t="shared" si="5"/>
        <v/>
      </c>
      <c r="P203" s="929"/>
    </row>
    <row r="204" spans="1:16" hidden="1">
      <c r="A204" s="1974"/>
      <c r="B204" s="1974"/>
      <c r="C204" s="145" t="str">
        <f t="shared" si="4"/>
        <v/>
      </c>
      <c r="D204" s="189"/>
      <c r="E204" s="923"/>
      <c r="F204" s="923"/>
      <c r="G204" s="934"/>
      <c r="H204" s="934"/>
      <c r="I204" s="934"/>
      <c r="J204" s="934"/>
      <c r="K204" s="934"/>
      <c r="L204" s="934"/>
      <c r="M204" s="934"/>
      <c r="N204" s="929"/>
      <c r="O204" s="933" t="str">
        <f t="shared" si="5"/>
        <v/>
      </c>
      <c r="P204" s="929"/>
    </row>
    <row r="205" spans="1:16" hidden="1">
      <c r="A205" s="1974"/>
      <c r="B205" s="1974"/>
      <c r="C205" s="145" t="str">
        <f t="shared" si="4"/>
        <v/>
      </c>
      <c r="D205" s="189"/>
      <c r="E205" s="923"/>
      <c r="F205" s="923"/>
      <c r="G205" s="934"/>
      <c r="H205" s="934"/>
      <c r="I205" s="934"/>
      <c r="J205" s="934"/>
      <c r="K205" s="934"/>
      <c r="L205" s="934"/>
      <c r="M205" s="934"/>
      <c r="N205" s="929"/>
      <c r="O205" s="933" t="str">
        <f t="shared" si="5"/>
        <v/>
      </c>
      <c r="P205" s="929"/>
    </row>
    <row r="206" spans="1:16" hidden="1">
      <c r="A206" s="1974"/>
      <c r="B206" s="1974"/>
      <c r="C206" s="145" t="str">
        <f t="shared" si="4"/>
        <v/>
      </c>
      <c r="D206" s="189"/>
      <c r="E206" s="923"/>
      <c r="F206" s="923"/>
      <c r="G206" s="934"/>
      <c r="H206" s="934"/>
      <c r="I206" s="934"/>
      <c r="J206" s="934"/>
      <c r="K206" s="934"/>
      <c r="L206" s="934"/>
      <c r="M206" s="934"/>
      <c r="N206" s="929"/>
      <c r="O206" s="933" t="str">
        <f t="shared" si="5"/>
        <v/>
      </c>
      <c r="P206" s="929"/>
    </row>
    <row r="207" spans="1:16" hidden="1">
      <c r="A207" s="1974"/>
      <c r="B207" s="1974"/>
      <c r="C207" s="145" t="str">
        <f t="shared" si="4"/>
        <v/>
      </c>
      <c r="D207" s="189"/>
      <c r="E207" s="923"/>
      <c r="F207" s="923"/>
      <c r="G207" s="934"/>
      <c r="H207" s="934"/>
      <c r="I207" s="934"/>
      <c r="J207" s="934"/>
      <c r="K207" s="934"/>
      <c r="L207" s="934"/>
      <c r="M207" s="934"/>
      <c r="N207" s="929"/>
      <c r="O207" s="933" t="str">
        <f t="shared" si="5"/>
        <v/>
      </c>
      <c r="P207" s="929"/>
    </row>
    <row r="208" spans="1:16" hidden="1">
      <c r="A208" s="1974"/>
      <c r="B208" s="1974"/>
      <c r="C208" s="145" t="str">
        <f t="shared" ref="C208:C271" si="6">IF(A208&lt;&gt;"",ROW(),"")</f>
        <v/>
      </c>
      <c r="D208" s="189"/>
      <c r="E208" s="923"/>
      <c r="F208" s="923"/>
      <c r="G208" s="934"/>
      <c r="H208" s="934"/>
      <c r="I208" s="934"/>
      <c r="J208" s="934"/>
      <c r="K208" s="934"/>
      <c r="L208" s="934"/>
      <c r="M208" s="934"/>
      <c r="N208" s="929"/>
      <c r="O208" s="933" t="str">
        <f t="shared" si="5"/>
        <v/>
      </c>
      <c r="P208" s="929"/>
    </row>
    <row r="209" spans="1:16" hidden="1">
      <c r="A209" s="1974"/>
      <c r="B209" s="1974"/>
      <c r="C209" s="145" t="str">
        <f t="shared" si="6"/>
        <v/>
      </c>
      <c r="D209" s="189"/>
      <c r="E209" s="923"/>
      <c r="F209" s="923"/>
      <c r="G209" s="934"/>
      <c r="H209" s="934"/>
      <c r="I209" s="934"/>
      <c r="J209" s="934"/>
      <c r="K209" s="934"/>
      <c r="L209" s="934"/>
      <c r="M209" s="934"/>
      <c r="N209" s="929"/>
      <c r="O209" s="933" t="str">
        <f t="shared" ref="O209:O272" si="7">IF(A209&lt;&gt;"",A209,"")</f>
        <v/>
      </c>
      <c r="P209" s="929"/>
    </row>
    <row r="210" spans="1:16" hidden="1">
      <c r="A210" s="1974"/>
      <c r="B210" s="1974"/>
      <c r="C210" s="145" t="str">
        <f t="shared" si="6"/>
        <v/>
      </c>
      <c r="D210" s="189"/>
      <c r="E210" s="923"/>
      <c r="F210" s="923"/>
      <c r="G210" s="934"/>
      <c r="H210" s="934"/>
      <c r="I210" s="934"/>
      <c r="J210" s="934"/>
      <c r="K210" s="934"/>
      <c r="L210" s="934"/>
      <c r="M210" s="934"/>
      <c r="N210" s="929"/>
      <c r="O210" s="933" t="str">
        <f t="shared" si="7"/>
        <v/>
      </c>
      <c r="P210" s="929"/>
    </row>
    <row r="211" spans="1:16" hidden="1">
      <c r="A211" s="1974"/>
      <c r="B211" s="1974"/>
      <c r="C211" s="145" t="str">
        <f t="shared" si="6"/>
        <v/>
      </c>
      <c r="D211" s="189"/>
      <c r="E211" s="923"/>
      <c r="F211" s="923"/>
      <c r="G211" s="934"/>
      <c r="H211" s="934"/>
      <c r="I211" s="934"/>
      <c r="J211" s="934"/>
      <c r="K211" s="934"/>
      <c r="L211" s="934"/>
      <c r="M211" s="934"/>
      <c r="N211" s="929"/>
      <c r="O211" s="933" t="str">
        <f t="shared" si="7"/>
        <v/>
      </c>
      <c r="P211" s="929"/>
    </row>
    <row r="212" spans="1:16" hidden="1">
      <c r="A212" s="1974"/>
      <c r="B212" s="1974"/>
      <c r="C212" s="145" t="str">
        <f t="shared" si="6"/>
        <v/>
      </c>
      <c r="D212" s="189"/>
      <c r="E212" s="923"/>
      <c r="F212" s="923"/>
      <c r="G212" s="934"/>
      <c r="H212" s="934"/>
      <c r="I212" s="934"/>
      <c r="J212" s="934"/>
      <c r="K212" s="934"/>
      <c r="L212" s="934"/>
      <c r="M212" s="934"/>
      <c r="N212" s="929"/>
      <c r="O212" s="933" t="str">
        <f t="shared" si="7"/>
        <v/>
      </c>
      <c r="P212" s="929"/>
    </row>
    <row r="213" spans="1:16" hidden="1">
      <c r="A213" s="1974"/>
      <c r="B213" s="1974"/>
      <c r="C213" s="145" t="str">
        <f t="shared" si="6"/>
        <v/>
      </c>
      <c r="D213" s="189"/>
      <c r="E213" s="923"/>
      <c r="F213" s="923"/>
      <c r="G213" s="934"/>
      <c r="H213" s="934"/>
      <c r="I213" s="934"/>
      <c r="J213" s="934"/>
      <c r="K213" s="934"/>
      <c r="L213" s="934"/>
      <c r="M213" s="934"/>
      <c r="N213" s="929"/>
      <c r="O213" s="933" t="str">
        <f t="shared" si="7"/>
        <v/>
      </c>
      <c r="P213" s="929"/>
    </row>
    <row r="214" spans="1:16" hidden="1">
      <c r="A214" s="1974"/>
      <c r="B214" s="1974"/>
      <c r="C214" s="145" t="str">
        <f t="shared" si="6"/>
        <v/>
      </c>
      <c r="D214" s="189"/>
      <c r="E214" s="923"/>
      <c r="F214" s="923"/>
      <c r="G214" s="934"/>
      <c r="H214" s="934"/>
      <c r="I214" s="934"/>
      <c r="J214" s="934"/>
      <c r="K214" s="934"/>
      <c r="L214" s="934"/>
      <c r="M214" s="934"/>
      <c r="N214" s="929"/>
      <c r="O214" s="933" t="str">
        <f t="shared" si="7"/>
        <v/>
      </c>
      <c r="P214" s="929"/>
    </row>
    <row r="215" spans="1:16" hidden="1">
      <c r="A215" s="1974"/>
      <c r="B215" s="1974"/>
      <c r="C215" s="145" t="str">
        <f t="shared" si="6"/>
        <v/>
      </c>
      <c r="D215" s="189"/>
      <c r="E215" s="923"/>
      <c r="F215" s="923"/>
      <c r="G215" s="934"/>
      <c r="H215" s="934"/>
      <c r="I215" s="934"/>
      <c r="J215" s="934"/>
      <c r="K215" s="934"/>
      <c r="L215" s="934"/>
      <c r="M215" s="934"/>
      <c r="N215" s="929"/>
      <c r="O215" s="933" t="str">
        <f t="shared" si="7"/>
        <v/>
      </c>
      <c r="P215" s="929"/>
    </row>
    <row r="216" spans="1:16" hidden="1">
      <c r="A216" s="1974"/>
      <c r="B216" s="1974"/>
      <c r="C216" s="145" t="str">
        <f t="shared" si="6"/>
        <v/>
      </c>
      <c r="D216" s="189"/>
      <c r="E216" s="923"/>
      <c r="F216" s="923"/>
      <c r="G216" s="934"/>
      <c r="H216" s="934"/>
      <c r="I216" s="934"/>
      <c r="J216" s="934"/>
      <c r="K216" s="934"/>
      <c r="L216" s="934"/>
      <c r="M216" s="934"/>
      <c r="N216" s="929"/>
      <c r="O216" s="933" t="str">
        <f t="shared" si="7"/>
        <v/>
      </c>
      <c r="P216" s="929"/>
    </row>
    <row r="217" spans="1:16" hidden="1">
      <c r="A217" s="1974"/>
      <c r="B217" s="1974"/>
      <c r="C217" s="145" t="str">
        <f t="shared" si="6"/>
        <v/>
      </c>
      <c r="D217" s="189"/>
      <c r="E217" s="923"/>
      <c r="F217" s="923"/>
      <c r="G217" s="934"/>
      <c r="H217" s="934"/>
      <c r="I217" s="934"/>
      <c r="J217" s="934"/>
      <c r="K217" s="934"/>
      <c r="L217" s="934"/>
      <c r="M217" s="934"/>
      <c r="N217" s="929"/>
      <c r="O217" s="933" t="str">
        <f t="shared" si="7"/>
        <v/>
      </c>
      <c r="P217" s="929"/>
    </row>
    <row r="218" spans="1:16" hidden="1">
      <c r="A218" s="1974"/>
      <c r="B218" s="1974"/>
      <c r="C218" s="145" t="str">
        <f t="shared" si="6"/>
        <v/>
      </c>
      <c r="D218" s="189"/>
      <c r="E218" s="923"/>
      <c r="F218" s="923"/>
      <c r="G218" s="934"/>
      <c r="H218" s="934"/>
      <c r="I218" s="934"/>
      <c r="J218" s="934"/>
      <c r="K218" s="934"/>
      <c r="L218" s="934"/>
      <c r="M218" s="934"/>
      <c r="N218" s="929"/>
      <c r="O218" s="933" t="str">
        <f t="shared" si="7"/>
        <v/>
      </c>
      <c r="P218" s="929"/>
    </row>
    <row r="219" spans="1:16" hidden="1">
      <c r="A219" s="1974"/>
      <c r="B219" s="1974"/>
      <c r="C219" s="145" t="str">
        <f t="shared" si="6"/>
        <v/>
      </c>
      <c r="D219" s="189"/>
      <c r="E219" s="923"/>
      <c r="F219" s="923"/>
      <c r="G219" s="934"/>
      <c r="H219" s="934"/>
      <c r="I219" s="934"/>
      <c r="J219" s="934"/>
      <c r="K219" s="934"/>
      <c r="L219" s="934"/>
      <c r="M219" s="934"/>
      <c r="N219" s="929"/>
      <c r="O219" s="933" t="str">
        <f t="shared" si="7"/>
        <v/>
      </c>
      <c r="P219" s="929"/>
    </row>
    <row r="220" spans="1:16" hidden="1">
      <c r="A220" s="1974"/>
      <c r="B220" s="1974"/>
      <c r="C220" s="145" t="str">
        <f t="shared" si="6"/>
        <v/>
      </c>
      <c r="D220" s="189"/>
      <c r="E220" s="923"/>
      <c r="F220" s="923"/>
      <c r="G220" s="934"/>
      <c r="H220" s="934"/>
      <c r="I220" s="934"/>
      <c r="J220" s="934"/>
      <c r="K220" s="934"/>
      <c r="L220" s="934"/>
      <c r="M220" s="934"/>
      <c r="N220" s="929"/>
      <c r="O220" s="933" t="str">
        <f t="shared" si="7"/>
        <v/>
      </c>
      <c r="P220" s="929"/>
    </row>
    <row r="221" spans="1:16" hidden="1">
      <c r="A221" s="1974"/>
      <c r="B221" s="1974"/>
      <c r="C221" s="145" t="str">
        <f t="shared" si="6"/>
        <v/>
      </c>
      <c r="D221" s="189"/>
      <c r="E221" s="923"/>
      <c r="F221" s="923"/>
      <c r="G221" s="934"/>
      <c r="H221" s="934"/>
      <c r="I221" s="934"/>
      <c r="J221" s="934"/>
      <c r="K221" s="934"/>
      <c r="L221" s="934"/>
      <c r="M221" s="934"/>
      <c r="N221" s="929"/>
      <c r="O221" s="933" t="str">
        <f t="shared" si="7"/>
        <v/>
      </c>
      <c r="P221" s="929"/>
    </row>
    <row r="222" spans="1:16" hidden="1">
      <c r="A222" s="1974"/>
      <c r="B222" s="1974"/>
      <c r="C222" s="145" t="str">
        <f t="shared" si="6"/>
        <v/>
      </c>
      <c r="D222" s="189"/>
      <c r="E222" s="923"/>
      <c r="F222" s="923"/>
      <c r="G222" s="934"/>
      <c r="H222" s="934"/>
      <c r="I222" s="934"/>
      <c r="J222" s="934"/>
      <c r="K222" s="934"/>
      <c r="L222" s="934"/>
      <c r="M222" s="934"/>
      <c r="N222" s="929"/>
      <c r="O222" s="933" t="str">
        <f t="shared" si="7"/>
        <v/>
      </c>
      <c r="P222" s="929"/>
    </row>
    <row r="223" spans="1:16" hidden="1">
      <c r="A223" s="1974"/>
      <c r="B223" s="1974"/>
      <c r="C223" s="145" t="str">
        <f t="shared" si="6"/>
        <v/>
      </c>
      <c r="D223" s="189"/>
      <c r="E223" s="923"/>
      <c r="F223" s="923"/>
      <c r="G223" s="934"/>
      <c r="H223" s="934"/>
      <c r="I223" s="934"/>
      <c r="J223" s="934"/>
      <c r="K223" s="934"/>
      <c r="L223" s="934"/>
      <c r="M223" s="934"/>
      <c r="N223" s="929"/>
      <c r="O223" s="933" t="str">
        <f t="shared" si="7"/>
        <v/>
      </c>
      <c r="P223" s="929"/>
    </row>
    <row r="224" spans="1:16" hidden="1">
      <c r="A224" s="1974"/>
      <c r="B224" s="1974"/>
      <c r="C224" s="145" t="str">
        <f t="shared" si="6"/>
        <v/>
      </c>
      <c r="D224" s="189"/>
      <c r="E224" s="923"/>
      <c r="F224" s="923"/>
      <c r="G224" s="934"/>
      <c r="H224" s="934"/>
      <c r="I224" s="934"/>
      <c r="J224" s="934"/>
      <c r="K224" s="934"/>
      <c r="L224" s="934"/>
      <c r="M224" s="934"/>
      <c r="N224" s="929"/>
      <c r="O224" s="933" t="str">
        <f t="shared" si="7"/>
        <v/>
      </c>
      <c r="P224" s="929"/>
    </row>
    <row r="225" spans="1:16" hidden="1">
      <c r="A225" s="1974"/>
      <c r="B225" s="1974"/>
      <c r="C225" s="145" t="str">
        <f t="shared" si="6"/>
        <v/>
      </c>
      <c r="D225" s="189"/>
      <c r="E225" s="923"/>
      <c r="F225" s="923"/>
      <c r="G225" s="934"/>
      <c r="H225" s="934"/>
      <c r="I225" s="934"/>
      <c r="J225" s="934"/>
      <c r="K225" s="934"/>
      <c r="L225" s="934"/>
      <c r="M225" s="934"/>
      <c r="N225" s="929"/>
      <c r="O225" s="933" t="str">
        <f t="shared" si="7"/>
        <v/>
      </c>
      <c r="P225" s="929"/>
    </row>
    <row r="226" spans="1:16" hidden="1">
      <c r="A226" s="1974"/>
      <c r="B226" s="1974"/>
      <c r="C226" s="145" t="str">
        <f t="shared" si="6"/>
        <v/>
      </c>
      <c r="D226" s="189"/>
      <c r="E226" s="923"/>
      <c r="F226" s="923"/>
      <c r="G226" s="934"/>
      <c r="H226" s="934"/>
      <c r="I226" s="934"/>
      <c r="J226" s="934"/>
      <c r="K226" s="934"/>
      <c r="L226" s="934"/>
      <c r="M226" s="934"/>
      <c r="N226" s="929"/>
      <c r="O226" s="933" t="str">
        <f t="shared" si="7"/>
        <v/>
      </c>
      <c r="P226" s="929"/>
    </row>
    <row r="227" spans="1:16" hidden="1">
      <c r="A227" s="1974"/>
      <c r="B227" s="1974"/>
      <c r="C227" s="145" t="str">
        <f t="shared" si="6"/>
        <v/>
      </c>
      <c r="D227" s="189"/>
      <c r="E227" s="923"/>
      <c r="F227" s="923"/>
      <c r="G227" s="934"/>
      <c r="H227" s="934"/>
      <c r="I227" s="934"/>
      <c r="J227" s="934"/>
      <c r="K227" s="934"/>
      <c r="L227" s="934"/>
      <c r="M227" s="934"/>
      <c r="N227" s="929"/>
      <c r="O227" s="933" t="str">
        <f t="shared" si="7"/>
        <v/>
      </c>
      <c r="P227" s="929"/>
    </row>
    <row r="228" spans="1:16" hidden="1">
      <c r="A228" s="1974"/>
      <c r="B228" s="1974"/>
      <c r="C228" s="145" t="str">
        <f t="shared" si="6"/>
        <v/>
      </c>
      <c r="D228" s="189"/>
      <c r="E228" s="923"/>
      <c r="F228" s="923"/>
      <c r="G228" s="934"/>
      <c r="H228" s="934"/>
      <c r="I228" s="934"/>
      <c r="J228" s="934"/>
      <c r="K228" s="934"/>
      <c r="L228" s="934"/>
      <c r="M228" s="934"/>
      <c r="N228" s="929"/>
      <c r="O228" s="933" t="str">
        <f t="shared" si="7"/>
        <v/>
      </c>
      <c r="P228" s="929"/>
    </row>
    <row r="229" spans="1:16" hidden="1">
      <c r="A229" s="1974"/>
      <c r="B229" s="1974"/>
      <c r="C229" s="145" t="str">
        <f t="shared" si="6"/>
        <v/>
      </c>
      <c r="D229" s="189"/>
      <c r="E229" s="923"/>
      <c r="F229" s="923"/>
      <c r="G229" s="934"/>
      <c r="H229" s="934"/>
      <c r="I229" s="934"/>
      <c r="J229" s="934"/>
      <c r="K229" s="934"/>
      <c r="L229" s="934"/>
      <c r="M229" s="934"/>
      <c r="N229" s="929"/>
      <c r="O229" s="933" t="str">
        <f t="shared" si="7"/>
        <v/>
      </c>
      <c r="P229" s="929"/>
    </row>
    <row r="230" spans="1:16" hidden="1">
      <c r="A230" s="1974"/>
      <c r="B230" s="1974"/>
      <c r="C230" s="145" t="str">
        <f t="shared" si="6"/>
        <v/>
      </c>
      <c r="D230" s="189"/>
      <c r="E230" s="923"/>
      <c r="F230" s="923"/>
      <c r="G230" s="934"/>
      <c r="H230" s="934"/>
      <c r="I230" s="934"/>
      <c r="J230" s="934"/>
      <c r="K230" s="934"/>
      <c r="L230" s="934"/>
      <c r="M230" s="934"/>
      <c r="N230" s="929"/>
      <c r="O230" s="933" t="str">
        <f t="shared" si="7"/>
        <v/>
      </c>
      <c r="P230" s="929"/>
    </row>
    <row r="231" spans="1:16" hidden="1">
      <c r="A231" s="1974"/>
      <c r="B231" s="1974"/>
      <c r="C231" s="145" t="str">
        <f t="shared" si="6"/>
        <v/>
      </c>
      <c r="D231" s="189"/>
      <c r="E231" s="923"/>
      <c r="F231" s="923"/>
      <c r="G231" s="934"/>
      <c r="H231" s="934"/>
      <c r="I231" s="934"/>
      <c r="J231" s="934"/>
      <c r="K231" s="934"/>
      <c r="L231" s="934"/>
      <c r="M231" s="934"/>
      <c r="N231" s="929"/>
      <c r="O231" s="933" t="str">
        <f t="shared" si="7"/>
        <v/>
      </c>
      <c r="P231" s="929"/>
    </row>
    <row r="232" spans="1:16" hidden="1">
      <c r="A232" s="1974"/>
      <c r="B232" s="1974"/>
      <c r="C232" s="145" t="str">
        <f t="shared" si="6"/>
        <v/>
      </c>
      <c r="D232" s="189"/>
      <c r="E232" s="923"/>
      <c r="F232" s="923"/>
      <c r="G232" s="934"/>
      <c r="H232" s="934"/>
      <c r="I232" s="934"/>
      <c r="J232" s="934"/>
      <c r="K232" s="934"/>
      <c r="L232" s="934"/>
      <c r="M232" s="934"/>
      <c r="N232" s="929"/>
      <c r="O232" s="933" t="str">
        <f t="shared" si="7"/>
        <v/>
      </c>
      <c r="P232" s="929"/>
    </row>
    <row r="233" spans="1:16" hidden="1">
      <c r="A233" s="1974"/>
      <c r="B233" s="1974"/>
      <c r="C233" s="145" t="str">
        <f t="shared" si="6"/>
        <v/>
      </c>
      <c r="D233" s="189"/>
      <c r="E233" s="923"/>
      <c r="F233" s="923"/>
      <c r="G233" s="934"/>
      <c r="H233" s="934"/>
      <c r="I233" s="934"/>
      <c r="J233" s="934"/>
      <c r="K233" s="934"/>
      <c r="L233" s="934"/>
      <c r="M233" s="934"/>
      <c r="N233" s="929"/>
      <c r="O233" s="933" t="str">
        <f t="shared" si="7"/>
        <v/>
      </c>
      <c r="P233" s="929"/>
    </row>
    <row r="234" spans="1:16" hidden="1">
      <c r="A234" s="1974"/>
      <c r="B234" s="1974"/>
      <c r="C234" s="145" t="str">
        <f t="shared" si="6"/>
        <v/>
      </c>
      <c r="D234" s="189"/>
      <c r="E234" s="923"/>
      <c r="F234" s="923"/>
      <c r="G234" s="934"/>
      <c r="H234" s="934"/>
      <c r="I234" s="934"/>
      <c r="J234" s="934"/>
      <c r="K234" s="934"/>
      <c r="L234" s="934"/>
      <c r="M234" s="934"/>
      <c r="N234" s="929"/>
      <c r="O234" s="933" t="str">
        <f t="shared" si="7"/>
        <v/>
      </c>
      <c r="P234" s="929"/>
    </row>
    <row r="235" spans="1:16" hidden="1">
      <c r="A235" s="1974"/>
      <c r="B235" s="1974"/>
      <c r="C235" s="145" t="str">
        <f t="shared" si="6"/>
        <v/>
      </c>
      <c r="D235" s="189"/>
      <c r="E235" s="923"/>
      <c r="F235" s="923"/>
      <c r="G235" s="934"/>
      <c r="H235" s="934"/>
      <c r="I235" s="934"/>
      <c r="J235" s="934"/>
      <c r="K235" s="934"/>
      <c r="L235" s="934"/>
      <c r="M235" s="934"/>
      <c r="N235" s="929"/>
      <c r="O235" s="933" t="str">
        <f t="shared" si="7"/>
        <v/>
      </c>
      <c r="P235" s="929"/>
    </row>
    <row r="236" spans="1:16" hidden="1">
      <c r="A236" s="1974"/>
      <c r="B236" s="1974"/>
      <c r="C236" s="145" t="str">
        <f t="shared" si="6"/>
        <v/>
      </c>
      <c r="D236" s="189"/>
      <c r="E236" s="923"/>
      <c r="F236" s="923"/>
      <c r="G236" s="934"/>
      <c r="H236" s="934"/>
      <c r="I236" s="934"/>
      <c r="J236" s="934"/>
      <c r="K236" s="934"/>
      <c r="L236" s="934"/>
      <c r="M236" s="934"/>
      <c r="N236" s="929"/>
      <c r="O236" s="933" t="str">
        <f t="shared" si="7"/>
        <v/>
      </c>
      <c r="P236" s="929"/>
    </row>
    <row r="237" spans="1:16" hidden="1">
      <c r="A237" s="1974"/>
      <c r="B237" s="1974"/>
      <c r="C237" s="145" t="str">
        <f t="shared" si="6"/>
        <v/>
      </c>
      <c r="D237" s="189"/>
      <c r="E237" s="923"/>
      <c r="F237" s="923"/>
      <c r="G237" s="934"/>
      <c r="H237" s="934"/>
      <c r="I237" s="934"/>
      <c r="J237" s="934"/>
      <c r="K237" s="934"/>
      <c r="L237" s="934"/>
      <c r="M237" s="934"/>
      <c r="N237" s="929"/>
      <c r="O237" s="933" t="str">
        <f t="shared" si="7"/>
        <v/>
      </c>
      <c r="P237" s="929"/>
    </row>
    <row r="238" spans="1:16" hidden="1">
      <c r="A238" s="1974"/>
      <c r="B238" s="1974"/>
      <c r="C238" s="145" t="str">
        <f t="shared" si="6"/>
        <v/>
      </c>
      <c r="D238" s="189"/>
      <c r="E238" s="923"/>
      <c r="F238" s="923"/>
      <c r="G238" s="934"/>
      <c r="H238" s="934"/>
      <c r="I238" s="934"/>
      <c r="J238" s="934"/>
      <c r="K238" s="934"/>
      <c r="L238" s="934"/>
      <c r="M238" s="934"/>
      <c r="N238" s="929"/>
      <c r="O238" s="933" t="str">
        <f t="shared" si="7"/>
        <v/>
      </c>
      <c r="P238" s="929"/>
    </row>
    <row r="239" spans="1:16" hidden="1">
      <c r="A239" s="1974"/>
      <c r="B239" s="1974"/>
      <c r="C239" s="145" t="str">
        <f t="shared" si="6"/>
        <v/>
      </c>
      <c r="D239" s="189"/>
      <c r="E239" s="923"/>
      <c r="F239" s="923"/>
      <c r="G239" s="934"/>
      <c r="H239" s="934"/>
      <c r="I239" s="934"/>
      <c r="J239" s="934"/>
      <c r="K239" s="934"/>
      <c r="L239" s="934"/>
      <c r="M239" s="934"/>
      <c r="N239" s="929"/>
      <c r="O239" s="933" t="str">
        <f t="shared" si="7"/>
        <v/>
      </c>
      <c r="P239" s="929"/>
    </row>
    <row r="240" spans="1:16" hidden="1">
      <c r="A240" s="1974"/>
      <c r="B240" s="1974"/>
      <c r="C240" s="145" t="str">
        <f t="shared" si="6"/>
        <v/>
      </c>
      <c r="D240" s="189"/>
      <c r="E240" s="923"/>
      <c r="F240" s="923"/>
      <c r="G240" s="934"/>
      <c r="H240" s="934"/>
      <c r="I240" s="934"/>
      <c r="J240" s="934"/>
      <c r="K240" s="934"/>
      <c r="L240" s="934"/>
      <c r="M240" s="934"/>
      <c r="N240" s="929"/>
      <c r="O240" s="933" t="str">
        <f t="shared" si="7"/>
        <v/>
      </c>
      <c r="P240" s="929"/>
    </row>
    <row r="241" spans="1:16" hidden="1">
      <c r="A241" s="1974"/>
      <c r="B241" s="1974"/>
      <c r="C241" s="145" t="str">
        <f t="shared" si="6"/>
        <v/>
      </c>
      <c r="D241" s="189"/>
      <c r="E241" s="923"/>
      <c r="F241" s="923"/>
      <c r="G241" s="934"/>
      <c r="H241" s="934"/>
      <c r="I241" s="934"/>
      <c r="J241" s="934"/>
      <c r="K241" s="934"/>
      <c r="L241" s="934"/>
      <c r="M241" s="934"/>
      <c r="N241" s="929"/>
      <c r="O241" s="933" t="str">
        <f t="shared" si="7"/>
        <v/>
      </c>
      <c r="P241" s="929"/>
    </row>
    <row r="242" spans="1:16" hidden="1">
      <c r="A242" s="1974"/>
      <c r="B242" s="1974"/>
      <c r="C242" s="145" t="str">
        <f t="shared" si="6"/>
        <v/>
      </c>
      <c r="D242" s="189"/>
      <c r="E242" s="923"/>
      <c r="F242" s="923"/>
      <c r="G242" s="934"/>
      <c r="H242" s="934"/>
      <c r="I242" s="934"/>
      <c r="J242" s="934"/>
      <c r="K242" s="934"/>
      <c r="L242" s="934"/>
      <c r="M242" s="934"/>
      <c r="N242" s="929"/>
      <c r="O242" s="933" t="str">
        <f t="shared" si="7"/>
        <v/>
      </c>
      <c r="P242" s="929"/>
    </row>
    <row r="243" spans="1:16" hidden="1">
      <c r="A243" s="1974"/>
      <c r="B243" s="1974"/>
      <c r="C243" s="145" t="str">
        <f t="shared" si="6"/>
        <v/>
      </c>
      <c r="D243" s="189"/>
      <c r="E243" s="923"/>
      <c r="F243" s="923"/>
      <c r="G243" s="934"/>
      <c r="H243" s="934"/>
      <c r="I243" s="934"/>
      <c r="J243" s="934"/>
      <c r="K243" s="934"/>
      <c r="L243" s="934"/>
      <c r="M243" s="934"/>
      <c r="N243" s="929"/>
      <c r="O243" s="933" t="str">
        <f t="shared" si="7"/>
        <v/>
      </c>
      <c r="P243" s="929"/>
    </row>
    <row r="244" spans="1:16" hidden="1">
      <c r="A244" s="1974"/>
      <c r="B244" s="1974"/>
      <c r="C244" s="145" t="str">
        <f t="shared" si="6"/>
        <v/>
      </c>
      <c r="D244" s="189"/>
      <c r="E244" s="923"/>
      <c r="F244" s="923"/>
      <c r="G244" s="934"/>
      <c r="H244" s="934"/>
      <c r="I244" s="934"/>
      <c r="J244" s="934"/>
      <c r="K244" s="934"/>
      <c r="L244" s="934"/>
      <c r="M244" s="934"/>
      <c r="N244" s="929"/>
      <c r="O244" s="933" t="str">
        <f t="shared" si="7"/>
        <v/>
      </c>
      <c r="P244" s="929"/>
    </row>
    <row r="245" spans="1:16" hidden="1">
      <c r="A245" s="1974"/>
      <c r="B245" s="1974"/>
      <c r="C245" s="145" t="str">
        <f t="shared" si="6"/>
        <v/>
      </c>
      <c r="D245" s="189"/>
      <c r="E245" s="923"/>
      <c r="F245" s="923"/>
      <c r="G245" s="934"/>
      <c r="H245" s="934"/>
      <c r="I245" s="934"/>
      <c r="J245" s="934"/>
      <c r="K245" s="934"/>
      <c r="L245" s="934"/>
      <c r="M245" s="934"/>
      <c r="N245" s="929"/>
      <c r="O245" s="933" t="str">
        <f t="shared" si="7"/>
        <v/>
      </c>
      <c r="P245" s="929"/>
    </row>
    <row r="246" spans="1:16" hidden="1">
      <c r="A246" s="1974"/>
      <c r="B246" s="1974"/>
      <c r="C246" s="145" t="str">
        <f t="shared" si="6"/>
        <v/>
      </c>
      <c r="D246" s="189"/>
      <c r="E246" s="923"/>
      <c r="F246" s="923"/>
      <c r="G246" s="934"/>
      <c r="H246" s="934"/>
      <c r="I246" s="934"/>
      <c r="J246" s="934"/>
      <c r="K246" s="934"/>
      <c r="L246" s="934"/>
      <c r="M246" s="934"/>
      <c r="N246" s="929"/>
      <c r="O246" s="933" t="str">
        <f t="shared" si="7"/>
        <v/>
      </c>
      <c r="P246" s="929"/>
    </row>
    <row r="247" spans="1:16" hidden="1">
      <c r="A247" s="1974"/>
      <c r="B247" s="1974"/>
      <c r="C247" s="145" t="str">
        <f t="shared" si="6"/>
        <v/>
      </c>
      <c r="D247" s="189"/>
      <c r="E247" s="923"/>
      <c r="F247" s="923"/>
      <c r="G247" s="934"/>
      <c r="H247" s="934"/>
      <c r="I247" s="934"/>
      <c r="J247" s="934"/>
      <c r="K247" s="934"/>
      <c r="L247" s="934"/>
      <c r="M247" s="934"/>
      <c r="N247" s="929"/>
      <c r="O247" s="933" t="str">
        <f t="shared" si="7"/>
        <v/>
      </c>
      <c r="P247" s="929"/>
    </row>
    <row r="248" spans="1:16" hidden="1">
      <c r="A248" s="1974"/>
      <c r="B248" s="1974"/>
      <c r="C248" s="145" t="str">
        <f t="shared" si="6"/>
        <v/>
      </c>
      <c r="D248" s="189"/>
      <c r="E248" s="923"/>
      <c r="F248" s="923"/>
      <c r="G248" s="934"/>
      <c r="H248" s="934"/>
      <c r="I248" s="934"/>
      <c r="J248" s="934"/>
      <c r="K248" s="934"/>
      <c r="L248" s="934"/>
      <c r="M248" s="934"/>
      <c r="N248" s="929"/>
      <c r="O248" s="933" t="str">
        <f t="shared" si="7"/>
        <v/>
      </c>
      <c r="P248" s="929"/>
    </row>
    <row r="249" spans="1:16" hidden="1">
      <c r="A249" s="1974"/>
      <c r="B249" s="1974"/>
      <c r="C249" s="145" t="str">
        <f t="shared" si="6"/>
        <v/>
      </c>
      <c r="D249" s="189"/>
      <c r="E249" s="923"/>
      <c r="F249" s="923"/>
      <c r="G249" s="934"/>
      <c r="H249" s="934"/>
      <c r="I249" s="934"/>
      <c r="J249" s="934"/>
      <c r="K249" s="934"/>
      <c r="L249" s="934"/>
      <c r="M249" s="934"/>
      <c r="N249" s="929"/>
      <c r="O249" s="933" t="str">
        <f t="shared" si="7"/>
        <v/>
      </c>
      <c r="P249" s="929"/>
    </row>
    <row r="250" spans="1:16" hidden="1">
      <c r="A250" s="1974"/>
      <c r="B250" s="1974"/>
      <c r="C250" s="145" t="str">
        <f t="shared" si="6"/>
        <v/>
      </c>
      <c r="D250" s="189"/>
      <c r="E250" s="923"/>
      <c r="F250" s="923"/>
      <c r="G250" s="934"/>
      <c r="H250" s="934"/>
      <c r="I250" s="934"/>
      <c r="J250" s="934"/>
      <c r="K250" s="934"/>
      <c r="L250" s="934"/>
      <c r="M250" s="934"/>
      <c r="N250" s="929"/>
      <c r="O250" s="933" t="str">
        <f t="shared" si="7"/>
        <v/>
      </c>
      <c r="P250" s="929"/>
    </row>
    <row r="251" spans="1:16" hidden="1">
      <c r="A251" s="1974"/>
      <c r="B251" s="1974"/>
      <c r="C251" s="145" t="str">
        <f t="shared" si="6"/>
        <v/>
      </c>
      <c r="D251" s="189"/>
      <c r="E251" s="923"/>
      <c r="F251" s="923"/>
      <c r="G251" s="934"/>
      <c r="H251" s="934"/>
      <c r="I251" s="934"/>
      <c r="J251" s="934"/>
      <c r="K251" s="934"/>
      <c r="L251" s="934"/>
      <c r="M251" s="934"/>
      <c r="N251" s="929"/>
      <c r="O251" s="933" t="str">
        <f t="shared" si="7"/>
        <v/>
      </c>
      <c r="P251" s="929"/>
    </row>
    <row r="252" spans="1:16" hidden="1">
      <c r="A252" s="1974"/>
      <c r="B252" s="1974"/>
      <c r="C252" s="145" t="str">
        <f t="shared" si="6"/>
        <v/>
      </c>
      <c r="D252" s="189"/>
      <c r="E252" s="923"/>
      <c r="F252" s="923"/>
      <c r="G252" s="934"/>
      <c r="H252" s="934"/>
      <c r="I252" s="934"/>
      <c r="J252" s="934"/>
      <c r="K252" s="934"/>
      <c r="L252" s="934"/>
      <c r="M252" s="934"/>
      <c r="N252" s="929"/>
      <c r="O252" s="933" t="str">
        <f t="shared" si="7"/>
        <v/>
      </c>
      <c r="P252" s="929"/>
    </row>
    <row r="253" spans="1:16" hidden="1">
      <c r="A253" s="1974"/>
      <c r="B253" s="1974"/>
      <c r="C253" s="145" t="str">
        <f t="shared" si="6"/>
        <v/>
      </c>
      <c r="D253" s="189"/>
      <c r="E253" s="923"/>
      <c r="F253" s="923"/>
      <c r="G253" s="934"/>
      <c r="H253" s="934"/>
      <c r="I253" s="934"/>
      <c r="J253" s="934"/>
      <c r="K253" s="934"/>
      <c r="L253" s="934"/>
      <c r="M253" s="934"/>
      <c r="N253" s="929"/>
      <c r="O253" s="933" t="str">
        <f t="shared" si="7"/>
        <v/>
      </c>
      <c r="P253" s="929"/>
    </row>
    <row r="254" spans="1:16" hidden="1">
      <c r="A254" s="1974"/>
      <c r="B254" s="1974"/>
      <c r="C254" s="145" t="str">
        <f t="shared" si="6"/>
        <v/>
      </c>
      <c r="D254" s="189"/>
      <c r="E254" s="923"/>
      <c r="F254" s="923"/>
      <c r="G254" s="934"/>
      <c r="H254" s="934"/>
      <c r="I254" s="934"/>
      <c r="J254" s="934"/>
      <c r="K254" s="934"/>
      <c r="L254" s="934"/>
      <c r="M254" s="934"/>
      <c r="N254" s="929"/>
      <c r="O254" s="933" t="str">
        <f t="shared" si="7"/>
        <v/>
      </c>
      <c r="P254" s="929"/>
    </row>
    <row r="255" spans="1:16" hidden="1">
      <c r="A255" s="1974"/>
      <c r="B255" s="1974"/>
      <c r="C255" s="145" t="str">
        <f t="shared" si="6"/>
        <v/>
      </c>
      <c r="D255" s="189"/>
      <c r="E255" s="923"/>
      <c r="F255" s="923"/>
      <c r="G255" s="934"/>
      <c r="H255" s="934"/>
      <c r="I255" s="934"/>
      <c r="J255" s="934"/>
      <c r="K255" s="934"/>
      <c r="L255" s="934"/>
      <c r="M255" s="934"/>
      <c r="N255" s="929"/>
      <c r="O255" s="933" t="str">
        <f t="shared" si="7"/>
        <v/>
      </c>
      <c r="P255" s="929"/>
    </row>
    <row r="256" spans="1:16" hidden="1">
      <c r="A256" s="1974"/>
      <c r="B256" s="1974"/>
      <c r="C256" s="145" t="str">
        <f t="shared" si="6"/>
        <v/>
      </c>
      <c r="D256" s="189"/>
      <c r="E256" s="923"/>
      <c r="F256" s="923"/>
      <c r="G256" s="934"/>
      <c r="H256" s="934"/>
      <c r="I256" s="934"/>
      <c r="J256" s="934"/>
      <c r="K256" s="934"/>
      <c r="L256" s="934"/>
      <c r="M256" s="934"/>
      <c r="N256" s="929"/>
      <c r="O256" s="933" t="str">
        <f t="shared" si="7"/>
        <v/>
      </c>
      <c r="P256" s="929"/>
    </row>
    <row r="257" spans="1:16" hidden="1">
      <c r="A257" s="1974"/>
      <c r="B257" s="1974"/>
      <c r="C257" s="145" t="str">
        <f t="shared" si="6"/>
        <v/>
      </c>
      <c r="D257" s="189"/>
      <c r="E257" s="923"/>
      <c r="F257" s="923"/>
      <c r="G257" s="934"/>
      <c r="H257" s="934"/>
      <c r="I257" s="934"/>
      <c r="J257" s="934"/>
      <c r="K257" s="934"/>
      <c r="L257" s="934"/>
      <c r="M257" s="934"/>
      <c r="N257" s="929"/>
      <c r="O257" s="933" t="str">
        <f t="shared" si="7"/>
        <v/>
      </c>
      <c r="P257" s="929"/>
    </row>
    <row r="258" spans="1:16" hidden="1">
      <c r="A258" s="1974"/>
      <c r="B258" s="1974"/>
      <c r="C258" s="145" t="str">
        <f t="shared" si="6"/>
        <v/>
      </c>
      <c r="D258" s="189"/>
      <c r="E258" s="923"/>
      <c r="F258" s="923"/>
      <c r="G258" s="934"/>
      <c r="H258" s="934"/>
      <c r="I258" s="934"/>
      <c r="J258" s="934"/>
      <c r="K258" s="934"/>
      <c r="L258" s="934"/>
      <c r="M258" s="934"/>
      <c r="N258" s="929"/>
      <c r="O258" s="933" t="str">
        <f t="shared" si="7"/>
        <v/>
      </c>
      <c r="P258" s="929"/>
    </row>
    <row r="259" spans="1:16" hidden="1">
      <c r="A259" s="1974"/>
      <c r="B259" s="1974"/>
      <c r="C259" s="145" t="str">
        <f t="shared" si="6"/>
        <v/>
      </c>
      <c r="D259" s="189"/>
      <c r="E259" s="923"/>
      <c r="F259" s="923"/>
      <c r="G259" s="934"/>
      <c r="H259" s="934"/>
      <c r="I259" s="934"/>
      <c r="J259" s="934"/>
      <c r="K259" s="934"/>
      <c r="L259" s="934"/>
      <c r="M259" s="934"/>
      <c r="N259" s="929"/>
      <c r="O259" s="933" t="str">
        <f t="shared" si="7"/>
        <v/>
      </c>
      <c r="P259" s="929"/>
    </row>
    <row r="260" spans="1:16" hidden="1">
      <c r="A260" s="1974"/>
      <c r="B260" s="1974"/>
      <c r="C260" s="145" t="str">
        <f t="shared" si="6"/>
        <v/>
      </c>
      <c r="D260" s="189"/>
      <c r="E260" s="923"/>
      <c r="F260" s="923"/>
      <c r="G260" s="934"/>
      <c r="H260" s="934"/>
      <c r="I260" s="934"/>
      <c r="J260" s="934"/>
      <c r="K260" s="934"/>
      <c r="L260" s="934"/>
      <c r="M260" s="934"/>
      <c r="N260" s="929"/>
      <c r="O260" s="933" t="str">
        <f t="shared" si="7"/>
        <v/>
      </c>
      <c r="P260" s="929"/>
    </row>
    <row r="261" spans="1:16" hidden="1">
      <c r="A261" s="1974"/>
      <c r="B261" s="1974"/>
      <c r="C261" s="145" t="str">
        <f t="shared" si="6"/>
        <v/>
      </c>
      <c r="D261" s="189"/>
      <c r="E261" s="923"/>
      <c r="F261" s="923"/>
      <c r="G261" s="934"/>
      <c r="H261" s="934"/>
      <c r="I261" s="934"/>
      <c r="J261" s="934"/>
      <c r="K261" s="934"/>
      <c r="L261" s="934"/>
      <c r="M261" s="934"/>
      <c r="N261" s="929"/>
      <c r="O261" s="933" t="str">
        <f t="shared" si="7"/>
        <v/>
      </c>
      <c r="P261" s="929"/>
    </row>
    <row r="262" spans="1:16" hidden="1">
      <c r="A262" s="1974"/>
      <c r="B262" s="1974"/>
      <c r="C262" s="145" t="str">
        <f t="shared" si="6"/>
        <v/>
      </c>
      <c r="D262" s="189"/>
      <c r="E262" s="923"/>
      <c r="F262" s="923"/>
      <c r="G262" s="934"/>
      <c r="H262" s="934"/>
      <c r="I262" s="934"/>
      <c r="J262" s="934"/>
      <c r="K262" s="934"/>
      <c r="L262" s="934"/>
      <c r="M262" s="934"/>
      <c r="N262" s="929"/>
      <c r="O262" s="933" t="str">
        <f t="shared" si="7"/>
        <v/>
      </c>
      <c r="P262" s="929"/>
    </row>
    <row r="263" spans="1:16" hidden="1">
      <c r="A263" s="1974"/>
      <c r="B263" s="1974"/>
      <c r="C263" s="145" t="str">
        <f t="shared" si="6"/>
        <v/>
      </c>
      <c r="D263" s="189"/>
      <c r="E263" s="923"/>
      <c r="F263" s="923"/>
      <c r="G263" s="934"/>
      <c r="H263" s="934"/>
      <c r="I263" s="934"/>
      <c r="J263" s="934"/>
      <c r="K263" s="934"/>
      <c r="L263" s="934"/>
      <c r="M263" s="934"/>
      <c r="N263" s="929"/>
      <c r="O263" s="933" t="str">
        <f t="shared" si="7"/>
        <v/>
      </c>
      <c r="P263" s="929"/>
    </row>
    <row r="264" spans="1:16" hidden="1">
      <c r="A264" s="1974"/>
      <c r="B264" s="1974"/>
      <c r="C264" s="145" t="str">
        <f t="shared" si="6"/>
        <v/>
      </c>
      <c r="D264" s="189"/>
      <c r="E264" s="923"/>
      <c r="F264" s="923"/>
      <c r="G264" s="934"/>
      <c r="H264" s="934"/>
      <c r="I264" s="934"/>
      <c r="J264" s="934"/>
      <c r="K264" s="934"/>
      <c r="L264" s="934"/>
      <c r="M264" s="934"/>
      <c r="N264" s="929"/>
      <c r="O264" s="933" t="str">
        <f t="shared" si="7"/>
        <v/>
      </c>
      <c r="P264" s="929"/>
    </row>
    <row r="265" spans="1:16" hidden="1">
      <c r="A265" s="1974"/>
      <c r="B265" s="1974"/>
      <c r="C265" s="145" t="str">
        <f t="shared" si="6"/>
        <v/>
      </c>
      <c r="D265" s="189"/>
      <c r="E265" s="923"/>
      <c r="F265" s="923"/>
      <c r="G265" s="934"/>
      <c r="H265" s="934"/>
      <c r="I265" s="934"/>
      <c r="J265" s="934"/>
      <c r="K265" s="934"/>
      <c r="L265" s="934"/>
      <c r="M265" s="934"/>
      <c r="N265" s="929"/>
      <c r="O265" s="933" t="str">
        <f t="shared" si="7"/>
        <v/>
      </c>
      <c r="P265" s="929"/>
    </row>
    <row r="266" spans="1:16" hidden="1">
      <c r="A266" s="1974"/>
      <c r="B266" s="1974"/>
      <c r="C266" s="145" t="str">
        <f t="shared" si="6"/>
        <v/>
      </c>
      <c r="D266" s="189"/>
      <c r="E266" s="923"/>
      <c r="F266" s="923"/>
      <c r="G266" s="934"/>
      <c r="H266" s="934"/>
      <c r="I266" s="934"/>
      <c r="J266" s="934"/>
      <c r="K266" s="934"/>
      <c r="L266" s="934"/>
      <c r="M266" s="934"/>
      <c r="N266" s="929"/>
      <c r="O266" s="933" t="str">
        <f t="shared" si="7"/>
        <v/>
      </c>
      <c r="P266" s="929"/>
    </row>
    <row r="267" spans="1:16" hidden="1">
      <c r="A267" s="1974"/>
      <c r="B267" s="1974"/>
      <c r="C267" s="145" t="str">
        <f t="shared" si="6"/>
        <v/>
      </c>
      <c r="D267" s="189"/>
      <c r="E267" s="923"/>
      <c r="F267" s="923"/>
      <c r="G267" s="934"/>
      <c r="H267" s="934"/>
      <c r="I267" s="934"/>
      <c r="J267" s="934"/>
      <c r="K267" s="934"/>
      <c r="L267" s="934"/>
      <c r="M267" s="934"/>
      <c r="N267" s="929"/>
      <c r="O267" s="933" t="str">
        <f t="shared" si="7"/>
        <v/>
      </c>
      <c r="P267" s="929"/>
    </row>
    <row r="268" spans="1:16" hidden="1">
      <c r="A268" s="1974"/>
      <c r="B268" s="1974"/>
      <c r="C268" s="145" t="str">
        <f t="shared" si="6"/>
        <v/>
      </c>
      <c r="D268" s="189"/>
      <c r="E268" s="923"/>
      <c r="F268" s="923"/>
      <c r="G268" s="934"/>
      <c r="H268" s="934"/>
      <c r="I268" s="934"/>
      <c r="J268" s="934"/>
      <c r="K268" s="934"/>
      <c r="L268" s="934"/>
      <c r="M268" s="934"/>
      <c r="N268" s="929"/>
      <c r="O268" s="933" t="str">
        <f t="shared" si="7"/>
        <v/>
      </c>
      <c r="P268" s="929"/>
    </row>
    <row r="269" spans="1:16" hidden="1">
      <c r="A269" s="1974"/>
      <c r="B269" s="1974"/>
      <c r="C269" s="145" t="str">
        <f t="shared" si="6"/>
        <v/>
      </c>
      <c r="D269" s="189"/>
      <c r="E269" s="923"/>
      <c r="F269" s="923"/>
      <c r="G269" s="934"/>
      <c r="H269" s="934"/>
      <c r="I269" s="934"/>
      <c r="J269" s="934"/>
      <c r="K269" s="934"/>
      <c r="L269" s="934"/>
      <c r="M269" s="934"/>
      <c r="N269" s="929"/>
      <c r="O269" s="933" t="str">
        <f t="shared" si="7"/>
        <v/>
      </c>
      <c r="P269" s="929"/>
    </row>
    <row r="270" spans="1:16" hidden="1">
      <c r="A270" s="1974"/>
      <c r="B270" s="1974"/>
      <c r="C270" s="145" t="str">
        <f t="shared" si="6"/>
        <v/>
      </c>
      <c r="D270" s="189"/>
      <c r="E270" s="923"/>
      <c r="F270" s="923"/>
      <c r="G270" s="934"/>
      <c r="H270" s="934"/>
      <c r="I270" s="934"/>
      <c r="J270" s="934"/>
      <c r="K270" s="934"/>
      <c r="L270" s="934"/>
      <c r="M270" s="934"/>
      <c r="N270" s="929"/>
      <c r="O270" s="933" t="str">
        <f t="shared" si="7"/>
        <v/>
      </c>
      <c r="P270" s="929"/>
    </row>
    <row r="271" spans="1:16" hidden="1">
      <c r="A271" s="1974"/>
      <c r="B271" s="1974"/>
      <c r="C271" s="145" t="str">
        <f t="shared" si="6"/>
        <v/>
      </c>
      <c r="D271" s="189"/>
      <c r="E271" s="923"/>
      <c r="F271" s="923"/>
      <c r="G271" s="934"/>
      <c r="H271" s="934"/>
      <c r="I271" s="934"/>
      <c r="J271" s="934"/>
      <c r="K271" s="934"/>
      <c r="L271" s="934"/>
      <c r="M271" s="934"/>
      <c r="N271" s="929"/>
      <c r="O271" s="933" t="str">
        <f t="shared" si="7"/>
        <v/>
      </c>
      <c r="P271" s="929"/>
    </row>
    <row r="272" spans="1:16" hidden="1">
      <c r="A272" s="1974"/>
      <c r="B272" s="1974"/>
      <c r="C272" s="145" t="str">
        <f t="shared" ref="C272:C335" si="8">IF(A272&lt;&gt;"",ROW(),"")</f>
        <v/>
      </c>
      <c r="D272" s="189"/>
      <c r="E272" s="923"/>
      <c r="F272" s="923"/>
      <c r="G272" s="934"/>
      <c r="H272" s="934"/>
      <c r="I272" s="934"/>
      <c r="J272" s="934"/>
      <c r="K272" s="934"/>
      <c r="L272" s="934"/>
      <c r="M272" s="934"/>
      <c r="N272" s="929"/>
      <c r="O272" s="933" t="str">
        <f t="shared" si="7"/>
        <v/>
      </c>
      <c r="P272" s="929"/>
    </row>
    <row r="273" spans="1:16" hidden="1">
      <c r="A273" s="1974"/>
      <c r="B273" s="1974"/>
      <c r="C273" s="145" t="str">
        <f t="shared" si="8"/>
        <v/>
      </c>
      <c r="D273" s="189"/>
      <c r="E273" s="923"/>
      <c r="F273" s="923"/>
      <c r="G273" s="934"/>
      <c r="H273" s="934"/>
      <c r="I273" s="934"/>
      <c r="J273" s="934"/>
      <c r="K273" s="934"/>
      <c r="L273" s="934"/>
      <c r="M273" s="934"/>
      <c r="N273" s="929"/>
      <c r="O273" s="933" t="str">
        <f t="shared" ref="O273:O336" si="9">IF(A273&lt;&gt;"",A273,"")</f>
        <v/>
      </c>
      <c r="P273" s="929"/>
    </row>
    <row r="274" spans="1:16" hidden="1">
      <c r="A274" s="1974"/>
      <c r="B274" s="1974"/>
      <c r="C274" s="145" t="str">
        <f t="shared" si="8"/>
        <v/>
      </c>
      <c r="D274" s="189"/>
      <c r="E274" s="923"/>
      <c r="F274" s="923"/>
      <c r="G274" s="934"/>
      <c r="H274" s="934"/>
      <c r="I274" s="934"/>
      <c r="J274" s="934"/>
      <c r="K274" s="934"/>
      <c r="L274" s="934"/>
      <c r="M274" s="934"/>
      <c r="N274" s="929"/>
      <c r="O274" s="933" t="str">
        <f t="shared" si="9"/>
        <v/>
      </c>
      <c r="P274" s="929"/>
    </row>
    <row r="275" spans="1:16" hidden="1">
      <c r="A275" s="1974"/>
      <c r="B275" s="1974"/>
      <c r="C275" s="145" t="str">
        <f t="shared" si="8"/>
        <v/>
      </c>
      <c r="D275" s="189"/>
      <c r="E275" s="923"/>
      <c r="F275" s="923"/>
      <c r="G275" s="934"/>
      <c r="H275" s="934"/>
      <c r="I275" s="934"/>
      <c r="J275" s="934"/>
      <c r="K275" s="934"/>
      <c r="L275" s="934"/>
      <c r="M275" s="934"/>
      <c r="N275" s="929"/>
      <c r="O275" s="933" t="str">
        <f t="shared" si="9"/>
        <v/>
      </c>
      <c r="P275" s="929"/>
    </row>
    <row r="276" spans="1:16" hidden="1">
      <c r="A276" s="1974"/>
      <c r="B276" s="1974"/>
      <c r="C276" s="145" t="str">
        <f t="shared" si="8"/>
        <v/>
      </c>
      <c r="D276" s="189"/>
      <c r="E276" s="923"/>
      <c r="F276" s="923"/>
      <c r="G276" s="934"/>
      <c r="H276" s="934"/>
      <c r="I276" s="934"/>
      <c r="J276" s="934"/>
      <c r="K276" s="934"/>
      <c r="L276" s="934"/>
      <c r="M276" s="934"/>
      <c r="N276" s="929"/>
      <c r="O276" s="933" t="str">
        <f t="shared" si="9"/>
        <v/>
      </c>
      <c r="P276" s="929"/>
    </row>
    <row r="277" spans="1:16" hidden="1">
      <c r="A277" s="1974"/>
      <c r="B277" s="1974"/>
      <c r="C277" s="145" t="str">
        <f t="shared" si="8"/>
        <v/>
      </c>
      <c r="D277" s="189"/>
      <c r="E277" s="923"/>
      <c r="F277" s="923"/>
      <c r="G277" s="934"/>
      <c r="H277" s="934"/>
      <c r="I277" s="934"/>
      <c r="J277" s="934"/>
      <c r="K277" s="934"/>
      <c r="L277" s="934"/>
      <c r="M277" s="934"/>
      <c r="N277" s="929"/>
      <c r="O277" s="933" t="str">
        <f t="shared" si="9"/>
        <v/>
      </c>
      <c r="P277" s="929"/>
    </row>
    <row r="278" spans="1:16" hidden="1">
      <c r="A278" s="1974"/>
      <c r="B278" s="1974"/>
      <c r="C278" s="145" t="str">
        <f t="shared" si="8"/>
        <v/>
      </c>
      <c r="D278" s="189"/>
      <c r="E278" s="923"/>
      <c r="F278" s="923"/>
      <c r="G278" s="934"/>
      <c r="H278" s="934"/>
      <c r="I278" s="934"/>
      <c r="J278" s="934"/>
      <c r="K278" s="934"/>
      <c r="L278" s="934"/>
      <c r="M278" s="934"/>
      <c r="N278" s="929"/>
      <c r="O278" s="933" t="str">
        <f t="shared" si="9"/>
        <v/>
      </c>
      <c r="P278" s="929"/>
    </row>
    <row r="279" spans="1:16" hidden="1">
      <c r="A279" s="1974"/>
      <c r="B279" s="1974"/>
      <c r="C279" s="145" t="str">
        <f t="shared" si="8"/>
        <v/>
      </c>
      <c r="D279" s="189"/>
      <c r="E279" s="923"/>
      <c r="F279" s="923"/>
      <c r="G279" s="934"/>
      <c r="H279" s="934"/>
      <c r="I279" s="934"/>
      <c r="J279" s="934"/>
      <c r="K279" s="934"/>
      <c r="L279" s="934"/>
      <c r="M279" s="934"/>
      <c r="N279" s="929"/>
      <c r="O279" s="933" t="str">
        <f t="shared" si="9"/>
        <v/>
      </c>
      <c r="P279" s="929"/>
    </row>
    <row r="280" spans="1:16" hidden="1">
      <c r="A280" s="1974"/>
      <c r="B280" s="1974"/>
      <c r="C280" s="145" t="str">
        <f t="shared" si="8"/>
        <v/>
      </c>
      <c r="D280" s="189"/>
      <c r="E280" s="923"/>
      <c r="F280" s="923"/>
      <c r="G280" s="934"/>
      <c r="H280" s="934"/>
      <c r="I280" s="934"/>
      <c r="J280" s="934"/>
      <c r="K280" s="934"/>
      <c r="L280" s="934"/>
      <c r="M280" s="934"/>
      <c r="N280" s="929"/>
      <c r="O280" s="933" t="str">
        <f t="shared" si="9"/>
        <v/>
      </c>
      <c r="P280" s="929"/>
    </row>
    <row r="281" spans="1:16" hidden="1">
      <c r="A281" s="1974"/>
      <c r="B281" s="1974"/>
      <c r="C281" s="145" t="str">
        <f t="shared" si="8"/>
        <v/>
      </c>
      <c r="D281" s="189"/>
      <c r="E281" s="923"/>
      <c r="F281" s="923"/>
      <c r="G281" s="934"/>
      <c r="H281" s="934"/>
      <c r="I281" s="934"/>
      <c r="J281" s="934"/>
      <c r="K281" s="934"/>
      <c r="L281" s="934"/>
      <c r="M281" s="934"/>
      <c r="N281" s="929"/>
      <c r="O281" s="933" t="str">
        <f t="shared" si="9"/>
        <v/>
      </c>
      <c r="P281" s="929"/>
    </row>
    <row r="282" spans="1:16" hidden="1">
      <c r="A282" s="1974"/>
      <c r="B282" s="1974"/>
      <c r="C282" s="145" t="str">
        <f t="shared" si="8"/>
        <v/>
      </c>
      <c r="D282" s="189"/>
      <c r="E282" s="923"/>
      <c r="F282" s="923"/>
      <c r="G282" s="934"/>
      <c r="H282" s="934"/>
      <c r="I282" s="934"/>
      <c r="J282" s="934"/>
      <c r="K282" s="934"/>
      <c r="L282" s="934"/>
      <c r="M282" s="934"/>
      <c r="N282" s="929"/>
      <c r="O282" s="933" t="str">
        <f t="shared" si="9"/>
        <v/>
      </c>
      <c r="P282" s="929"/>
    </row>
    <row r="283" spans="1:16" hidden="1">
      <c r="A283" s="1974"/>
      <c r="B283" s="1974"/>
      <c r="C283" s="145" t="str">
        <f t="shared" si="8"/>
        <v/>
      </c>
      <c r="D283" s="189"/>
      <c r="E283" s="923"/>
      <c r="F283" s="923"/>
      <c r="G283" s="934"/>
      <c r="H283" s="934"/>
      <c r="I283" s="934"/>
      <c r="J283" s="934"/>
      <c r="K283" s="934"/>
      <c r="L283" s="934"/>
      <c r="M283" s="934"/>
      <c r="N283" s="929"/>
      <c r="O283" s="933" t="str">
        <f t="shared" si="9"/>
        <v/>
      </c>
      <c r="P283" s="929"/>
    </row>
    <row r="284" spans="1:16" hidden="1">
      <c r="A284" s="1974"/>
      <c r="B284" s="1974"/>
      <c r="C284" s="145" t="str">
        <f t="shared" si="8"/>
        <v/>
      </c>
      <c r="D284" s="189"/>
      <c r="E284" s="923"/>
      <c r="F284" s="923"/>
      <c r="G284" s="934"/>
      <c r="H284" s="934"/>
      <c r="I284" s="934"/>
      <c r="J284" s="934"/>
      <c r="K284" s="934"/>
      <c r="L284" s="934"/>
      <c r="M284" s="934"/>
      <c r="N284" s="929"/>
      <c r="O284" s="933" t="str">
        <f t="shared" si="9"/>
        <v/>
      </c>
      <c r="P284" s="929"/>
    </row>
    <row r="285" spans="1:16" hidden="1">
      <c r="A285" s="1974"/>
      <c r="B285" s="1974"/>
      <c r="C285" s="145" t="str">
        <f t="shared" si="8"/>
        <v/>
      </c>
      <c r="D285" s="189"/>
      <c r="E285" s="923"/>
      <c r="F285" s="923"/>
      <c r="G285" s="934"/>
      <c r="H285" s="934"/>
      <c r="I285" s="934"/>
      <c r="J285" s="934"/>
      <c r="K285" s="934"/>
      <c r="L285" s="934"/>
      <c r="M285" s="934"/>
      <c r="N285" s="929"/>
      <c r="O285" s="933" t="str">
        <f t="shared" si="9"/>
        <v/>
      </c>
      <c r="P285" s="929"/>
    </row>
    <row r="286" spans="1:16" hidden="1">
      <c r="A286" s="1974"/>
      <c r="B286" s="1974"/>
      <c r="C286" s="145" t="str">
        <f t="shared" si="8"/>
        <v/>
      </c>
      <c r="D286" s="189"/>
      <c r="E286" s="923"/>
      <c r="F286" s="923"/>
      <c r="G286" s="934"/>
      <c r="H286" s="934"/>
      <c r="I286" s="934"/>
      <c r="J286" s="934"/>
      <c r="K286" s="934"/>
      <c r="L286" s="934"/>
      <c r="M286" s="934"/>
      <c r="N286" s="929"/>
      <c r="O286" s="933" t="str">
        <f t="shared" si="9"/>
        <v/>
      </c>
      <c r="P286" s="929"/>
    </row>
    <row r="287" spans="1:16" hidden="1">
      <c r="A287" s="1974"/>
      <c r="B287" s="1974"/>
      <c r="C287" s="145" t="str">
        <f t="shared" si="8"/>
        <v/>
      </c>
      <c r="D287" s="189"/>
      <c r="E287" s="923"/>
      <c r="F287" s="923"/>
      <c r="G287" s="934"/>
      <c r="H287" s="934"/>
      <c r="I287" s="934"/>
      <c r="J287" s="934"/>
      <c r="K287" s="934"/>
      <c r="L287" s="934"/>
      <c r="M287" s="934"/>
      <c r="N287" s="929"/>
      <c r="O287" s="933" t="str">
        <f t="shared" si="9"/>
        <v/>
      </c>
      <c r="P287" s="929"/>
    </row>
    <row r="288" spans="1:16" hidden="1">
      <c r="A288" s="1974"/>
      <c r="B288" s="1974"/>
      <c r="C288" s="145" t="str">
        <f t="shared" si="8"/>
        <v/>
      </c>
      <c r="D288" s="189"/>
      <c r="E288" s="923"/>
      <c r="F288" s="923"/>
      <c r="G288" s="934"/>
      <c r="H288" s="934"/>
      <c r="I288" s="934"/>
      <c r="J288" s="934"/>
      <c r="K288" s="934"/>
      <c r="L288" s="934"/>
      <c r="M288" s="934"/>
      <c r="N288" s="929"/>
      <c r="O288" s="933" t="str">
        <f t="shared" si="9"/>
        <v/>
      </c>
      <c r="P288" s="929"/>
    </row>
    <row r="289" spans="1:16" hidden="1">
      <c r="A289" s="1974"/>
      <c r="B289" s="1974"/>
      <c r="C289" s="145" t="str">
        <f t="shared" si="8"/>
        <v/>
      </c>
      <c r="D289" s="189"/>
      <c r="E289" s="923"/>
      <c r="F289" s="923"/>
      <c r="G289" s="934"/>
      <c r="H289" s="934"/>
      <c r="I289" s="934"/>
      <c r="J289" s="934"/>
      <c r="K289" s="934"/>
      <c r="L289" s="934"/>
      <c r="M289" s="934"/>
      <c r="N289" s="929"/>
      <c r="O289" s="933" t="str">
        <f t="shared" si="9"/>
        <v/>
      </c>
      <c r="P289" s="929"/>
    </row>
    <row r="290" spans="1:16" hidden="1">
      <c r="A290" s="1974"/>
      <c r="B290" s="1974"/>
      <c r="C290" s="145" t="str">
        <f t="shared" si="8"/>
        <v/>
      </c>
      <c r="D290" s="189"/>
      <c r="E290" s="923"/>
      <c r="F290" s="923"/>
      <c r="G290" s="934"/>
      <c r="H290" s="934"/>
      <c r="I290" s="934"/>
      <c r="J290" s="934"/>
      <c r="K290" s="934"/>
      <c r="L290" s="934"/>
      <c r="M290" s="934"/>
      <c r="N290" s="929"/>
      <c r="O290" s="933" t="str">
        <f t="shared" si="9"/>
        <v/>
      </c>
      <c r="P290" s="929"/>
    </row>
    <row r="291" spans="1:16" hidden="1">
      <c r="A291" s="1974"/>
      <c r="B291" s="1974"/>
      <c r="C291" s="145" t="str">
        <f t="shared" si="8"/>
        <v/>
      </c>
      <c r="D291" s="189"/>
      <c r="E291" s="923"/>
      <c r="F291" s="923"/>
      <c r="G291" s="934"/>
      <c r="H291" s="934"/>
      <c r="I291" s="934"/>
      <c r="J291" s="934"/>
      <c r="K291" s="934"/>
      <c r="L291" s="934"/>
      <c r="M291" s="934"/>
      <c r="N291" s="929"/>
      <c r="O291" s="933" t="str">
        <f t="shared" si="9"/>
        <v/>
      </c>
      <c r="P291" s="929"/>
    </row>
    <row r="292" spans="1:16" hidden="1">
      <c r="A292" s="1974"/>
      <c r="B292" s="1974"/>
      <c r="C292" s="145" t="str">
        <f t="shared" si="8"/>
        <v/>
      </c>
      <c r="D292" s="189"/>
      <c r="E292" s="923"/>
      <c r="F292" s="923"/>
      <c r="G292" s="934"/>
      <c r="H292" s="934"/>
      <c r="I292" s="934"/>
      <c r="J292" s="934"/>
      <c r="K292" s="934"/>
      <c r="L292" s="934"/>
      <c r="M292" s="934"/>
      <c r="N292" s="929"/>
      <c r="O292" s="933" t="str">
        <f t="shared" si="9"/>
        <v/>
      </c>
      <c r="P292" s="929"/>
    </row>
    <row r="293" spans="1:16" hidden="1">
      <c r="A293" s="1974"/>
      <c r="B293" s="1974"/>
      <c r="C293" s="145" t="str">
        <f t="shared" si="8"/>
        <v/>
      </c>
      <c r="D293" s="189"/>
      <c r="E293" s="923"/>
      <c r="F293" s="923"/>
      <c r="G293" s="934"/>
      <c r="H293" s="934"/>
      <c r="I293" s="934"/>
      <c r="J293" s="934"/>
      <c r="K293" s="934"/>
      <c r="L293" s="934"/>
      <c r="M293" s="934"/>
      <c r="N293" s="929"/>
      <c r="O293" s="933" t="str">
        <f t="shared" si="9"/>
        <v/>
      </c>
      <c r="P293" s="929"/>
    </row>
    <row r="294" spans="1:16" hidden="1">
      <c r="A294" s="1974"/>
      <c r="B294" s="1974"/>
      <c r="C294" s="145" t="str">
        <f t="shared" si="8"/>
        <v/>
      </c>
      <c r="D294" s="189"/>
      <c r="E294" s="923"/>
      <c r="F294" s="923"/>
      <c r="G294" s="934"/>
      <c r="H294" s="934"/>
      <c r="I294" s="934"/>
      <c r="J294" s="934"/>
      <c r="K294" s="934"/>
      <c r="L294" s="934"/>
      <c r="M294" s="934"/>
      <c r="N294" s="929"/>
      <c r="O294" s="933" t="str">
        <f t="shared" si="9"/>
        <v/>
      </c>
      <c r="P294" s="929"/>
    </row>
    <row r="295" spans="1:16" hidden="1">
      <c r="A295" s="1974"/>
      <c r="B295" s="1974"/>
      <c r="C295" s="145" t="str">
        <f t="shared" si="8"/>
        <v/>
      </c>
      <c r="D295" s="189"/>
      <c r="E295" s="923"/>
      <c r="F295" s="923"/>
      <c r="G295" s="934"/>
      <c r="H295" s="934"/>
      <c r="I295" s="934"/>
      <c r="J295" s="934"/>
      <c r="K295" s="934"/>
      <c r="L295" s="934"/>
      <c r="M295" s="934"/>
      <c r="N295" s="929"/>
      <c r="O295" s="933" t="str">
        <f t="shared" si="9"/>
        <v/>
      </c>
      <c r="P295" s="929"/>
    </row>
    <row r="296" spans="1:16" hidden="1">
      <c r="A296" s="1974"/>
      <c r="B296" s="1974"/>
      <c r="C296" s="145" t="str">
        <f t="shared" si="8"/>
        <v/>
      </c>
      <c r="D296" s="189"/>
      <c r="E296" s="923"/>
      <c r="F296" s="923"/>
      <c r="G296" s="934"/>
      <c r="H296" s="934"/>
      <c r="I296" s="934"/>
      <c r="J296" s="934"/>
      <c r="K296" s="934"/>
      <c r="L296" s="934"/>
      <c r="M296" s="934"/>
      <c r="N296" s="929"/>
      <c r="O296" s="933" t="str">
        <f t="shared" si="9"/>
        <v/>
      </c>
      <c r="P296" s="929"/>
    </row>
    <row r="297" spans="1:16" hidden="1">
      <c r="A297" s="1974"/>
      <c r="B297" s="1974"/>
      <c r="C297" s="145" t="str">
        <f t="shared" si="8"/>
        <v/>
      </c>
      <c r="D297" s="189"/>
      <c r="E297" s="923"/>
      <c r="F297" s="923"/>
      <c r="G297" s="934"/>
      <c r="H297" s="934"/>
      <c r="I297" s="934"/>
      <c r="J297" s="934"/>
      <c r="K297" s="934"/>
      <c r="L297" s="934"/>
      <c r="M297" s="934"/>
      <c r="N297" s="929"/>
      <c r="O297" s="933" t="str">
        <f t="shared" si="9"/>
        <v/>
      </c>
      <c r="P297" s="929"/>
    </row>
    <row r="298" spans="1:16" hidden="1">
      <c r="A298" s="1974"/>
      <c r="B298" s="1974"/>
      <c r="C298" s="145" t="str">
        <f t="shared" si="8"/>
        <v/>
      </c>
      <c r="D298" s="189"/>
      <c r="E298" s="923"/>
      <c r="F298" s="923"/>
      <c r="G298" s="934"/>
      <c r="H298" s="934"/>
      <c r="I298" s="934"/>
      <c r="J298" s="934"/>
      <c r="K298" s="934"/>
      <c r="L298" s="934"/>
      <c r="M298" s="934"/>
      <c r="N298" s="929"/>
      <c r="O298" s="933" t="str">
        <f t="shared" si="9"/>
        <v/>
      </c>
      <c r="P298" s="929"/>
    </row>
    <row r="299" spans="1:16" hidden="1">
      <c r="A299" s="1974"/>
      <c r="B299" s="1974"/>
      <c r="C299" s="145" t="str">
        <f t="shared" si="8"/>
        <v/>
      </c>
      <c r="D299" s="189"/>
      <c r="E299" s="923"/>
      <c r="F299" s="923"/>
      <c r="G299" s="934"/>
      <c r="H299" s="934"/>
      <c r="I299" s="934"/>
      <c r="J299" s="934"/>
      <c r="K299" s="934"/>
      <c r="L299" s="934"/>
      <c r="M299" s="934"/>
      <c r="N299" s="929"/>
      <c r="O299" s="933" t="str">
        <f t="shared" si="9"/>
        <v/>
      </c>
      <c r="P299" s="929"/>
    </row>
    <row r="300" spans="1:16" hidden="1">
      <c r="A300" s="1974"/>
      <c r="B300" s="1974"/>
      <c r="C300" s="145" t="str">
        <f t="shared" si="8"/>
        <v/>
      </c>
      <c r="D300" s="189"/>
      <c r="E300" s="923"/>
      <c r="F300" s="923"/>
      <c r="G300" s="934"/>
      <c r="H300" s="934"/>
      <c r="I300" s="934"/>
      <c r="J300" s="934"/>
      <c r="K300" s="934"/>
      <c r="L300" s="934"/>
      <c r="M300" s="934"/>
      <c r="N300" s="929"/>
      <c r="O300" s="933" t="str">
        <f t="shared" si="9"/>
        <v/>
      </c>
      <c r="P300" s="929"/>
    </row>
    <row r="301" spans="1:16" hidden="1">
      <c r="A301" s="1974"/>
      <c r="B301" s="1974"/>
      <c r="C301" s="145" t="str">
        <f t="shared" si="8"/>
        <v/>
      </c>
      <c r="D301" s="189"/>
      <c r="E301" s="923"/>
      <c r="F301" s="923"/>
      <c r="G301" s="934"/>
      <c r="H301" s="934"/>
      <c r="I301" s="934"/>
      <c r="J301" s="934"/>
      <c r="K301" s="934"/>
      <c r="L301" s="934"/>
      <c r="M301" s="934"/>
      <c r="N301" s="929"/>
      <c r="O301" s="933" t="str">
        <f t="shared" si="9"/>
        <v/>
      </c>
      <c r="P301" s="929"/>
    </row>
    <row r="302" spans="1:16" hidden="1">
      <c r="A302" s="1974"/>
      <c r="B302" s="1974"/>
      <c r="C302" s="145" t="str">
        <f t="shared" si="8"/>
        <v/>
      </c>
      <c r="D302" s="189"/>
      <c r="E302" s="923"/>
      <c r="F302" s="923"/>
      <c r="G302" s="934"/>
      <c r="H302" s="934"/>
      <c r="I302" s="934"/>
      <c r="J302" s="934"/>
      <c r="K302" s="934"/>
      <c r="L302" s="934"/>
      <c r="M302" s="934"/>
      <c r="N302" s="929"/>
      <c r="O302" s="933" t="str">
        <f t="shared" si="9"/>
        <v/>
      </c>
      <c r="P302" s="929"/>
    </row>
    <row r="303" spans="1:16" hidden="1">
      <c r="A303" s="1974"/>
      <c r="B303" s="1974"/>
      <c r="C303" s="145" t="str">
        <f t="shared" si="8"/>
        <v/>
      </c>
      <c r="D303" s="189"/>
      <c r="E303" s="923"/>
      <c r="F303" s="923"/>
      <c r="G303" s="934"/>
      <c r="H303" s="934"/>
      <c r="I303" s="934"/>
      <c r="J303" s="934"/>
      <c r="K303" s="934"/>
      <c r="L303" s="934"/>
      <c r="M303" s="934"/>
      <c r="N303" s="929"/>
      <c r="O303" s="933" t="str">
        <f t="shared" si="9"/>
        <v/>
      </c>
      <c r="P303" s="929"/>
    </row>
    <row r="304" spans="1:16" hidden="1">
      <c r="A304" s="1974"/>
      <c r="B304" s="1974"/>
      <c r="C304" s="145" t="str">
        <f t="shared" si="8"/>
        <v/>
      </c>
      <c r="D304" s="189"/>
      <c r="E304" s="923"/>
      <c r="F304" s="923"/>
      <c r="G304" s="934"/>
      <c r="H304" s="934"/>
      <c r="I304" s="934"/>
      <c r="J304" s="934"/>
      <c r="K304" s="934"/>
      <c r="L304" s="934"/>
      <c r="M304" s="934"/>
      <c r="N304" s="929"/>
      <c r="O304" s="933" t="str">
        <f t="shared" si="9"/>
        <v/>
      </c>
      <c r="P304" s="929"/>
    </row>
    <row r="305" spans="1:16" hidden="1">
      <c r="A305" s="1974"/>
      <c r="B305" s="1974"/>
      <c r="C305" s="145" t="str">
        <f t="shared" si="8"/>
        <v/>
      </c>
      <c r="D305" s="189"/>
      <c r="E305" s="923"/>
      <c r="F305" s="923"/>
      <c r="G305" s="934"/>
      <c r="H305" s="934"/>
      <c r="I305" s="934"/>
      <c r="J305" s="934"/>
      <c r="K305" s="934"/>
      <c r="L305" s="934"/>
      <c r="M305" s="934"/>
      <c r="N305" s="929"/>
      <c r="O305" s="933" t="str">
        <f t="shared" si="9"/>
        <v/>
      </c>
      <c r="P305" s="929"/>
    </row>
    <row r="306" spans="1:16" hidden="1">
      <c r="A306" s="1974"/>
      <c r="B306" s="1974"/>
      <c r="C306" s="145" t="str">
        <f t="shared" si="8"/>
        <v/>
      </c>
      <c r="D306" s="189"/>
      <c r="E306" s="923"/>
      <c r="F306" s="923"/>
      <c r="G306" s="934"/>
      <c r="H306" s="934"/>
      <c r="I306" s="934"/>
      <c r="J306" s="934"/>
      <c r="K306" s="934"/>
      <c r="L306" s="934"/>
      <c r="M306" s="934"/>
      <c r="N306" s="929"/>
      <c r="O306" s="933" t="str">
        <f t="shared" si="9"/>
        <v/>
      </c>
      <c r="P306" s="929"/>
    </row>
    <row r="307" spans="1:16" hidden="1">
      <c r="A307" s="1974"/>
      <c r="B307" s="1974"/>
      <c r="C307" s="145" t="str">
        <f t="shared" si="8"/>
        <v/>
      </c>
      <c r="D307" s="189"/>
      <c r="E307" s="923"/>
      <c r="F307" s="923"/>
      <c r="G307" s="934"/>
      <c r="H307" s="934"/>
      <c r="I307" s="934"/>
      <c r="J307" s="934"/>
      <c r="K307" s="934"/>
      <c r="L307" s="934"/>
      <c r="M307" s="934"/>
      <c r="N307" s="929"/>
      <c r="O307" s="933" t="str">
        <f t="shared" si="9"/>
        <v/>
      </c>
      <c r="P307" s="929"/>
    </row>
    <row r="308" spans="1:16" hidden="1">
      <c r="A308" s="1974"/>
      <c r="B308" s="1974"/>
      <c r="C308" s="145" t="str">
        <f t="shared" si="8"/>
        <v/>
      </c>
      <c r="D308" s="189"/>
      <c r="E308" s="923"/>
      <c r="F308" s="923"/>
      <c r="G308" s="934"/>
      <c r="H308" s="934"/>
      <c r="I308" s="934"/>
      <c r="J308" s="934"/>
      <c r="K308" s="934"/>
      <c r="L308" s="934"/>
      <c r="M308" s="934"/>
      <c r="N308" s="929"/>
      <c r="O308" s="933" t="str">
        <f t="shared" si="9"/>
        <v/>
      </c>
      <c r="P308" s="929"/>
    </row>
    <row r="309" spans="1:16" hidden="1">
      <c r="A309" s="1974"/>
      <c r="B309" s="1974"/>
      <c r="C309" s="145" t="str">
        <f t="shared" si="8"/>
        <v/>
      </c>
      <c r="D309" s="189"/>
      <c r="E309" s="923"/>
      <c r="F309" s="923"/>
      <c r="G309" s="934"/>
      <c r="H309" s="934"/>
      <c r="I309" s="934"/>
      <c r="J309" s="934"/>
      <c r="K309" s="934"/>
      <c r="L309" s="934"/>
      <c r="M309" s="934"/>
      <c r="N309" s="929"/>
      <c r="O309" s="933" t="str">
        <f t="shared" si="9"/>
        <v/>
      </c>
      <c r="P309" s="929"/>
    </row>
    <row r="310" spans="1:16" hidden="1">
      <c r="A310" s="1974"/>
      <c r="B310" s="1974"/>
      <c r="C310" s="145" t="str">
        <f t="shared" si="8"/>
        <v/>
      </c>
      <c r="D310" s="189"/>
      <c r="E310" s="923"/>
      <c r="F310" s="923"/>
      <c r="G310" s="934"/>
      <c r="H310" s="934"/>
      <c r="I310" s="934"/>
      <c r="J310" s="934"/>
      <c r="K310" s="934"/>
      <c r="L310" s="934"/>
      <c r="M310" s="934"/>
      <c r="N310" s="929"/>
      <c r="O310" s="933" t="str">
        <f t="shared" si="9"/>
        <v/>
      </c>
      <c r="P310" s="929"/>
    </row>
    <row r="311" spans="1:16" hidden="1">
      <c r="A311" s="1974"/>
      <c r="B311" s="1974"/>
      <c r="C311" s="145" t="str">
        <f t="shared" si="8"/>
        <v/>
      </c>
      <c r="D311" s="189"/>
      <c r="E311" s="923"/>
      <c r="F311" s="923"/>
      <c r="G311" s="934"/>
      <c r="H311" s="934"/>
      <c r="I311" s="934"/>
      <c r="J311" s="934"/>
      <c r="K311" s="934"/>
      <c r="L311" s="934"/>
      <c r="M311" s="934"/>
      <c r="N311" s="929"/>
      <c r="O311" s="933" t="str">
        <f t="shared" si="9"/>
        <v/>
      </c>
      <c r="P311" s="929"/>
    </row>
    <row r="312" spans="1:16" hidden="1">
      <c r="A312" s="1974"/>
      <c r="B312" s="1974"/>
      <c r="C312" s="145" t="str">
        <f t="shared" si="8"/>
        <v/>
      </c>
      <c r="D312" s="189"/>
      <c r="E312" s="923"/>
      <c r="F312" s="923"/>
      <c r="G312" s="934"/>
      <c r="H312" s="934"/>
      <c r="I312" s="934"/>
      <c r="J312" s="934"/>
      <c r="K312" s="934"/>
      <c r="L312" s="934"/>
      <c r="M312" s="934"/>
      <c r="N312" s="929"/>
      <c r="O312" s="933" t="str">
        <f t="shared" si="9"/>
        <v/>
      </c>
      <c r="P312" s="929"/>
    </row>
    <row r="313" spans="1:16" hidden="1">
      <c r="A313" s="1974"/>
      <c r="B313" s="1974"/>
      <c r="C313" s="145" t="str">
        <f t="shared" si="8"/>
        <v/>
      </c>
      <c r="D313" s="189"/>
      <c r="E313" s="923"/>
      <c r="F313" s="923"/>
      <c r="G313" s="934"/>
      <c r="H313" s="934"/>
      <c r="I313" s="934"/>
      <c r="J313" s="934"/>
      <c r="K313" s="934"/>
      <c r="L313" s="934"/>
      <c r="M313" s="934"/>
      <c r="N313" s="929"/>
      <c r="O313" s="933" t="str">
        <f t="shared" si="9"/>
        <v/>
      </c>
      <c r="P313" s="929"/>
    </row>
    <row r="314" spans="1:16" hidden="1">
      <c r="A314" s="1974"/>
      <c r="B314" s="1974"/>
      <c r="C314" s="145" t="str">
        <f t="shared" si="8"/>
        <v/>
      </c>
      <c r="D314" s="189"/>
      <c r="E314" s="923"/>
      <c r="F314" s="923"/>
      <c r="G314" s="934"/>
      <c r="H314" s="934"/>
      <c r="I314" s="934"/>
      <c r="J314" s="934"/>
      <c r="K314" s="934"/>
      <c r="L314" s="934"/>
      <c r="M314" s="934"/>
      <c r="N314" s="929"/>
      <c r="O314" s="933" t="str">
        <f t="shared" si="9"/>
        <v/>
      </c>
      <c r="P314" s="929"/>
    </row>
    <row r="315" spans="1:16" hidden="1">
      <c r="A315" s="1974"/>
      <c r="B315" s="1974"/>
      <c r="C315" s="145" t="str">
        <f t="shared" si="8"/>
        <v/>
      </c>
      <c r="D315" s="189"/>
      <c r="E315" s="923"/>
      <c r="F315" s="923"/>
      <c r="G315" s="934"/>
      <c r="H315" s="934"/>
      <c r="I315" s="934"/>
      <c r="J315" s="934"/>
      <c r="K315" s="934"/>
      <c r="L315" s="934"/>
      <c r="M315" s="934"/>
      <c r="N315" s="929"/>
      <c r="O315" s="933" t="str">
        <f t="shared" si="9"/>
        <v/>
      </c>
      <c r="P315" s="929"/>
    </row>
    <row r="316" spans="1:16" hidden="1">
      <c r="A316" s="1974"/>
      <c r="B316" s="1974"/>
      <c r="C316" s="145" t="str">
        <f t="shared" si="8"/>
        <v/>
      </c>
      <c r="D316" s="189"/>
      <c r="E316" s="923"/>
      <c r="F316" s="923"/>
      <c r="G316" s="934"/>
      <c r="H316" s="934"/>
      <c r="I316" s="934"/>
      <c r="J316" s="934"/>
      <c r="K316" s="934"/>
      <c r="L316" s="934"/>
      <c r="M316" s="934"/>
      <c r="N316" s="929"/>
      <c r="O316" s="933" t="str">
        <f t="shared" si="9"/>
        <v/>
      </c>
      <c r="P316" s="929"/>
    </row>
    <row r="317" spans="1:16" hidden="1">
      <c r="A317" s="1974"/>
      <c r="B317" s="1974"/>
      <c r="C317" s="145" t="str">
        <f t="shared" si="8"/>
        <v/>
      </c>
      <c r="D317" s="189"/>
      <c r="E317" s="923"/>
      <c r="F317" s="923"/>
      <c r="G317" s="934"/>
      <c r="H317" s="934"/>
      <c r="I317" s="934"/>
      <c r="J317" s="934"/>
      <c r="K317" s="934"/>
      <c r="L317" s="934"/>
      <c r="M317" s="934"/>
      <c r="N317" s="929"/>
      <c r="O317" s="933" t="str">
        <f t="shared" si="9"/>
        <v/>
      </c>
      <c r="P317" s="929"/>
    </row>
    <row r="318" spans="1:16" hidden="1">
      <c r="A318" s="1974"/>
      <c r="B318" s="1974"/>
      <c r="C318" s="145" t="str">
        <f t="shared" si="8"/>
        <v/>
      </c>
      <c r="D318" s="189"/>
      <c r="E318" s="923"/>
      <c r="F318" s="923"/>
      <c r="G318" s="934"/>
      <c r="H318" s="934"/>
      <c r="I318" s="934"/>
      <c r="J318" s="934"/>
      <c r="K318" s="934"/>
      <c r="L318" s="934"/>
      <c r="M318" s="934"/>
      <c r="N318" s="929"/>
      <c r="O318" s="933" t="str">
        <f t="shared" si="9"/>
        <v/>
      </c>
      <c r="P318" s="929"/>
    </row>
    <row r="319" spans="1:16" hidden="1">
      <c r="A319" s="1974"/>
      <c r="B319" s="1974"/>
      <c r="C319" s="145" t="str">
        <f t="shared" si="8"/>
        <v/>
      </c>
      <c r="D319" s="189"/>
      <c r="E319" s="923"/>
      <c r="F319" s="923"/>
      <c r="G319" s="934"/>
      <c r="H319" s="934"/>
      <c r="I319" s="934"/>
      <c r="J319" s="934"/>
      <c r="K319" s="934"/>
      <c r="L319" s="934"/>
      <c r="M319" s="934"/>
      <c r="N319" s="929"/>
      <c r="O319" s="933" t="str">
        <f t="shared" si="9"/>
        <v/>
      </c>
      <c r="P319" s="929"/>
    </row>
    <row r="320" spans="1:16" hidden="1">
      <c r="A320" s="1974"/>
      <c r="B320" s="1974"/>
      <c r="C320" s="145" t="str">
        <f t="shared" si="8"/>
        <v/>
      </c>
      <c r="D320" s="189"/>
      <c r="E320" s="923"/>
      <c r="F320" s="923"/>
      <c r="G320" s="934"/>
      <c r="H320" s="934"/>
      <c r="I320" s="934"/>
      <c r="J320" s="934"/>
      <c r="K320" s="934"/>
      <c r="L320" s="934"/>
      <c r="M320" s="934"/>
      <c r="N320" s="929"/>
      <c r="O320" s="933" t="str">
        <f t="shared" si="9"/>
        <v/>
      </c>
      <c r="P320" s="929"/>
    </row>
    <row r="321" spans="1:16" hidden="1">
      <c r="A321" s="1974"/>
      <c r="B321" s="1974"/>
      <c r="C321" s="145" t="str">
        <f t="shared" si="8"/>
        <v/>
      </c>
      <c r="D321" s="189"/>
      <c r="E321" s="923"/>
      <c r="F321" s="923"/>
      <c r="G321" s="934"/>
      <c r="H321" s="934"/>
      <c r="I321" s="934"/>
      <c r="J321" s="934"/>
      <c r="K321" s="934"/>
      <c r="L321" s="934"/>
      <c r="M321" s="934"/>
      <c r="N321" s="929"/>
      <c r="O321" s="933" t="str">
        <f t="shared" si="9"/>
        <v/>
      </c>
      <c r="P321" s="929"/>
    </row>
    <row r="322" spans="1:16" hidden="1">
      <c r="A322" s="1974"/>
      <c r="B322" s="1974"/>
      <c r="C322" s="145" t="str">
        <f t="shared" si="8"/>
        <v/>
      </c>
      <c r="D322" s="189"/>
      <c r="E322" s="923"/>
      <c r="F322" s="923"/>
      <c r="G322" s="934"/>
      <c r="H322" s="934"/>
      <c r="I322" s="934"/>
      <c r="J322" s="934"/>
      <c r="K322" s="934"/>
      <c r="L322" s="934"/>
      <c r="M322" s="934"/>
      <c r="N322" s="929"/>
      <c r="O322" s="933" t="str">
        <f t="shared" si="9"/>
        <v/>
      </c>
      <c r="P322" s="929"/>
    </row>
    <row r="323" spans="1:16" hidden="1">
      <c r="A323" s="1974"/>
      <c r="B323" s="1974"/>
      <c r="C323" s="145" t="str">
        <f t="shared" si="8"/>
        <v/>
      </c>
      <c r="D323" s="189"/>
      <c r="E323" s="923"/>
      <c r="F323" s="923"/>
      <c r="G323" s="934"/>
      <c r="H323" s="934"/>
      <c r="I323" s="934"/>
      <c r="J323" s="934"/>
      <c r="K323" s="934"/>
      <c r="L323" s="934"/>
      <c r="M323" s="934"/>
      <c r="N323" s="929"/>
      <c r="O323" s="933" t="str">
        <f t="shared" si="9"/>
        <v/>
      </c>
      <c r="P323" s="929"/>
    </row>
    <row r="324" spans="1:16" hidden="1">
      <c r="A324" s="1974"/>
      <c r="B324" s="1974"/>
      <c r="C324" s="145" t="str">
        <f t="shared" si="8"/>
        <v/>
      </c>
      <c r="D324" s="189"/>
      <c r="E324" s="923"/>
      <c r="F324" s="923"/>
      <c r="G324" s="934"/>
      <c r="H324" s="934"/>
      <c r="I324" s="934"/>
      <c r="J324" s="934"/>
      <c r="K324" s="934"/>
      <c r="L324" s="934"/>
      <c r="M324" s="934"/>
      <c r="N324" s="929"/>
      <c r="O324" s="933" t="str">
        <f t="shared" si="9"/>
        <v/>
      </c>
      <c r="P324" s="929"/>
    </row>
    <row r="325" spans="1:16" hidden="1">
      <c r="A325" s="1974"/>
      <c r="B325" s="1974"/>
      <c r="C325" s="145" t="str">
        <f t="shared" si="8"/>
        <v/>
      </c>
      <c r="D325" s="189"/>
      <c r="E325" s="923"/>
      <c r="F325" s="923"/>
      <c r="G325" s="934"/>
      <c r="H325" s="934"/>
      <c r="I325" s="934"/>
      <c r="J325" s="934"/>
      <c r="K325" s="934"/>
      <c r="L325" s="934"/>
      <c r="M325" s="934"/>
      <c r="N325" s="929"/>
      <c r="O325" s="933" t="str">
        <f t="shared" si="9"/>
        <v/>
      </c>
      <c r="P325" s="929"/>
    </row>
    <row r="326" spans="1:16" hidden="1">
      <c r="A326" s="1974"/>
      <c r="B326" s="1974"/>
      <c r="C326" s="145" t="str">
        <f t="shared" si="8"/>
        <v/>
      </c>
      <c r="D326" s="189"/>
      <c r="E326" s="923"/>
      <c r="F326" s="923"/>
      <c r="G326" s="934"/>
      <c r="H326" s="934"/>
      <c r="I326" s="934"/>
      <c r="J326" s="934"/>
      <c r="K326" s="934"/>
      <c r="L326" s="934"/>
      <c r="M326" s="934"/>
      <c r="N326" s="929"/>
      <c r="O326" s="933" t="str">
        <f t="shared" si="9"/>
        <v/>
      </c>
      <c r="P326" s="929"/>
    </row>
    <row r="327" spans="1:16" hidden="1">
      <c r="A327" s="1974"/>
      <c r="B327" s="1974"/>
      <c r="C327" s="145" t="str">
        <f t="shared" si="8"/>
        <v/>
      </c>
      <c r="D327" s="189"/>
      <c r="E327" s="923"/>
      <c r="F327" s="923"/>
      <c r="G327" s="934"/>
      <c r="H327" s="934"/>
      <c r="I327" s="934"/>
      <c r="J327" s="934"/>
      <c r="K327" s="934"/>
      <c r="L327" s="934"/>
      <c r="M327" s="934"/>
      <c r="N327" s="929"/>
      <c r="O327" s="933" t="str">
        <f t="shared" si="9"/>
        <v/>
      </c>
      <c r="P327" s="929"/>
    </row>
    <row r="328" spans="1:16" hidden="1">
      <c r="A328" s="1974"/>
      <c r="B328" s="1974"/>
      <c r="C328" s="145" t="str">
        <f t="shared" si="8"/>
        <v/>
      </c>
      <c r="D328" s="189"/>
      <c r="E328" s="923"/>
      <c r="F328" s="923"/>
      <c r="G328" s="934"/>
      <c r="H328" s="934"/>
      <c r="I328" s="934"/>
      <c r="J328" s="934"/>
      <c r="K328" s="934"/>
      <c r="L328" s="934"/>
      <c r="M328" s="934"/>
      <c r="N328" s="929"/>
      <c r="O328" s="933" t="str">
        <f t="shared" si="9"/>
        <v/>
      </c>
      <c r="P328" s="929"/>
    </row>
    <row r="329" spans="1:16" hidden="1">
      <c r="A329" s="1974"/>
      <c r="B329" s="1974"/>
      <c r="C329" s="145" t="str">
        <f t="shared" si="8"/>
        <v/>
      </c>
      <c r="D329" s="189"/>
      <c r="E329" s="923"/>
      <c r="F329" s="923"/>
      <c r="G329" s="934"/>
      <c r="H329" s="934"/>
      <c r="I329" s="934"/>
      <c r="J329" s="934"/>
      <c r="K329" s="934"/>
      <c r="L329" s="934"/>
      <c r="M329" s="934"/>
      <c r="N329" s="929"/>
      <c r="O329" s="933" t="str">
        <f t="shared" si="9"/>
        <v/>
      </c>
      <c r="P329" s="929"/>
    </row>
    <row r="330" spans="1:16" hidden="1">
      <c r="A330" s="1974"/>
      <c r="B330" s="1974"/>
      <c r="C330" s="145" t="str">
        <f t="shared" si="8"/>
        <v/>
      </c>
      <c r="D330" s="189"/>
      <c r="E330" s="923"/>
      <c r="F330" s="923"/>
      <c r="G330" s="934"/>
      <c r="H330" s="934"/>
      <c r="I330" s="934"/>
      <c r="J330" s="934"/>
      <c r="K330" s="934"/>
      <c r="L330" s="934"/>
      <c r="M330" s="934"/>
      <c r="N330" s="929"/>
      <c r="O330" s="933" t="str">
        <f t="shared" si="9"/>
        <v/>
      </c>
      <c r="P330" s="929"/>
    </row>
    <row r="331" spans="1:16" hidden="1">
      <c r="A331" s="1974"/>
      <c r="B331" s="1974"/>
      <c r="C331" s="145" t="str">
        <f t="shared" si="8"/>
        <v/>
      </c>
      <c r="D331" s="189"/>
      <c r="E331" s="923"/>
      <c r="F331" s="923"/>
      <c r="G331" s="934"/>
      <c r="H331" s="934"/>
      <c r="I331" s="934"/>
      <c r="J331" s="934"/>
      <c r="K331" s="934"/>
      <c r="L331" s="934"/>
      <c r="M331" s="934"/>
      <c r="N331" s="929"/>
      <c r="O331" s="933" t="str">
        <f t="shared" si="9"/>
        <v/>
      </c>
      <c r="P331" s="929"/>
    </row>
    <row r="332" spans="1:16" hidden="1">
      <c r="A332" s="1974"/>
      <c r="B332" s="1974"/>
      <c r="C332" s="145" t="str">
        <f t="shared" si="8"/>
        <v/>
      </c>
      <c r="D332" s="189"/>
      <c r="E332" s="923"/>
      <c r="F332" s="923"/>
      <c r="G332" s="934"/>
      <c r="H332" s="934"/>
      <c r="I332" s="934"/>
      <c r="J332" s="934"/>
      <c r="K332" s="934"/>
      <c r="L332" s="934"/>
      <c r="M332" s="934"/>
      <c r="N332" s="929"/>
      <c r="O332" s="933" t="str">
        <f t="shared" si="9"/>
        <v/>
      </c>
      <c r="P332" s="929"/>
    </row>
    <row r="333" spans="1:16" hidden="1">
      <c r="A333" s="1974"/>
      <c r="B333" s="1974"/>
      <c r="C333" s="145" t="str">
        <f t="shared" si="8"/>
        <v/>
      </c>
      <c r="D333" s="189"/>
      <c r="E333" s="923"/>
      <c r="F333" s="923"/>
      <c r="G333" s="934"/>
      <c r="H333" s="934"/>
      <c r="I333" s="934"/>
      <c r="J333" s="934"/>
      <c r="K333" s="934"/>
      <c r="L333" s="934"/>
      <c r="M333" s="934"/>
      <c r="N333" s="929"/>
      <c r="O333" s="933" t="str">
        <f t="shared" si="9"/>
        <v/>
      </c>
      <c r="P333" s="929"/>
    </row>
    <row r="334" spans="1:16" hidden="1">
      <c r="A334" s="1974"/>
      <c r="B334" s="1974"/>
      <c r="C334" s="145" t="str">
        <f t="shared" si="8"/>
        <v/>
      </c>
      <c r="D334" s="189"/>
      <c r="E334" s="923"/>
      <c r="F334" s="923"/>
      <c r="G334" s="934"/>
      <c r="H334" s="934"/>
      <c r="I334" s="934"/>
      <c r="J334" s="934"/>
      <c r="K334" s="934"/>
      <c r="L334" s="934"/>
      <c r="M334" s="934"/>
      <c r="N334" s="929"/>
      <c r="O334" s="933" t="str">
        <f t="shared" si="9"/>
        <v/>
      </c>
      <c r="P334" s="929"/>
    </row>
    <row r="335" spans="1:16" hidden="1">
      <c r="A335" s="1974"/>
      <c r="B335" s="1974"/>
      <c r="C335" s="145" t="str">
        <f t="shared" si="8"/>
        <v/>
      </c>
      <c r="D335" s="189"/>
      <c r="E335" s="923"/>
      <c r="F335" s="923"/>
      <c r="G335" s="934"/>
      <c r="H335" s="934"/>
      <c r="I335" s="934"/>
      <c r="J335" s="934"/>
      <c r="K335" s="934"/>
      <c r="L335" s="934"/>
      <c r="M335" s="934"/>
      <c r="N335" s="929"/>
      <c r="O335" s="933" t="str">
        <f t="shared" si="9"/>
        <v/>
      </c>
      <c r="P335" s="929"/>
    </row>
    <row r="336" spans="1:16" hidden="1">
      <c r="A336" s="1974"/>
      <c r="B336" s="1974"/>
      <c r="C336" s="145" t="str">
        <f t="shared" ref="C336:C399" si="10">IF(A336&lt;&gt;"",ROW(),"")</f>
        <v/>
      </c>
      <c r="D336" s="189"/>
      <c r="E336" s="923"/>
      <c r="F336" s="923"/>
      <c r="G336" s="934"/>
      <c r="H336" s="934"/>
      <c r="I336" s="934"/>
      <c r="J336" s="934"/>
      <c r="K336" s="934"/>
      <c r="L336" s="934"/>
      <c r="M336" s="934"/>
      <c r="N336" s="929"/>
      <c r="O336" s="933" t="str">
        <f t="shared" si="9"/>
        <v/>
      </c>
      <c r="P336" s="929"/>
    </row>
    <row r="337" spans="1:16" hidden="1">
      <c r="A337" s="1974"/>
      <c r="B337" s="1974"/>
      <c r="C337" s="145" t="str">
        <f t="shared" si="10"/>
        <v/>
      </c>
      <c r="D337" s="189"/>
      <c r="E337" s="923"/>
      <c r="F337" s="923"/>
      <c r="G337" s="934"/>
      <c r="H337" s="934"/>
      <c r="I337" s="934"/>
      <c r="J337" s="934"/>
      <c r="K337" s="934"/>
      <c r="L337" s="934"/>
      <c r="M337" s="934"/>
      <c r="N337" s="929"/>
      <c r="O337" s="933" t="str">
        <f t="shared" ref="O337:O400" si="11">IF(A337&lt;&gt;"",A337,"")</f>
        <v/>
      </c>
      <c r="P337" s="929"/>
    </row>
    <row r="338" spans="1:16" hidden="1">
      <c r="A338" s="1974"/>
      <c r="B338" s="1974"/>
      <c r="C338" s="145" t="str">
        <f t="shared" si="10"/>
        <v/>
      </c>
      <c r="D338" s="189"/>
      <c r="E338" s="923"/>
      <c r="F338" s="923"/>
      <c r="G338" s="934"/>
      <c r="H338" s="934"/>
      <c r="I338" s="934"/>
      <c r="J338" s="934"/>
      <c r="K338" s="934"/>
      <c r="L338" s="934"/>
      <c r="M338" s="934"/>
      <c r="N338" s="929"/>
      <c r="O338" s="933" t="str">
        <f t="shared" si="11"/>
        <v/>
      </c>
      <c r="P338" s="929"/>
    </row>
    <row r="339" spans="1:16" hidden="1">
      <c r="A339" s="1974"/>
      <c r="B339" s="1974"/>
      <c r="C339" s="145" t="str">
        <f t="shared" si="10"/>
        <v/>
      </c>
      <c r="D339" s="189"/>
      <c r="E339" s="923"/>
      <c r="F339" s="923"/>
      <c r="G339" s="934"/>
      <c r="H339" s="934"/>
      <c r="I339" s="934"/>
      <c r="J339" s="934"/>
      <c r="K339" s="934"/>
      <c r="L339" s="934"/>
      <c r="M339" s="934"/>
      <c r="N339" s="929"/>
      <c r="O339" s="933" t="str">
        <f t="shared" si="11"/>
        <v/>
      </c>
      <c r="P339" s="929"/>
    </row>
    <row r="340" spans="1:16" hidden="1">
      <c r="A340" s="1974"/>
      <c r="B340" s="1974"/>
      <c r="C340" s="145" t="str">
        <f t="shared" si="10"/>
        <v/>
      </c>
      <c r="D340" s="189"/>
      <c r="E340" s="923"/>
      <c r="F340" s="923"/>
      <c r="G340" s="934"/>
      <c r="H340" s="934"/>
      <c r="I340" s="934"/>
      <c r="J340" s="934"/>
      <c r="K340" s="934"/>
      <c r="L340" s="934"/>
      <c r="M340" s="934"/>
      <c r="N340" s="929"/>
      <c r="O340" s="933" t="str">
        <f t="shared" si="11"/>
        <v/>
      </c>
      <c r="P340" s="929"/>
    </row>
    <row r="341" spans="1:16" hidden="1">
      <c r="A341" s="1974"/>
      <c r="B341" s="1974"/>
      <c r="C341" s="145" t="str">
        <f t="shared" si="10"/>
        <v/>
      </c>
      <c r="D341" s="189"/>
      <c r="E341" s="923"/>
      <c r="F341" s="923"/>
      <c r="G341" s="934"/>
      <c r="H341" s="934"/>
      <c r="I341" s="934"/>
      <c r="J341" s="934"/>
      <c r="K341" s="934"/>
      <c r="L341" s="934"/>
      <c r="M341" s="934"/>
      <c r="N341" s="929"/>
      <c r="O341" s="933" t="str">
        <f t="shared" si="11"/>
        <v/>
      </c>
      <c r="P341" s="929"/>
    </row>
    <row r="342" spans="1:16" hidden="1">
      <c r="A342" s="1974"/>
      <c r="B342" s="1974"/>
      <c r="C342" s="145" t="str">
        <f t="shared" si="10"/>
        <v/>
      </c>
      <c r="D342" s="189"/>
      <c r="E342" s="923"/>
      <c r="F342" s="923"/>
      <c r="G342" s="934"/>
      <c r="H342" s="934"/>
      <c r="I342" s="934"/>
      <c r="J342" s="934"/>
      <c r="K342" s="934"/>
      <c r="L342" s="934"/>
      <c r="M342" s="934"/>
      <c r="N342" s="929"/>
      <c r="O342" s="933" t="str">
        <f t="shared" si="11"/>
        <v/>
      </c>
      <c r="P342" s="929"/>
    </row>
    <row r="343" spans="1:16" hidden="1">
      <c r="A343" s="1974"/>
      <c r="B343" s="1974"/>
      <c r="C343" s="145" t="str">
        <f t="shared" si="10"/>
        <v/>
      </c>
      <c r="D343" s="189"/>
      <c r="E343" s="923"/>
      <c r="F343" s="923"/>
      <c r="G343" s="934"/>
      <c r="H343" s="934"/>
      <c r="I343" s="934"/>
      <c r="J343" s="934"/>
      <c r="K343" s="934"/>
      <c r="L343" s="934"/>
      <c r="M343" s="934"/>
      <c r="N343" s="929"/>
      <c r="O343" s="933" t="str">
        <f t="shared" si="11"/>
        <v/>
      </c>
      <c r="P343" s="929"/>
    </row>
    <row r="344" spans="1:16" hidden="1">
      <c r="A344" s="1974"/>
      <c r="B344" s="1974"/>
      <c r="C344" s="145" t="str">
        <f t="shared" si="10"/>
        <v/>
      </c>
      <c r="D344" s="189"/>
      <c r="E344" s="923"/>
      <c r="F344" s="923"/>
      <c r="G344" s="934"/>
      <c r="H344" s="934"/>
      <c r="I344" s="934"/>
      <c r="J344" s="934"/>
      <c r="K344" s="934"/>
      <c r="L344" s="934"/>
      <c r="M344" s="934"/>
      <c r="N344" s="929"/>
      <c r="O344" s="933" t="str">
        <f t="shared" si="11"/>
        <v/>
      </c>
      <c r="P344" s="929"/>
    </row>
    <row r="345" spans="1:16" hidden="1">
      <c r="A345" s="1974"/>
      <c r="B345" s="1974"/>
      <c r="C345" s="145" t="str">
        <f t="shared" si="10"/>
        <v/>
      </c>
      <c r="D345" s="189"/>
      <c r="E345" s="923"/>
      <c r="F345" s="923"/>
      <c r="G345" s="934"/>
      <c r="H345" s="934"/>
      <c r="I345" s="934"/>
      <c r="J345" s="934"/>
      <c r="K345" s="934"/>
      <c r="L345" s="934"/>
      <c r="M345" s="934"/>
      <c r="N345" s="929"/>
      <c r="O345" s="933" t="str">
        <f t="shared" si="11"/>
        <v/>
      </c>
      <c r="P345" s="929"/>
    </row>
    <row r="346" spans="1:16" hidden="1">
      <c r="A346" s="1974"/>
      <c r="B346" s="1974"/>
      <c r="C346" s="145" t="str">
        <f t="shared" si="10"/>
        <v/>
      </c>
      <c r="D346" s="189"/>
      <c r="E346" s="923"/>
      <c r="F346" s="923"/>
      <c r="G346" s="934"/>
      <c r="H346" s="934"/>
      <c r="I346" s="934"/>
      <c r="J346" s="934"/>
      <c r="K346" s="934"/>
      <c r="L346" s="934"/>
      <c r="M346" s="934"/>
      <c r="N346" s="929"/>
      <c r="O346" s="933" t="str">
        <f t="shared" si="11"/>
        <v/>
      </c>
      <c r="P346" s="929"/>
    </row>
    <row r="347" spans="1:16" hidden="1">
      <c r="A347" s="1974"/>
      <c r="B347" s="1974"/>
      <c r="C347" s="145" t="str">
        <f t="shared" si="10"/>
        <v/>
      </c>
      <c r="D347" s="189"/>
      <c r="E347" s="923"/>
      <c r="F347" s="923"/>
      <c r="G347" s="934"/>
      <c r="H347" s="934"/>
      <c r="I347" s="934"/>
      <c r="J347" s="934"/>
      <c r="K347" s="934"/>
      <c r="L347" s="934"/>
      <c r="M347" s="934"/>
      <c r="N347" s="929"/>
      <c r="O347" s="933" t="str">
        <f t="shared" si="11"/>
        <v/>
      </c>
      <c r="P347" s="929"/>
    </row>
    <row r="348" spans="1:16" hidden="1">
      <c r="A348" s="1974"/>
      <c r="B348" s="1974"/>
      <c r="C348" s="145" t="str">
        <f t="shared" si="10"/>
        <v/>
      </c>
      <c r="D348" s="189"/>
      <c r="E348" s="923"/>
      <c r="F348" s="923"/>
      <c r="G348" s="934"/>
      <c r="H348" s="934"/>
      <c r="I348" s="934"/>
      <c r="J348" s="934"/>
      <c r="K348" s="934"/>
      <c r="L348" s="934"/>
      <c r="M348" s="934"/>
      <c r="N348" s="929"/>
      <c r="O348" s="933" t="str">
        <f t="shared" si="11"/>
        <v/>
      </c>
      <c r="P348" s="929"/>
    </row>
    <row r="349" spans="1:16" hidden="1">
      <c r="A349" s="1974"/>
      <c r="B349" s="1974"/>
      <c r="C349" s="145" t="str">
        <f t="shared" si="10"/>
        <v/>
      </c>
      <c r="D349" s="189"/>
      <c r="E349" s="923"/>
      <c r="F349" s="923"/>
      <c r="G349" s="934"/>
      <c r="H349" s="934"/>
      <c r="I349" s="934"/>
      <c r="J349" s="934"/>
      <c r="K349" s="934"/>
      <c r="L349" s="934"/>
      <c r="M349" s="934"/>
      <c r="N349" s="929"/>
      <c r="O349" s="933" t="str">
        <f t="shared" si="11"/>
        <v/>
      </c>
      <c r="P349" s="929"/>
    </row>
    <row r="350" spans="1:16" hidden="1">
      <c r="A350" s="1974"/>
      <c r="B350" s="1974"/>
      <c r="C350" s="145" t="str">
        <f t="shared" si="10"/>
        <v/>
      </c>
      <c r="D350" s="189"/>
      <c r="E350" s="923"/>
      <c r="F350" s="923"/>
      <c r="G350" s="934"/>
      <c r="H350" s="934"/>
      <c r="I350" s="934"/>
      <c r="J350" s="934"/>
      <c r="K350" s="934"/>
      <c r="L350" s="934"/>
      <c r="M350" s="934"/>
      <c r="N350" s="929"/>
      <c r="O350" s="933" t="str">
        <f t="shared" si="11"/>
        <v/>
      </c>
      <c r="P350" s="929"/>
    </row>
    <row r="351" spans="1:16" hidden="1">
      <c r="A351" s="1974"/>
      <c r="B351" s="1974"/>
      <c r="C351" s="145" t="str">
        <f t="shared" si="10"/>
        <v/>
      </c>
      <c r="D351" s="189"/>
      <c r="E351" s="923"/>
      <c r="F351" s="923"/>
      <c r="G351" s="934"/>
      <c r="H351" s="934"/>
      <c r="I351" s="934"/>
      <c r="J351" s="934"/>
      <c r="K351" s="934"/>
      <c r="L351" s="934"/>
      <c r="M351" s="934"/>
      <c r="N351" s="929"/>
      <c r="O351" s="933" t="str">
        <f t="shared" si="11"/>
        <v/>
      </c>
      <c r="P351" s="929"/>
    </row>
    <row r="352" spans="1:16" hidden="1">
      <c r="A352" s="1974"/>
      <c r="B352" s="1974"/>
      <c r="C352" s="145" t="str">
        <f t="shared" si="10"/>
        <v/>
      </c>
      <c r="D352" s="189"/>
      <c r="E352" s="923"/>
      <c r="F352" s="923"/>
      <c r="G352" s="934"/>
      <c r="H352" s="934"/>
      <c r="I352" s="934"/>
      <c r="J352" s="934"/>
      <c r="K352" s="934"/>
      <c r="L352" s="934"/>
      <c r="M352" s="934"/>
      <c r="N352" s="929"/>
      <c r="O352" s="933" t="str">
        <f t="shared" si="11"/>
        <v/>
      </c>
      <c r="P352" s="929"/>
    </row>
    <row r="353" spans="1:16" hidden="1">
      <c r="A353" s="1974"/>
      <c r="B353" s="1974"/>
      <c r="C353" s="145" t="str">
        <f t="shared" si="10"/>
        <v/>
      </c>
      <c r="D353" s="189"/>
      <c r="E353" s="923"/>
      <c r="F353" s="923"/>
      <c r="G353" s="934"/>
      <c r="H353" s="934"/>
      <c r="I353" s="934"/>
      <c r="J353" s="934"/>
      <c r="K353" s="934"/>
      <c r="L353" s="934"/>
      <c r="M353" s="934"/>
      <c r="N353" s="929"/>
      <c r="O353" s="933" t="str">
        <f t="shared" si="11"/>
        <v/>
      </c>
      <c r="P353" s="929"/>
    </row>
    <row r="354" spans="1:16" hidden="1">
      <c r="A354" s="1974"/>
      <c r="B354" s="1974"/>
      <c r="C354" s="145" t="str">
        <f t="shared" si="10"/>
        <v/>
      </c>
      <c r="D354" s="189"/>
      <c r="E354" s="923"/>
      <c r="F354" s="923"/>
      <c r="G354" s="934"/>
      <c r="H354" s="934"/>
      <c r="I354" s="934"/>
      <c r="J354" s="934"/>
      <c r="K354" s="934"/>
      <c r="L354" s="934"/>
      <c r="M354" s="934"/>
      <c r="N354" s="929"/>
      <c r="O354" s="933" t="str">
        <f t="shared" si="11"/>
        <v/>
      </c>
      <c r="P354" s="929"/>
    </row>
    <row r="355" spans="1:16" hidden="1">
      <c r="A355" s="1974"/>
      <c r="B355" s="1974"/>
      <c r="C355" s="145" t="str">
        <f t="shared" si="10"/>
        <v/>
      </c>
      <c r="D355" s="189"/>
      <c r="E355" s="923"/>
      <c r="F355" s="923"/>
      <c r="G355" s="934"/>
      <c r="H355" s="934"/>
      <c r="I355" s="934"/>
      <c r="J355" s="934"/>
      <c r="K355" s="934"/>
      <c r="L355" s="934"/>
      <c r="M355" s="934"/>
      <c r="N355" s="929"/>
      <c r="O355" s="933" t="str">
        <f t="shared" si="11"/>
        <v/>
      </c>
      <c r="P355" s="929"/>
    </row>
    <row r="356" spans="1:16" hidden="1">
      <c r="A356" s="1974"/>
      <c r="B356" s="1974"/>
      <c r="C356" s="145" t="str">
        <f t="shared" si="10"/>
        <v/>
      </c>
      <c r="D356" s="189"/>
      <c r="E356" s="923"/>
      <c r="F356" s="923"/>
      <c r="G356" s="934"/>
      <c r="H356" s="934"/>
      <c r="I356" s="934"/>
      <c r="J356" s="934"/>
      <c r="K356" s="934"/>
      <c r="L356" s="934"/>
      <c r="M356" s="934"/>
      <c r="N356" s="929"/>
      <c r="O356" s="933" t="str">
        <f t="shared" si="11"/>
        <v/>
      </c>
      <c r="P356" s="929"/>
    </row>
    <row r="357" spans="1:16" hidden="1">
      <c r="A357" s="1974"/>
      <c r="B357" s="1974"/>
      <c r="C357" s="145" t="str">
        <f t="shared" si="10"/>
        <v/>
      </c>
      <c r="D357" s="189"/>
      <c r="E357" s="923"/>
      <c r="F357" s="923"/>
      <c r="G357" s="934"/>
      <c r="H357" s="934"/>
      <c r="I357" s="934"/>
      <c r="J357" s="934"/>
      <c r="K357" s="934"/>
      <c r="L357" s="934"/>
      <c r="M357" s="934"/>
      <c r="N357" s="929"/>
      <c r="O357" s="933" t="str">
        <f t="shared" si="11"/>
        <v/>
      </c>
      <c r="P357" s="929"/>
    </row>
    <row r="358" spans="1:16" hidden="1">
      <c r="A358" s="1974"/>
      <c r="B358" s="1974"/>
      <c r="C358" s="145" t="str">
        <f t="shared" si="10"/>
        <v/>
      </c>
      <c r="D358" s="189"/>
      <c r="E358" s="923"/>
      <c r="F358" s="923"/>
      <c r="G358" s="934"/>
      <c r="H358" s="934"/>
      <c r="I358" s="934"/>
      <c r="J358" s="934"/>
      <c r="K358" s="934"/>
      <c r="L358" s="934"/>
      <c r="M358" s="934"/>
      <c r="N358" s="929"/>
      <c r="O358" s="933" t="str">
        <f t="shared" si="11"/>
        <v/>
      </c>
      <c r="P358" s="929"/>
    </row>
    <row r="359" spans="1:16" hidden="1">
      <c r="A359" s="1974"/>
      <c r="B359" s="1974"/>
      <c r="C359" s="145" t="str">
        <f t="shared" si="10"/>
        <v/>
      </c>
      <c r="D359" s="189"/>
      <c r="E359" s="923"/>
      <c r="F359" s="923"/>
      <c r="G359" s="934"/>
      <c r="H359" s="934"/>
      <c r="I359" s="934"/>
      <c r="J359" s="934"/>
      <c r="K359" s="934"/>
      <c r="L359" s="934"/>
      <c r="M359" s="934"/>
      <c r="N359" s="929"/>
      <c r="O359" s="933" t="str">
        <f t="shared" si="11"/>
        <v/>
      </c>
      <c r="P359" s="929"/>
    </row>
    <row r="360" spans="1:16" hidden="1">
      <c r="A360" s="1974"/>
      <c r="B360" s="1974"/>
      <c r="C360" s="145" t="str">
        <f t="shared" si="10"/>
        <v/>
      </c>
      <c r="D360" s="189"/>
      <c r="E360" s="923"/>
      <c r="F360" s="923"/>
      <c r="G360" s="934"/>
      <c r="H360" s="934"/>
      <c r="I360" s="934"/>
      <c r="J360" s="934"/>
      <c r="K360" s="934"/>
      <c r="L360" s="934"/>
      <c r="M360" s="934"/>
      <c r="N360" s="929"/>
      <c r="O360" s="933" t="str">
        <f t="shared" si="11"/>
        <v/>
      </c>
      <c r="P360" s="929"/>
    </row>
    <row r="361" spans="1:16" hidden="1">
      <c r="A361" s="1974"/>
      <c r="B361" s="1974"/>
      <c r="C361" s="145" t="str">
        <f t="shared" si="10"/>
        <v/>
      </c>
      <c r="D361" s="189"/>
      <c r="E361" s="923"/>
      <c r="F361" s="923"/>
      <c r="G361" s="934"/>
      <c r="H361" s="934"/>
      <c r="I361" s="934"/>
      <c r="J361" s="934"/>
      <c r="K361" s="934"/>
      <c r="L361" s="934"/>
      <c r="M361" s="934"/>
      <c r="N361" s="929"/>
      <c r="O361" s="933" t="str">
        <f t="shared" si="11"/>
        <v/>
      </c>
      <c r="P361" s="929"/>
    </row>
    <row r="362" spans="1:16" hidden="1">
      <c r="A362" s="1974"/>
      <c r="B362" s="1974"/>
      <c r="C362" s="145" t="str">
        <f t="shared" si="10"/>
        <v/>
      </c>
      <c r="D362" s="189"/>
      <c r="E362" s="923"/>
      <c r="F362" s="923"/>
      <c r="G362" s="934"/>
      <c r="H362" s="934"/>
      <c r="I362" s="934"/>
      <c r="J362" s="934"/>
      <c r="K362" s="934"/>
      <c r="L362" s="934"/>
      <c r="M362" s="934"/>
      <c r="N362" s="929"/>
      <c r="O362" s="933" t="str">
        <f t="shared" si="11"/>
        <v/>
      </c>
      <c r="P362" s="929"/>
    </row>
    <row r="363" spans="1:16" hidden="1">
      <c r="A363" s="1974"/>
      <c r="B363" s="1974"/>
      <c r="C363" s="145" t="str">
        <f t="shared" si="10"/>
        <v/>
      </c>
      <c r="D363" s="189"/>
      <c r="E363" s="923"/>
      <c r="F363" s="923"/>
      <c r="G363" s="934"/>
      <c r="H363" s="934"/>
      <c r="I363" s="934"/>
      <c r="J363" s="934"/>
      <c r="K363" s="934"/>
      <c r="L363" s="934"/>
      <c r="M363" s="934"/>
      <c r="N363" s="929"/>
      <c r="O363" s="933" t="str">
        <f t="shared" si="11"/>
        <v/>
      </c>
      <c r="P363" s="929"/>
    </row>
    <row r="364" spans="1:16" hidden="1">
      <c r="A364" s="1974"/>
      <c r="B364" s="1974"/>
      <c r="C364" s="145" t="str">
        <f t="shared" si="10"/>
        <v/>
      </c>
      <c r="D364" s="189"/>
      <c r="E364" s="923"/>
      <c r="F364" s="923"/>
      <c r="G364" s="934"/>
      <c r="H364" s="934"/>
      <c r="I364" s="934"/>
      <c r="J364" s="934"/>
      <c r="K364" s="934"/>
      <c r="L364" s="934"/>
      <c r="M364" s="934"/>
      <c r="N364" s="929"/>
      <c r="O364" s="933" t="str">
        <f t="shared" si="11"/>
        <v/>
      </c>
      <c r="P364" s="929"/>
    </row>
    <row r="365" spans="1:16" hidden="1">
      <c r="A365" s="1974"/>
      <c r="B365" s="1974"/>
      <c r="C365" s="145" t="str">
        <f t="shared" si="10"/>
        <v/>
      </c>
      <c r="D365" s="189"/>
      <c r="E365" s="923"/>
      <c r="F365" s="923"/>
      <c r="G365" s="934"/>
      <c r="H365" s="934"/>
      <c r="I365" s="934"/>
      <c r="J365" s="934"/>
      <c r="K365" s="934"/>
      <c r="L365" s="934"/>
      <c r="M365" s="934"/>
      <c r="N365" s="929"/>
      <c r="O365" s="933" t="str">
        <f t="shared" si="11"/>
        <v/>
      </c>
      <c r="P365" s="929"/>
    </row>
    <row r="366" spans="1:16" hidden="1">
      <c r="A366" s="1974"/>
      <c r="B366" s="1974"/>
      <c r="C366" s="145" t="str">
        <f t="shared" si="10"/>
        <v/>
      </c>
      <c r="D366" s="189"/>
      <c r="E366" s="923"/>
      <c r="F366" s="923"/>
      <c r="G366" s="934"/>
      <c r="H366" s="934"/>
      <c r="I366" s="934"/>
      <c r="J366" s="934"/>
      <c r="K366" s="934"/>
      <c r="L366" s="934"/>
      <c r="M366" s="934"/>
      <c r="N366" s="929"/>
      <c r="O366" s="933" t="str">
        <f t="shared" si="11"/>
        <v/>
      </c>
      <c r="P366" s="929"/>
    </row>
    <row r="367" spans="1:16" hidden="1">
      <c r="A367" s="1974"/>
      <c r="B367" s="1974"/>
      <c r="C367" s="145" t="str">
        <f t="shared" si="10"/>
        <v/>
      </c>
      <c r="D367" s="189"/>
      <c r="E367" s="923"/>
      <c r="F367" s="923"/>
      <c r="G367" s="934"/>
      <c r="H367" s="934"/>
      <c r="I367" s="934"/>
      <c r="J367" s="934"/>
      <c r="K367" s="934"/>
      <c r="L367" s="934"/>
      <c r="M367" s="934"/>
      <c r="N367" s="929"/>
      <c r="O367" s="933" t="str">
        <f t="shared" si="11"/>
        <v/>
      </c>
      <c r="P367" s="929"/>
    </row>
    <row r="368" spans="1:16" hidden="1">
      <c r="A368" s="1974"/>
      <c r="B368" s="1974"/>
      <c r="C368" s="145" t="str">
        <f t="shared" si="10"/>
        <v/>
      </c>
      <c r="D368" s="189"/>
      <c r="E368" s="923"/>
      <c r="F368" s="923"/>
      <c r="G368" s="934"/>
      <c r="H368" s="934"/>
      <c r="I368" s="934"/>
      <c r="J368" s="934"/>
      <c r="K368" s="934"/>
      <c r="L368" s="934"/>
      <c r="M368" s="934"/>
      <c r="N368" s="929"/>
      <c r="O368" s="933" t="str">
        <f t="shared" si="11"/>
        <v/>
      </c>
      <c r="P368" s="929"/>
    </row>
    <row r="369" spans="1:16" hidden="1">
      <c r="A369" s="1974"/>
      <c r="B369" s="1974"/>
      <c r="C369" s="145" t="str">
        <f t="shared" si="10"/>
        <v/>
      </c>
      <c r="D369" s="189"/>
      <c r="E369" s="923"/>
      <c r="F369" s="923"/>
      <c r="G369" s="934"/>
      <c r="H369" s="934"/>
      <c r="I369" s="934"/>
      <c r="J369" s="934"/>
      <c r="K369" s="934"/>
      <c r="L369" s="934"/>
      <c r="M369" s="934"/>
      <c r="N369" s="929"/>
      <c r="O369" s="933" t="str">
        <f t="shared" si="11"/>
        <v/>
      </c>
      <c r="P369" s="929"/>
    </row>
    <row r="370" spans="1:16" hidden="1">
      <c r="A370" s="1974"/>
      <c r="B370" s="1974"/>
      <c r="C370" s="145" t="str">
        <f t="shared" si="10"/>
        <v/>
      </c>
      <c r="D370" s="189"/>
      <c r="E370" s="923"/>
      <c r="F370" s="923"/>
      <c r="G370" s="934"/>
      <c r="H370" s="934"/>
      <c r="I370" s="934"/>
      <c r="J370" s="934"/>
      <c r="K370" s="934"/>
      <c r="L370" s="934"/>
      <c r="M370" s="934"/>
      <c r="N370" s="929"/>
      <c r="O370" s="933" t="str">
        <f t="shared" si="11"/>
        <v/>
      </c>
      <c r="P370" s="929"/>
    </row>
    <row r="371" spans="1:16" hidden="1">
      <c r="A371" s="1974"/>
      <c r="B371" s="1974"/>
      <c r="C371" s="145" t="str">
        <f t="shared" si="10"/>
        <v/>
      </c>
      <c r="D371" s="189"/>
      <c r="E371" s="923"/>
      <c r="F371" s="923"/>
      <c r="G371" s="934"/>
      <c r="H371" s="934"/>
      <c r="I371" s="934"/>
      <c r="J371" s="934"/>
      <c r="K371" s="934"/>
      <c r="L371" s="934"/>
      <c r="M371" s="934"/>
      <c r="N371" s="929"/>
      <c r="O371" s="933" t="str">
        <f t="shared" si="11"/>
        <v/>
      </c>
      <c r="P371" s="929"/>
    </row>
    <row r="372" spans="1:16" hidden="1">
      <c r="A372" s="1974"/>
      <c r="B372" s="1974"/>
      <c r="C372" s="145" t="str">
        <f t="shared" si="10"/>
        <v/>
      </c>
      <c r="D372" s="189"/>
      <c r="E372" s="923"/>
      <c r="F372" s="923"/>
      <c r="G372" s="934"/>
      <c r="H372" s="934"/>
      <c r="I372" s="934"/>
      <c r="J372" s="934"/>
      <c r="K372" s="934"/>
      <c r="L372" s="934"/>
      <c r="M372" s="934"/>
      <c r="N372" s="929"/>
      <c r="O372" s="933" t="str">
        <f t="shared" si="11"/>
        <v/>
      </c>
      <c r="P372" s="929"/>
    </row>
    <row r="373" spans="1:16" hidden="1">
      <c r="A373" s="1974"/>
      <c r="B373" s="1974"/>
      <c r="C373" s="145" t="str">
        <f t="shared" si="10"/>
        <v/>
      </c>
      <c r="D373" s="189"/>
      <c r="E373" s="923"/>
      <c r="F373" s="923"/>
      <c r="G373" s="934"/>
      <c r="H373" s="934"/>
      <c r="I373" s="934"/>
      <c r="J373" s="934"/>
      <c r="K373" s="934"/>
      <c r="L373" s="934"/>
      <c r="M373" s="934"/>
      <c r="N373" s="929"/>
      <c r="O373" s="933" t="str">
        <f t="shared" si="11"/>
        <v/>
      </c>
      <c r="P373" s="929"/>
    </row>
    <row r="374" spans="1:16" hidden="1">
      <c r="A374" s="1974"/>
      <c r="B374" s="1974"/>
      <c r="C374" s="145" t="str">
        <f t="shared" si="10"/>
        <v/>
      </c>
      <c r="D374" s="189"/>
      <c r="E374" s="923"/>
      <c r="F374" s="923"/>
      <c r="G374" s="934"/>
      <c r="H374" s="934"/>
      <c r="I374" s="934"/>
      <c r="J374" s="934"/>
      <c r="K374" s="934"/>
      <c r="L374" s="934"/>
      <c r="M374" s="934"/>
      <c r="N374" s="929"/>
      <c r="O374" s="933" t="str">
        <f t="shared" si="11"/>
        <v/>
      </c>
      <c r="P374" s="929"/>
    </row>
    <row r="375" spans="1:16" hidden="1">
      <c r="A375" s="1974"/>
      <c r="B375" s="1974"/>
      <c r="C375" s="145" t="str">
        <f t="shared" si="10"/>
        <v/>
      </c>
      <c r="D375" s="189"/>
      <c r="E375" s="923"/>
      <c r="F375" s="923"/>
      <c r="G375" s="934"/>
      <c r="H375" s="934"/>
      <c r="I375" s="934"/>
      <c r="J375" s="934"/>
      <c r="K375" s="934"/>
      <c r="L375" s="934"/>
      <c r="M375" s="934"/>
      <c r="N375" s="929"/>
      <c r="O375" s="933" t="str">
        <f t="shared" si="11"/>
        <v/>
      </c>
      <c r="P375" s="929"/>
    </row>
    <row r="376" spans="1:16" hidden="1">
      <c r="A376" s="1974"/>
      <c r="B376" s="1974"/>
      <c r="C376" s="145" t="str">
        <f t="shared" si="10"/>
        <v/>
      </c>
      <c r="D376" s="189"/>
      <c r="E376" s="923"/>
      <c r="F376" s="923"/>
      <c r="G376" s="934"/>
      <c r="H376" s="934"/>
      <c r="I376" s="934"/>
      <c r="J376" s="934"/>
      <c r="K376" s="934"/>
      <c r="L376" s="934"/>
      <c r="M376" s="934"/>
      <c r="N376" s="929"/>
      <c r="O376" s="933" t="str">
        <f t="shared" si="11"/>
        <v/>
      </c>
      <c r="P376" s="929"/>
    </row>
    <row r="377" spans="1:16" hidden="1">
      <c r="A377" s="1974"/>
      <c r="B377" s="1974"/>
      <c r="C377" s="145" t="str">
        <f t="shared" si="10"/>
        <v/>
      </c>
      <c r="D377" s="189"/>
      <c r="E377" s="923"/>
      <c r="F377" s="923"/>
      <c r="G377" s="934"/>
      <c r="H377" s="934"/>
      <c r="I377" s="934"/>
      <c r="J377" s="934"/>
      <c r="K377" s="934"/>
      <c r="L377" s="934"/>
      <c r="M377" s="934"/>
      <c r="N377" s="929"/>
      <c r="O377" s="933" t="str">
        <f t="shared" si="11"/>
        <v/>
      </c>
      <c r="P377" s="929"/>
    </row>
    <row r="378" spans="1:16" hidden="1">
      <c r="A378" s="1974"/>
      <c r="B378" s="1974"/>
      <c r="C378" s="145" t="str">
        <f t="shared" si="10"/>
        <v/>
      </c>
      <c r="D378" s="189"/>
      <c r="E378" s="923"/>
      <c r="F378" s="923"/>
      <c r="G378" s="934"/>
      <c r="H378" s="934"/>
      <c r="I378" s="934"/>
      <c r="J378" s="934"/>
      <c r="K378" s="934"/>
      <c r="L378" s="934"/>
      <c r="M378" s="934"/>
      <c r="N378" s="929"/>
      <c r="O378" s="933" t="str">
        <f t="shared" si="11"/>
        <v/>
      </c>
      <c r="P378" s="929"/>
    </row>
    <row r="379" spans="1:16" hidden="1">
      <c r="A379" s="1974"/>
      <c r="B379" s="1974"/>
      <c r="C379" s="145" t="str">
        <f t="shared" si="10"/>
        <v/>
      </c>
      <c r="D379" s="189"/>
      <c r="E379" s="923"/>
      <c r="F379" s="923"/>
      <c r="G379" s="934"/>
      <c r="H379" s="934"/>
      <c r="I379" s="934"/>
      <c r="J379" s="934"/>
      <c r="K379" s="934"/>
      <c r="L379" s="934"/>
      <c r="M379" s="934"/>
      <c r="N379" s="929"/>
      <c r="O379" s="933" t="str">
        <f t="shared" si="11"/>
        <v/>
      </c>
      <c r="P379" s="929"/>
    </row>
    <row r="380" spans="1:16" hidden="1">
      <c r="A380" s="1974"/>
      <c r="B380" s="1974"/>
      <c r="C380" s="145" t="str">
        <f t="shared" si="10"/>
        <v/>
      </c>
      <c r="D380" s="189"/>
      <c r="E380" s="923"/>
      <c r="F380" s="923"/>
      <c r="G380" s="934"/>
      <c r="H380" s="934"/>
      <c r="I380" s="934"/>
      <c r="J380" s="934"/>
      <c r="K380" s="934"/>
      <c r="L380" s="934"/>
      <c r="M380" s="934"/>
      <c r="N380" s="929"/>
      <c r="O380" s="933" t="str">
        <f t="shared" si="11"/>
        <v/>
      </c>
      <c r="P380" s="929"/>
    </row>
    <row r="381" spans="1:16" hidden="1">
      <c r="A381" s="1974"/>
      <c r="B381" s="1974"/>
      <c r="C381" s="145" t="str">
        <f t="shared" si="10"/>
        <v/>
      </c>
      <c r="D381" s="189"/>
      <c r="E381" s="923"/>
      <c r="F381" s="923"/>
      <c r="G381" s="934"/>
      <c r="H381" s="934"/>
      <c r="I381" s="934"/>
      <c r="J381" s="934"/>
      <c r="K381" s="934"/>
      <c r="L381" s="934"/>
      <c r="M381" s="934"/>
      <c r="N381" s="929"/>
      <c r="O381" s="933" t="str">
        <f t="shared" si="11"/>
        <v/>
      </c>
      <c r="P381" s="929"/>
    </row>
    <row r="382" spans="1:16" hidden="1">
      <c r="A382" s="1974"/>
      <c r="B382" s="1974"/>
      <c r="C382" s="145" t="str">
        <f t="shared" si="10"/>
        <v/>
      </c>
      <c r="D382" s="189"/>
      <c r="E382" s="923"/>
      <c r="F382" s="923"/>
      <c r="G382" s="934"/>
      <c r="H382" s="934"/>
      <c r="I382" s="934"/>
      <c r="J382" s="934"/>
      <c r="K382" s="934"/>
      <c r="L382" s="934"/>
      <c r="M382" s="934"/>
      <c r="N382" s="929"/>
      <c r="O382" s="933" t="str">
        <f t="shared" si="11"/>
        <v/>
      </c>
      <c r="P382" s="929"/>
    </row>
    <row r="383" spans="1:16" hidden="1">
      <c r="A383" s="1974"/>
      <c r="B383" s="1974"/>
      <c r="C383" s="145" t="str">
        <f t="shared" si="10"/>
        <v/>
      </c>
      <c r="D383" s="189"/>
      <c r="E383" s="923"/>
      <c r="F383" s="923"/>
      <c r="G383" s="934"/>
      <c r="H383" s="934"/>
      <c r="I383" s="934"/>
      <c r="J383" s="934"/>
      <c r="K383" s="934"/>
      <c r="L383" s="934"/>
      <c r="M383" s="934"/>
      <c r="N383" s="929"/>
      <c r="O383" s="933" t="str">
        <f t="shared" si="11"/>
        <v/>
      </c>
      <c r="P383" s="929"/>
    </row>
    <row r="384" spans="1:16" hidden="1">
      <c r="A384" s="1974"/>
      <c r="B384" s="1974"/>
      <c r="C384" s="145" t="str">
        <f t="shared" si="10"/>
        <v/>
      </c>
      <c r="D384" s="189"/>
      <c r="E384" s="923"/>
      <c r="F384" s="923"/>
      <c r="G384" s="934"/>
      <c r="H384" s="934"/>
      <c r="I384" s="934"/>
      <c r="J384" s="934"/>
      <c r="K384" s="934"/>
      <c r="L384" s="934"/>
      <c r="M384" s="934"/>
      <c r="N384" s="929"/>
      <c r="O384" s="933" t="str">
        <f t="shared" si="11"/>
        <v/>
      </c>
      <c r="P384" s="929"/>
    </row>
    <row r="385" spans="1:16" hidden="1">
      <c r="A385" s="1974"/>
      <c r="B385" s="1974"/>
      <c r="C385" s="145" t="str">
        <f t="shared" si="10"/>
        <v/>
      </c>
      <c r="D385" s="189"/>
      <c r="E385" s="923"/>
      <c r="F385" s="923"/>
      <c r="G385" s="934"/>
      <c r="H385" s="934"/>
      <c r="I385" s="934"/>
      <c r="J385" s="934"/>
      <c r="K385" s="934"/>
      <c r="L385" s="934"/>
      <c r="M385" s="934"/>
      <c r="N385" s="929"/>
      <c r="O385" s="933" t="str">
        <f t="shared" si="11"/>
        <v/>
      </c>
      <c r="P385" s="929"/>
    </row>
    <row r="386" spans="1:16" hidden="1">
      <c r="A386" s="1974"/>
      <c r="B386" s="1974"/>
      <c r="C386" s="145" t="str">
        <f t="shared" si="10"/>
        <v/>
      </c>
      <c r="D386" s="189"/>
      <c r="E386" s="923"/>
      <c r="F386" s="923"/>
      <c r="G386" s="934"/>
      <c r="H386" s="934"/>
      <c r="I386" s="934"/>
      <c r="J386" s="934"/>
      <c r="K386" s="934"/>
      <c r="L386" s="934"/>
      <c r="M386" s="934"/>
      <c r="N386" s="929"/>
      <c r="O386" s="933" t="str">
        <f t="shared" si="11"/>
        <v/>
      </c>
      <c r="P386" s="929"/>
    </row>
    <row r="387" spans="1:16" hidden="1">
      <c r="A387" s="1974"/>
      <c r="B387" s="1974"/>
      <c r="C387" s="145" t="str">
        <f t="shared" si="10"/>
        <v/>
      </c>
      <c r="D387" s="189"/>
      <c r="E387" s="923"/>
      <c r="F387" s="923"/>
      <c r="G387" s="934"/>
      <c r="H387" s="934"/>
      <c r="I387" s="934"/>
      <c r="J387" s="934"/>
      <c r="K387" s="934"/>
      <c r="L387" s="934"/>
      <c r="M387" s="934"/>
      <c r="N387" s="929"/>
      <c r="O387" s="933" t="str">
        <f t="shared" si="11"/>
        <v/>
      </c>
      <c r="P387" s="929"/>
    </row>
    <row r="388" spans="1:16" hidden="1">
      <c r="A388" s="1974"/>
      <c r="B388" s="1974"/>
      <c r="C388" s="145" t="str">
        <f t="shared" si="10"/>
        <v/>
      </c>
      <c r="D388" s="189"/>
      <c r="E388" s="923"/>
      <c r="F388" s="923"/>
      <c r="G388" s="934"/>
      <c r="H388" s="934"/>
      <c r="I388" s="934"/>
      <c r="J388" s="934"/>
      <c r="K388" s="934"/>
      <c r="L388" s="934"/>
      <c r="M388" s="934"/>
      <c r="N388" s="929"/>
      <c r="O388" s="933" t="str">
        <f t="shared" si="11"/>
        <v/>
      </c>
      <c r="P388" s="929"/>
    </row>
    <row r="389" spans="1:16" hidden="1">
      <c r="A389" s="1974"/>
      <c r="B389" s="1974"/>
      <c r="C389" s="145" t="str">
        <f t="shared" si="10"/>
        <v/>
      </c>
      <c r="D389" s="189"/>
      <c r="E389" s="923"/>
      <c r="F389" s="923"/>
      <c r="G389" s="934"/>
      <c r="H389" s="934"/>
      <c r="I389" s="934"/>
      <c r="J389" s="934"/>
      <c r="K389" s="934"/>
      <c r="L389" s="934"/>
      <c r="M389" s="934"/>
      <c r="N389" s="929"/>
      <c r="O389" s="933" t="str">
        <f t="shared" si="11"/>
        <v/>
      </c>
      <c r="P389" s="929"/>
    </row>
    <row r="390" spans="1:16" hidden="1">
      <c r="A390" s="1974"/>
      <c r="B390" s="1974"/>
      <c r="C390" s="145" t="str">
        <f t="shared" si="10"/>
        <v/>
      </c>
      <c r="D390" s="189"/>
      <c r="E390" s="923"/>
      <c r="F390" s="923"/>
      <c r="G390" s="934"/>
      <c r="H390" s="934"/>
      <c r="I390" s="934"/>
      <c r="J390" s="934"/>
      <c r="K390" s="934"/>
      <c r="L390" s="934"/>
      <c r="M390" s="934"/>
      <c r="N390" s="929"/>
      <c r="O390" s="933" t="str">
        <f t="shared" si="11"/>
        <v/>
      </c>
      <c r="P390" s="929"/>
    </row>
    <row r="391" spans="1:16" hidden="1">
      <c r="A391" s="1974"/>
      <c r="B391" s="1974"/>
      <c r="C391" s="145" t="str">
        <f t="shared" si="10"/>
        <v/>
      </c>
      <c r="D391" s="189"/>
      <c r="E391" s="923"/>
      <c r="F391" s="923"/>
      <c r="G391" s="934"/>
      <c r="H391" s="934"/>
      <c r="I391" s="934"/>
      <c r="J391" s="934"/>
      <c r="K391" s="934"/>
      <c r="L391" s="934"/>
      <c r="M391" s="934"/>
      <c r="N391" s="929"/>
      <c r="O391" s="933" t="str">
        <f t="shared" si="11"/>
        <v/>
      </c>
      <c r="P391" s="929"/>
    </row>
    <row r="392" spans="1:16" hidden="1">
      <c r="A392" s="1974"/>
      <c r="B392" s="1974"/>
      <c r="C392" s="145" t="str">
        <f t="shared" si="10"/>
        <v/>
      </c>
      <c r="D392" s="189"/>
      <c r="E392" s="923"/>
      <c r="F392" s="923"/>
      <c r="G392" s="934"/>
      <c r="H392" s="934"/>
      <c r="I392" s="934"/>
      <c r="J392" s="934"/>
      <c r="K392" s="934"/>
      <c r="L392" s="934"/>
      <c r="M392" s="934"/>
      <c r="N392" s="929"/>
      <c r="O392" s="933" t="str">
        <f t="shared" si="11"/>
        <v/>
      </c>
      <c r="P392" s="929"/>
    </row>
    <row r="393" spans="1:16" hidden="1">
      <c r="A393" s="1974"/>
      <c r="B393" s="1974"/>
      <c r="C393" s="145" t="str">
        <f t="shared" si="10"/>
        <v/>
      </c>
      <c r="D393" s="189"/>
      <c r="E393" s="923"/>
      <c r="F393" s="923"/>
      <c r="G393" s="934"/>
      <c r="H393" s="934"/>
      <c r="I393" s="934"/>
      <c r="J393" s="934"/>
      <c r="K393" s="934"/>
      <c r="L393" s="934"/>
      <c r="M393" s="934"/>
      <c r="N393" s="929"/>
      <c r="O393" s="933" t="str">
        <f t="shared" si="11"/>
        <v/>
      </c>
      <c r="P393" s="929"/>
    </row>
    <row r="394" spans="1:16" hidden="1">
      <c r="A394" s="1974"/>
      <c r="B394" s="1974"/>
      <c r="C394" s="145" t="str">
        <f t="shared" si="10"/>
        <v/>
      </c>
      <c r="D394" s="189"/>
      <c r="E394" s="923"/>
      <c r="F394" s="923"/>
      <c r="G394" s="934"/>
      <c r="H394" s="934"/>
      <c r="I394" s="934"/>
      <c r="J394" s="934"/>
      <c r="K394" s="934"/>
      <c r="L394" s="934"/>
      <c r="M394" s="934"/>
      <c r="N394" s="929"/>
      <c r="O394" s="933" t="str">
        <f t="shared" si="11"/>
        <v/>
      </c>
      <c r="P394" s="929"/>
    </row>
    <row r="395" spans="1:16" hidden="1">
      <c r="A395" s="1974"/>
      <c r="B395" s="1974"/>
      <c r="C395" s="145" t="str">
        <f t="shared" si="10"/>
        <v/>
      </c>
      <c r="D395" s="189"/>
      <c r="E395" s="923"/>
      <c r="F395" s="923"/>
      <c r="G395" s="934"/>
      <c r="H395" s="934"/>
      <c r="I395" s="934"/>
      <c r="J395" s="934"/>
      <c r="K395" s="934"/>
      <c r="L395" s="934"/>
      <c r="M395" s="934"/>
      <c r="N395" s="929"/>
      <c r="O395" s="933" t="str">
        <f t="shared" si="11"/>
        <v/>
      </c>
      <c r="P395" s="929"/>
    </row>
    <row r="396" spans="1:16" hidden="1">
      <c r="A396" s="1974"/>
      <c r="B396" s="1974"/>
      <c r="C396" s="145" t="str">
        <f t="shared" si="10"/>
        <v/>
      </c>
      <c r="D396" s="189"/>
      <c r="E396" s="923"/>
      <c r="F396" s="923"/>
      <c r="G396" s="934"/>
      <c r="H396" s="934"/>
      <c r="I396" s="934"/>
      <c r="J396" s="934"/>
      <c r="K396" s="934"/>
      <c r="L396" s="934"/>
      <c r="M396" s="934"/>
      <c r="N396" s="929"/>
      <c r="O396" s="933" t="str">
        <f t="shared" si="11"/>
        <v/>
      </c>
      <c r="P396" s="929"/>
    </row>
    <row r="397" spans="1:16" hidden="1">
      <c r="A397" s="1974"/>
      <c r="B397" s="1974"/>
      <c r="C397" s="145" t="str">
        <f t="shared" si="10"/>
        <v/>
      </c>
      <c r="D397" s="189"/>
      <c r="E397" s="923"/>
      <c r="F397" s="923"/>
      <c r="G397" s="934"/>
      <c r="H397" s="934"/>
      <c r="I397" s="934"/>
      <c r="J397" s="934"/>
      <c r="K397" s="934"/>
      <c r="L397" s="934"/>
      <c r="M397" s="934"/>
      <c r="N397" s="929"/>
      <c r="O397" s="933" t="str">
        <f t="shared" si="11"/>
        <v/>
      </c>
      <c r="P397" s="929"/>
    </row>
    <row r="398" spans="1:16" hidden="1">
      <c r="A398" s="1974"/>
      <c r="B398" s="1974"/>
      <c r="C398" s="145" t="str">
        <f t="shared" si="10"/>
        <v/>
      </c>
      <c r="D398" s="189"/>
      <c r="E398" s="923"/>
      <c r="F398" s="923"/>
      <c r="G398" s="934"/>
      <c r="H398" s="934"/>
      <c r="I398" s="934"/>
      <c r="J398" s="934"/>
      <c r="K398" s="934"/>
      <c r="L398" s="934"/>
      <c r="M398" s="934"/>
      <c r="N398" s="929"/>
      <c r="O398" s="933" t="str">
        <f t="shared" si="11"/>
        <v/>
      </c>
      <c r="P398" s="929"/>
    </row>
    <row r="399" spans="1:16" hidden="1">
      <c r="A399" s="1974"/>
      <c r="B399" s="1974"/>
      <c r="C399" s="145" t="str">
        <f t="shared" si="10"/>
        <v/>
      </c>
      <c r="D399" s="189"/>
      <c r="E399" s="923"/>
      <c r="F399" s="923"/>
      <c r="G399" s="934"/>
      <c r="H399" s="934"/>
      <c r="I399" s="934"/>
      <c r="J399" s="934"/>
      <c r="K399" s="934"/>
      <c r="L399" s="934"/>
      <c r="M399" s="934"/>
      <c r="N399" s="929"/>
      <c r="O399" s="933" t="str">
        <f t="shared" si="11"/>
        <v/>
      </c>
      <c r="P399" s="929"/>
    </row>
    <row r="400" spans="1:16" hidden="1">
      <c r="A400" s="1974"/>
      <c r="B400" s="1974"/>
      <c r="C400" s="145" t="str">
        <f t="shared" ref="C400:C463" si="12">IF(A400&lt;&gt;"",ROW(),"")</f>
        <v/>
      </c>
      <c r="D400" s="189"/>
      <c r="E400" s="923"/>
      <c r="F400" s="923"/>
      <c r="G400" s="934"/>
      <c r="H400" s="934"/>
      <c r="I400" s="934"/>
      <c r="J400" s="934"/>
      <c r="K400" s="934"/>
      <c r="L400" s="934"/>
      <c r="M400" s="934"/>
      <c r="N400" s="929"/>
      <c r="O400" s="933" t="str">
        <f t="shared" si="11"/>
        <v/>
      </c>
      <c r="P400" s="929"/>
    </row>
    <row r="401" spans="1:16" hidden="1">
      <c r="A401" s="1974"/>
      <c r="B401" s="1974"/>
      <c r="C401" s="145" t="str">
        <f t="shared" si="12"/>
        <v/>
      </c>
      <c r="D401" s="189"/>
      <c r="E401" s="923"/>
      <c r="F401" s="923"/>
      <c r="G401" s="934"/>
      <c r="H401" s="934"/>
      <c r="I401" s="934"/>
      <c r="J401" s="934"/>
      <c r="K401" s="934"/>
      <c r="L401" s="934"/>
      <c r="M401" s="934"/>
      <c r="N401" s="929"/>
      <c r="O401" s="933" t="str">
        <f t="shared" ref="O401:O464" si="13">IF(A401&lt;&gt;"",A401,"")</f>
        <v/>
      </c>
      <c r="P401" s="929"/>
    </row>
    <row r="402" spans="1:16" hidden="1">
      <c r="A402" s="1974"/>
      <c r="B402" s="1974"/>
      <c r="C402" s="145" t="str">
        <f t="shared" si="12"/>
        <v/>
      </c>
      <c r="D402" s="189"/>
      <c r="E402" s="923"/>
      <c r="F402" s="923"/>
      <c r="G402" s="934"/>
      <c r="H402" s="934"/>
      <c r="I402" s="934"/>
      <c r="J402" s="934"/>
      <c r="K402" s="934"/>
      <c r="L402" s="934"/>
      <c r="M402" s="934"/>
      <c r="N402" s="929"/>
      <c r="O402" s="933" t="str">
        <f t="shared" si="13"/>
        <v/>
      </c>
      <c r="P402" s="929"/>
    </row>
    <row r="403" spans="1:16" hidden="1">
      <c r="A403" s="1974"/>
      <c r="B403" s="1974"/>
      <c r="C403" s="145" t="str">
        <f t="shared" si="12"/>
        <v/>
      </c>
      <c r="D403" s="189"/>
      <c r="E403" s="923"/>
      <c r="F403" s="923"/>
      <c r="G403" s="934"/>
      <c r="H403" s="934"/>
      <c r="I403" s="934"/>
      <c r="J403" s="934"/>
      <c r="K403" s="934"/>
      <c r="L403" s="934"/>
      <c r="M403" s="934"/>
      <c r="N403" s="929"/>
      <c r="O403" s="933" t="str">
        <f t="shared" si="13"/>
        <v/>
      </c>
      <c r="P403" s="929"/>
    </row>
    <row r="404" spans="1:16" hidden="1">
      <c r="A404" s="1974"/>
      <c r="B404" s="1974"/>
      <c r="C404" s="145" t="str">
        <f t="shared" si="12"/>
        <v/>
      </c>
      <c r="D404" s="189"/>
      <c r="E404" s="923"/>
      <c r="F404" s="923"/>
      <c r="G404" s="934"/>
      <c r="H404" s="934"/>
      <c r="I404" s="934"/>
      <c r="J404" s="934"/>
      <c r="K404" s="934"/>
      <c r="L404" s="934"/>
      <c r="M404" s="934"/>
      <c r="N404" s="929"/>
      <c r="O404" s="933" t="str">
        <f t="shared" si="13"/>
        <v/>
      </c>
      <c r="P404" s="929"/>
    </row>
    <row r="405" spans="1:16" hidden="1">
      <c r="A405" s="1974"/>
      <c r="B405" s="1974"/>
      <c r="C405" s="145" t="str">
        <f t="shared" si="12"/>
        <v/>
      </c>
      <c r="D405" s="189"/>
      <c r="E405" s="923"/>
      <c r="F405" s="923"/>
      <c r="G405" s="934"/>
      <c r="H405" s="934"/>
      <c r="I405" s="934"/>
      <c r="J405" s="934"/>
      <c r="K405" s="934"/>
      <c r="L405" s="934"/>
      <c r="M405" s="934"/>
      <c r="N405" s="929"/>
      <c r="O405" s="933" t="str">
        <f t="shared" si="13"/>
        <v/>
      </c>
      <c r="P405" s="929"/>
    </row>
    <row r="406" spans="1:16" hidden="1">
      <c r="A406" s="1974"/>
      <c r="B406" s="1974"/>
      <c r="C406" s="145" t="str">
        <f t="shared" si="12"/>
        <v/>
      </c>
      <c r="D406" s="189"/>
      <c r="E406" s="923"/>
      <c r="F406" s="923"/>
      <c r="G406" s="934"/>
      <c r="H406" s="934"/>
      <c r="I406" s="934"/>
      <c r="J406" s="934"/>
      <c r="K406" s="934"/>
      <c r="L406" s="934"/>
      <c r="M406" s="934"/>
      <c r="N406" s="929"/>
      <c r="O406" s="933" t="str">
        <f t="shared" si="13"/>
        <v/>
      </c>
      <c r="P406" s="929"/>
    </row>
    <row r="407" spans="1:16" hidden="1">
      <c r="A407" s="1974"/>
      <c r="B407" s="1974"/>
      <c r="C407" s="145" t="str">
        <f t="shared" si="12"/>
        <v/>
      </c>
      <c r="D407" s="189"/>
      <c r="E407" s="923"/>
      <c r="F407" s="923"/>
      <c r="G407" s="934"/>
      <c r="H407" s="934"/>
      <c r="I407" s="934"/>
      <c r="J407" s="934"/>
      <c r="K407" s="934"/>
      <c r="L407" s="934"/>
      <c r="M407" s="934"/>
      <c r="N407" s="929"/>
      <c r="O407" s="933" t="str">
        <f t="shared" si="13"/>
        <v/>
      </c>
      <c r="P407" s="929"/>
    </row>
    <row r="408" spans="1:16" hidden="1">
      <c r="A408" s="1974"/>
      <c r="B408" s="1974"/>
      <c r="C408" s="145" t="str">
        <f t="shared" si="12"/>
        <v/>
      </c>
      <c r="D408" s="189"/>
      <c r="E408" s="923"/>
      <c r="F408" s="923"/>
      <c r="G408" s="934"/>
      <c r="H408" s="934"/>
      <c r="I408" s="934"/>
      <c r="J408" s="934"/>
      <c r="K408" s="934"/>
      <c r="L408" s="934"/>
      <c r="M408" s="934"/>
      <c r="N408" s="929"/>
      <c r="O408" s="933" t="str">
        <f t="shared" si="13"/>
        <v/>
      </c>
      <c r="P408" s="929"/>
    </row>
    <row r="409" spans="1:16" hidden="1">
      <c r="A409" s="1974"/>
      <c r="B409" s="1974"/>
      <c r="C409" s="145" t="str">
        <f t="shared" si="12"/>
        <v/>
      </c>
      <c r="D409" s="189"/>
      <c r="E409" s="923"/>
      <c r="F409" s="923"/>
      <c r="G409" s="934"/>
      <c r="H409" s="934"/>
      <c r="I409" s="934"/>
      <c r="J409" s="934"/>
      <c r="K409" s="934"/>
      <c r="L409" s="934"/>
      <c r="M409" s="934"/>
      <c r="N409" s="929"/>
      <c r="O409" s="933" t="str">
        <f t="shared" si="13"/>
        <v/>
      </c>
      <c r="P409" s="929"/>
    </row>
    <row r="410" spans="1:16" hidden="1">
      <c r="A410" s="1974"/>
      <c r="B410" s="1974"/>
      <c r="C410" s="145" t="str">
        <f t="shared" si="12"/>
        <v/>
      </c>
      <c r="D410" s="189"/>
      <c r="E410" s="923"/>
      <c r="F410" s="923"/>
      <c r="G410" s="934"/>
      <c r="H410" s="934"/>
      <c r="I410" s="934"/>
      <c r="J410" s="934"/>
      <c r="K410" s="934"/>
      <c r="L410" s="934"/>
      <c r="M410" s="934"/>
      <c r="N410" s="929"/>
      <c r="O410" s="933" t="str">
        <f t="shared" si="13"/>
        <v/>
      </c>
      <c r="P410" s="929"/>
    </row>
    <row r="411" spans="1:16" hidden="1">
      <c r="A411" s="1974"/>
      <c r="B411" s="1974"/>
      <c r="C411" s="145" t="str">
        <f t="shared" si="12"/>
        <v/>
      </c>
      <c r="D411" s="189"/>
      <c r="E411" s="923"/>
      <c r="F411" s="923"/>
      <c r="G411" s="934"/>
      <c r="H411" s="934"/>
      <c r="I411" s="934"/>
      <c r="J411" s="934"/>
      <c r="K411" s="934"/>
      <c r="L411" s="934"/>
      <c r="M411" s="934"/>
      <c r="N411" s="929"/>
      <c r="O411" s="933" t="str">
        <f t="shared" si="13"/>
        <v/>
      </c>
      <c r="P411" s="929"/>
    </row>
    <row r="412" spans="1:16" hidden="1">
      <c r="A412" s="1974"/>
      <c r="B412" s="1974"/>
      <c r="C412" s="145" t="str">
        <f t="shared" si="12"/>
        <v/>
      </c>
      <c r="D412" s="189"/>
      <c r="E412" s="923"/>
      <c r="F412" s="923"/>
      <c r="G412" s="934"/>
      <c r="H412" s="934"/>
      <c r="I412" s="934"/>
      <c r="J412" s="934"/>
      <c r="K412" s="934"/>
      <c r="L412" s="934"/>
      <c r="M412" s="934"/>
      <c r="N412" s="929"/>
      <c r="O412" s="933" t="str">
        <f t="shared" si="13"/>
        <v/>
      </c>
      <c r="P412" s="929"/>
    </row>
    <row r="413" spans="1:16" hidden="1">
      <c r="A413" s="1974"/>
      <c r="B413" s="1974"/>
      <c r="C413" s="145" t="str">
        <f t="shared" si="12"/>
        <v/>
      </c>
      <c r="D413" s="189"/>
      <c r="E413" s="923"/>
      <c r="F413" s="923"/>
      <c r="G413" s="934"/>
      <c r="H413" s="934"/>
      <c r="I413" s="934"/>
      <c r="J413" s="934"/>
      <c r="K413" s="934"/>
      <c r="L413" s="934"/>
      <c r="M413" s="934"/>
      <c r="N413" s="929"/>
      <c r="O413" s="933" t="str">
        <f t="shared" si="13"/>
        <v/>
      </c>
      <c r="P413" s="929"/>
    </row>
    <row r="414" spans="1:16" hidden="1">
      <c r="A414" s="1974"/>
      <c r="B414" s="1974"/>
      <c r="C414" s="145" t="str">
        <f t="shared" si="12"/>
        <v/>
      </c>
      <c r="D414" s="189"/>
      <c r="E414" s="923"/>
      <c r="F414" s="923"/>
      <c r="G414" s="934"/>
      <c r="H414" s="934"/>
      <c r="I414" s="934"/>
      <c r="J414" s="934"/>
      <c r="K414" s="934"/>
      <c r="L414" s="934"/>
      <c r="M414" s="934"/>
      <c r="N414" s="929"/>
      <c r="O414" s="933" t="str">
        <f t="shared" si="13"/>
        <v/>
      </c>
      <c r="P414" s="929"/>
    </row>
    <row r="415" spans="1:16" hidden="1">
      <c r="A415" s="1974"/>
      <c r="B415" s="1974"/>
      <c r="C415" s="145" t="str">
        <f t="shared" si="12"/>
        <v/>
      </c>
      <c r="D415" s="189"/>
      <c r="E415" s="923"/>
      <c r="F415" s="923"/>
      <c r="G415" s="934"/>
      <c r="H415" s="934"/>
      <c r="I415" s="934"/>
      <c r="J415" s="934"/>
      <c r="K415" s="934"/>
      <c r="L415" s="934"/>
      <c r="M415" s="934"/>
      <c r="N415" s="929"/>
      <c r="O415" s="933" t="str">
        <f t="shared" si="13"/>
        <v/>
      </c>
      <c r="P415" s="929"/>
    </row>
    <row r="416" spans="1:16" hidden="1">
      <c r="A416" s="1974"/>
      <c r="B416" s="1974"/>
      <c r="C416" s="145" t="str">
        <f t="shared" si="12"/>
        <v/>
      </c>
      <c r="D416" s="189"/>
      <c r="E416" s="923"/>
      <c r="F416" s="923"/>
      <c r="G416" s="934"/>
      <c r="H416" s="934"/>
      <c r="I416" s="934"/>
      <c r="J416" s="934"/>
      <c r="K416" s="934"/>
      <c r="L416" s="934"/>
      <c r="M416" s="934"/>
      <c r="N416" s="929"/>
      <c r="O416" s="933" t="str">
        <f t="shared" si="13"/>
        <v/>
      </c>
      <c r="P416" s="929"/>
    </row>
    <row r="417" spans="1:16" hidden="1">
      <c r="A417" s="1974"/>
      <c r="B417" s="1974"/>
      <c r="C417" s="145" t="str">
        <f t="shared" si="12"/>
        <v/>
      </c>
      <c r="D417" s="189"/>
      <c r="E417" s="923"/>
      <c r="F417" s="923"/>
      <c r="G417" s="934"/>
      <c r="H417" s="934"/>
      <c r="I417" s="934"/>
      <c r="J417" s="934"/>
      <c r="K417" s="934"/>
      <c r="L417" s="934"/>
      <c r="M417" s="934"/>
      <c r="N417" s="929"/>
      <c r="O417" s="933" t="str">
        <f t="shared" si="13"/>
        <v/>
      </c>
      <c r="P417" s="929"/>
    </row>
    <row r="418" spans="1:16" hidden="1">
      <c r="A418" s="1974"/>
      <c r="B418" s="1974"/>
      <c r="C418" s="145" t="str">
        <f t="shared" si="12"/>
        <v/>
      </c>
      <c r="D418" s="189"/>
      <c r="E418" s="923"/>
      <c r="F418" s="923"/>
      <c r="G418" s="934"/>
      <c r="H418" s="934"/>
      <c r="I418" s="934"/>
      <c r="J418" s="934"/>
      <c r="K418" s="934"/>
      <c r="L418" s="934"/>
      <c r="M418" s="934"/>
      <c r="N418" s="929"/>
      <c r="O418" s="933" t="str">
        <f t="shared" si="13"/>
        <v/>
      </c>
      <c r="P418" s="929"/>
    </row>
    <row r="419" spans="1:16" hidden="1">
      <c r="A419" s="1974"/>
      <c r="B419" s="1974"/>
      <c r="C419" s="145" t="str">
        <f t="shared" si="12"/>
        <v/>
      </c>
      <c r="D419" s="189"/>
      <c r="E419" s="923"/>
      <c r="F419" s="923"/>
      <c r="G419" s="934"/>
      <c r="H419" s="934"/>
      <c r="I419" s="934"/>
      <c r="J419" s="934"/>
      <c r="K419" s="934"/>
      <c r="L419" s="934"/>
      <c r="M419" s="934"/>
      <c r="N419" s="929"/>
      <c r="O419" s="933" t="str">
        <f t="shared" si="13"/>
        <v/>
      </c>
      <c r="P419" s="929"/>
    </row>
    <row r="420" spans="1:16" hidden="1">
      <c r="A420" s="1974"/>
      <c r="B420" s="1974"/>
      <c r="C420" s="145" t="str">
        <f t="shared" si="12"/>
        <v/>
      </c>
      <c r="D420" s="189"/>
      <c r="E420" s="923"/>
      <c r="F420" s="923"/>
      <c r="G420" s="934"/>
      <c r="H420" s="934"/>
      <c r="I420" s="934"/>
      <c r="J420" s="934"/>
      <c r="K420" s="934"/>
      <c r="L420" s="934"/>
      <c r="M420" s="934"/>
      <c r="N420" s="929"/>
      <c r="O420" s="933" t="str">
        <f t="shared" si="13"/>
        <v/>
      </c>
      <c r="P420" s="929"/>
    </row>
    <row r="421" spans="1:16" hidden="1">
      <c r="A421" s="1974"/>
      <c r="B421" s="1974"/>
      <c r="C421" s="145" t="str">
        <f t="shared" si="12"/>
        <v/>
      </c>
      <c r="D421" s="189"/>
      <c r="E421" s="923"/>
      <c r="F421" s="923"/>
      <c r="G421" s="934"/>
      <c r="H421" s="934"/>
      <c r="I421" s="934"/>
      <c r="J421" s="934"/>
      <c r="K421" s="934"/>
      <c r="L421" s="934"/>
      <c r="M421" s="934"/>
      <c r="N421" s="929"/>
      <c r="O421" s="933" t="str">
        <f t="shared" si="13"/>
        <v/>
      </c>
      <c r="P421" s="929"/>
    </row>
    <row r="422" spans="1:16" hidden="1">
      <c r="A422" s="1974"/>
      <c r="B422" s="1974"/>
      <c r="C422" s="145" t="str">
        <f t="shared" si="12"/>
        <v/>
      </c>
      <c r="D422" s="189"/>
      <c r="E422" s="923"/>
      <c r="F422" s="923"/>
      <c r="G422" s="934"/>
      <c r="H422" s="934"/>
      <c r="I422" s="934"/>
      <c r="J422" s="934"/>
      <c r="K422" s="934"/>
      <c r="L422" s="934"/>
      <c r="M422" s="934"/>
      <c r="N422" s="929"/>
      <c r="O422" s="933" t="str">
        <f t="shared" si="13"/>
        <v/>
      </c>
      <c r="P422" s="929"/>
    </row>
    <row r="423" spans="1:16" hidden="1">
      <c r="A423" s="1974"/>
      <c r="B423" s="1974"/>
      <c r="C423" s="145" t="str">
        <f t="shared" si="12"/>
        <v/>
      </c>
      <c r="D423" s="189"/>
      <c r="E423" s="923"/>
      <c r="F423" s="923"/>
      <c r="G423" s="934"/>
      <c r="H423" s="934"/>
      <c r="I423" s="934"/>
      <c r="J423" s="934"/>
      <c r="K423" s="934"/>
      <c r="L423" s="934"/>
      <c r="M423" s="934"/>
      <c r="N423" s="929"/>
      <c r="O423" s="933" t="str">
        <f t="shared" si="13"/>
        <v/>
      </c>
      <c r="P423" s="929"/>
    </row>
    <row r="424" spans="1:16" hidden="1">
      <c r="A424" s="1974"/>
      <c r="B424" s="1974"/>
      <c r="C424" s="145" t="str">
        <f t="shared" si="12"/>
        <v/>
      </c>
      <c r="D424" s="189"/>
      <c r="E424" s="923"/>
      <c r="F424" s="923"/>
      <c r="G424" s="934"/>
      <c r="H424" s="934"/>
      <c r="I424" s="934"/>
      <c r="J424" s="934"/>
      <c r="K424" s="934"/>
      <c r="L424" s="934"/>
      <c r="M424" s="934"/>
      <c r="N424" s="929"/>
      <c r="O424" s="933" t="str">
        <f t="shared" si="13"/>
        <v/>
      </c>
      <c r="P424" s="929"/>
    </row>
    <row r="425" spans="1:16" hidden="1">
      <c r="A425" s="1974"/>
      <c r="B425" s="1974"/>
      <c r="C425" s="145" t="str">
        <f t="shared" si="12"/>
        <v/>
      </c>
      <c r="D425" s="189"/>
      <c r="E425" s="923"/>
      <c r="F425" s="923"/>
      <c r="G425" s="934"/>
      <c r="H425" s="934"/>
      <c r="I425" s="934"/>
      <c r="J425" s="934"/>
      <c r="K425" s="934"/>
      <c r="L425" s="934"/>
      <c r="M425" s="934"/>
      <c r="N425" s="929"/>
      <c r="O425" s="933" t="str">
        <f t="shared" si="13"/>
        <v/>
      </c>
      <c r="P425" s="929"/>
    </row>
    <row r="426" spans="1:16" hidden="1">
      <c r="A426" s="1974"/>
      <c r="B426" s="1974"/>
      <c r="C426" s="145" t="str">
        <f t="shared" si="12"/>
        <v/>
      </c>
      <c r="D426" s="189"/>
      <c r="E426" s="923"/>
      <c r="F426" s="923"/>
      <c r="G426" s="934"/>
      <c r="H426" s="934"/>
      <c r="I426" s="934"/>
      <c r="J426" s="934"/>
      <c r="K426" s="934"/>
      <c r="L426" s="934"/>
      <c r="M426" s="934"/>
      <c r="N426" s="929"/>
      <c r="O426" s="933" t="str">
        <f t="shared" si="13"/>
        <v/>
      </c>
      <c r="P426" s="929"/>
    </row>
    <row r="427" spans="1:16" hidden="1">
      <c r="A427" s="1974"/>
      <c r="B427" s="1974"/>
      <c r="C427" s="145" t="str">
        <f t="shared" si="12"/>
        <v/>
      </c>
      <c r="D427" s="189"/>
      <c r="E427" s="923"/>
      <c r="F427" s="923"/>
      <c r="G427" s="934"/>
      <c r="H427" s="934"/>
      <c r="I427" s="934"/>
      <c r="J427" s="934"/>
      <c r="K427" s="934"/>
      <c r="L427" s="934"/>
      <c r="M427" s="934"/>
      <c r="N427" s="929"/>
      <c r="O427" s="933" t="str">
        <f t="shared" si="13"/>
        <v/>
      </c>
      <c r="P427" s="929"/>
    </row>
    <row r="428" spans="1:16" hidden="1">
      <c r="A428" s="1974"/>
      <c r="B428" s="1974"/>
      <c r="C428" s="145" t="str">
        <f t="shared" si="12"/>
        <v/>
      </c>
      <c r="D428" s="189"/>
      <c r="E428" s="923"/>
      <c r="F428" s="923"/>
      <c r="G428" s="934"/>
      <c r="H428" s="934"/>
      <c r="I428" s="934"/>
      <c r="J428" s="934"/>
      <c r="K428" s="934"/>
      <c r="L428" s="934"/>
      <c r="M428" s="934"/>
      <c r="N428" s="929"/>
      <c r="O428" s="933" t="str">
        <f t="shared" si="13"/>
        <v/>
      </c>
      <c r="P428" s="929"/>
    </row>
    <row r="429" spans="1:16" hidden="1">
      <c r="A429" s="1974"/>
      <c r="B429" s="1974"/>
      <c r="C429" s="145" t="str">
        <f t="shared" si="12"/>
        <v/>
      </c>
      <c r="D429" s="189"/>
      <c r="E429" s="923"/>
      <c r="F429" s="923"/>
      <c r="G429" s="934"/>
      <c r="H429" s="934"/>
      <c r="I429" s="934"/>
      <c r="J429" s="934"/>
      <c r="K429" s="934"/>
      <c r="L429" s="934"/>
      <c r="M429" s="934"/>
      <c r="N429" s="929"/>
      <c r="O429" s="933" t="str">
        <f t="shared" si="13"/>
        <v/>
      </c>
      <c r="P429" s="929"/>
    </row>
    <row r="430" spans="1:16" hidden="1">
      <c r="A430" s="1974"/>
      <c r="B430" s="1974"/>
      <c r="C430" s="145" t="str">
        <f t="shared" si="12"/>
        <v/>
      </c>
      <c r="D430" s="189"/>
      <c r="E430" s="923"/>
      <c r="F430" s="923"/>
      <c r="G430" s="934"/>
      <c r="H430" s="934"/>
      <c r="I430" s="934"/>
      <c r="J430" s="934"/>
      <c r="K430" s="934"/>
      <c r="L430" s="934"/>
      <c r="M430" s="934"/>
      <c r="N430" s="929"/>
      <c r="O430" s="933" t="str">
        <f t="shared" si="13"/>
        <v/>
      </c>
      <c r="P430" s="929"/>
    </row>
    <row r="431" spans="1:16" hidden="1">
      <c r="A431" s="1974"/>
      <c r="B431" s="1974"/>
      <c r="C431" s="145" t="str">
        <f t="shared" si="12"/>
        <v/>
      </c>
      <c r="D431" s="189"/>
      <c r="E431" s="923"/>
      <c r="F431" s="923"/>
      <c r="G431" s="934"/>
      <c r="H431" s="934"/>
      <c r="I431" s="934"/>
      <c r="J431" s="934"/>
      <c r="K431" s="934"/>
      <c r="L431" s="934"/>
      <c r="M431" s="934"/>
      <c r="N431" s="929"/>
      <c r="O431" s="933" t="str">
        <f t="shared" si="13"/>
        <v/>
      </c>
      <c r="P431" s="929"/>
    </row>
    <row r="432" spans="1:16" hidden="1">
      <c r="A432" s="1974"/>
      <c r="B432" s="1974"/>
      <c r="C432" s="145" t="str">
        <f t="shared" si="12"/>
        <v/>
      </c>
      <c r="D432" s="189"/>
      <c r="E432" s="923"/>
      <c r="F432" s="923"/>
      <c r="G432" s="934"/>
      <c r="H432" s="934"/>
      <c r="I432" s="934"/>
      <c r="J432" s="934"/>
      <c r="K432" s="934"/>
      <c r="L432" s="934"/>
      <c r="M432" s="934"/>
      <c r="N432" s="929"/>
      <c r="O432" s="933" t="str">
        <f t="shared" si="13"/>
        <v/>
      </c>
      <c r="P432" s="929"/>
    </row>
    <row r="433" spans="1:16" hidden="1">
      <c r="A433" s="1974"/>
      <c r="B433" s="1974"/>
      <c r="C433" s="145" t="str">
        <f t="shared" si="12"/>
        <v/>
      </c>
      <c r="D433" s="189"/>
      <c r="E433" s="923"/>
      <c r="F433" s="923"/>
      <c r="G433" s="934"/>
      <c r="H433" s="934"/>
      <c r="I433" s="934"/>
      <c r="J433" s="934"/>
      <c r="K433" s="934"/>
      <c r="L433" s="934"/>
      <c r="M433" s="934"/>
      <c r="N433" s="929"/>
      <c r="O433" s="933" t="str">
        <f t="shared" si="13"/>
        <v/>
      </c>
      <c r="P433" s="929"/>
    </row>
    <row r="434" spans="1:16" hidden="1">
      <c r="A434" s="1974"/>
      <c r="B434" s="1974"/>
      <c r="C434" s="145" t="str">
        <f t="shared" si="12"/>
        <v/>
      </c>
      <c r="D434" s="189"/>
      <c r="E434" s="923"/>
      <c r="F434" s="923"/>
      <c r="G434" s="934"/>
      <c r="H434" s="934"/>
      <c r="I434" s="934"/>
      <c r="J434" s="934"/>
      <c r="K434" s="934"/>
      <c r="L434" s="934"/>
      <c r="M434" s="934"/>
      <c r="N434" s="929"/>
      <c r="O434" s="933" t="str">
        <f t="shared" si="13"/>
        <v/>
      </c>
      <c r="P434" s="929"/>
    </row>
    <row r="435" spans="1:16" hidden="1">
      <c r="A435" s="1974"/>
      <c r="B435" s="1974"/>
      <c r="C435" s="145" t="str">
        <f t="shared" si="12"/>
        <v/>
      </c>
      <c r="D435" s="189"/>
      <c r="E435" s="923"/>
      <c r="F435" s="923"/>
      <c r="G435" s="934"/>
      <c r="H435" s="934"/>
      <c r="I435" s="934"/>
      <c r="J435" s="934"/>
      <c r="K435" s="934"/>
      <c r="L435" s="934"/>
      <c r="M435" s="934"/>
      <c r="N435" s="929"/>
      <c r="O435" s="933" t="str">
        <f t="shared" si="13"/>
        <v/>
      </c>
      <c r="P435" s="929"/>
    </row>
    <row r="436" spans="1:16" hidden="1">
      <c r="A436" s="1974"/>
      <c r="B436" s="1974"/>
      <c r="C436" s="145" t="str">
        <f t="shared" si="12"/>
        <v/>
      </c>
      <c r="D436" s="189"/>
      <c r="E436" s="923"/>
      <c r="F436" s="923"/>
      <c r="G436" s="934"/>
      <c r="H436" s="934"/>
      <c r="I436" s="934"/>
      <c r="J436" s="934"/>
      <c r="K436" s="934"/>
      <c r="L436" s="934"/>
      <c r="M436" s="934"/>
      <c r="N436" s="929"/>
      <c r="O436" s="933" t="str">
        <f t="shared" si="13"/>
        <v/>
      </c>
      <c r="P436" s="929"/>
    </row>
    <row r="437" spans="1:16" hidden="1">
      <c r="A437" s="1974"/>
      <c r="B437" s="1974"/>
      <c r="C437" s="145" t="str">
        <f t="shared" si="12"/>
        <v/>
      </c>
      <c r="D437" s="189"/>
      <c r="E437" s="923"/>
      <c r="F437" s="923"/>
      <c r="G437" s="934"/>
      <c r="H437" s="934"/>
      <c r="I437" s="934"/>
      <c r="J437" s="934"/>
      <c r="K437" s="934"/>
      <c r="L437" s="934"/>
      <c r="M437" s="934"/>
      <c r="N437" s="929"/>
      <c r="O437" s="933" t="str">
        <f t="shared" si="13"/>
        <v/>
      </c>
      <c r="P437" s="929"/>
    </row>
    <row r="438" spans="1:16" hidden="1">
      <c r="A438" s="1974"/>
      <c r="B438" s="1974"/>
      <c r="C438" s="145" t="str">
        <f t="shared" si="12"/>
        <v/>
      </c>
      <c r="D438" s="189"/>
      <c r="E438" s="923"/>
      <c r="F438" s="923"/>
      <c r="G438" s="934"/>
      <c r="H438" s="934"/>
      <c r="I438" s="934"/>
      <c r="J438" s="934"/>
      <c r="K438" s="934"/>
      <c r="L438" s="934"/>
      <c r="M438" s="934"/>
      <c r="N438" s="929"/>
      <c r="O438" s="933" t="str">
        <f t="shared" si="13"/>
        <v/>
      </c>
      <c r="P438" s="929"/>
    </row>
    <row r="439" spans="1:16" hidden="1">
      <c r="A439" s="1974"/>
      <c r="B439" s="1974"/>
      <c r="C439" s="145" t="str">
        <f t="shared" si="12"/>
        <v/>
      </c>
      <c r="D439" s="189"/>
      <c r="E439" s="923"/>
      <c r="F439" s="923"/>
      <c r="G439" s="934"/>
      <c r="H439" s="934"/>
      <c r="I439" s="934"/>
      <c r="J439" s="934"/>
      <c r="K439" s="934"/>
      <c r="L439" s="934"/>
      <c r="M439" s="934"/>
      <c r="N439" s="929"/>
      <c r="O439" s="933" t="str">
        <f t="shared" si="13"/>
        <v/>
      </c>
      <c r="P439" s="929"/>
    </row>
    <row r="440" spans="1:16" hidden="1">
      <c r="A440" s="1974"/>
      <c r="B440" s="1974"/>
      <c r="C440" s="145" t="str">
        <f t="shared" si="12"/>
        <v/>
      </c>
      <c r="D440" s="189"/>
      <c r="E440" s="923"/>
      <c r="F440" s="923"/>
      <c r="G440" s="934"/>
      <c r="H440" s="934"/>
      <c r="I440" s="934"/>
      <c r="J440" s="934"/>
      <c r="K440" s="934"/>
      <c r="L440" s="934"/>
      <c r="M440" s="934"/>
      <c r="N440" s="929"/>
      <c r="O440" s="933" t="str">
        <f t="shared" si="13"/>
        <v/>
      </c>
      <c r="P440" s="929"/>
    </row>
    <row r="441" spans="1:16" hidden="1">
      <c r="A441" s="1974"/>
      <c r="B441" s="1974"/>
      <c r="C441" s="145" t="str">
        <f t="shared" si="12"/>
        <v/>
      </c>
      <c r="D441" s="189"/>
      <c r="E441" s="923"/>
      <c r="F441" s="923"/>
      <c r="G441" s="934"/>
      <c r="H441" s="934"/>
      <c r="I441" s="934"/>
      <c r="J441" s="934"/>
      <c r="K441" s="934"/>
      <c r="L441" s="934"/>
      <c r="M441" s="934"/>
      <c r="N441" s="929"/>
      <c r="O441" s="933" t="str">
        <f t="shared" si="13"/>
        <v/>
      </c>
      <c r="P441" s="929"/>
    </row>
    <row r="442" spans="1:16" hidden="1">
      <c r="A442" s="1974"/>
      <c r="B442" s="1974"/>
      <c r="C442" s="145" t="str">
        <f t="shared" si="12"/>
        <v/>
      </c>
      <c r="D442" s="189"/>
      <c r="E442" s="923"/>
      <c r="F442" s="923"/>
      <c r="G442" s="934"/>
      <c r="H442" s="934"/>
      <c r="I442" s="934"/>
      <c r="J442" s="934"/>
      <c r="K442" s="934"/>
      <c r="L442" s="934"/>
      <c r="M442" s="934"/>
      <c r="N442" s="929"/>
      <c r="O442" s="933" t="str">
        <f t="shared" si="13"/>
        <v/>
      </c>
      <c r="P442" s="929"/>
    </row>
    <row r="443" spans="1:16" hidden="1">
      <c r="A443" s="1974"/>
      <c r="B443" s="1974"/>
      <c r="C443" s="145" t="str">
        <f t="shared" si="12"/>
        <v/>
      </c>
      <c r="D443" s="189"/>
      <c r="E443" s="923"/>
      <c r="F443" s="923"/>
      <c r="G443" s="934"/>
      <c r="H443" s="934"/>
      <c r="I443" s="934"/>
      <c r="J443" s="934"/>
      <c r="K443" s="934"/>
      <c r="L443" s="934"/>
      <c r="M443" s="934"/>
      <c r="N443" s="929"/>
      <c r="O443" s="933" t="str">
        <f t="shared" si="13"/>
        <v/>
      </c>
      <c r="P443" s="929"/>
    </row>
    <row r="444" spans="1:16" hidden="1">
      <c r="A444" s="1974"/>
      <c r="B444" s="1974"/>
      <c r="C444" s="145" t="str">
        <f t="shared" si="12"/>
        <v/>
      </c>
      <c r="D444" s="189"/>
      <c r="E444" s="923"/>
      <c r="F444" s="923"/>
      <c r="G444" s="934"/>
      <c r="H444" s="934"/>
      <c r="I444" s="934"/>
      <c r="J444" s="934"/>
      <c r="K444" s="934"/>
      <c r="L444" s="934"/>
      <c r="M444" s="934"/>
      <c r="N444" s="929"/>
      <c r="O444" s="933" t="str">
        <f t="shared" si="13"/>
        <v/>
      </c>
      <c r="P444" s="929"/>
    </row>
    <row r="445" spans="1:16" hidden="1">
      <c r="A445" s="1974"/>
      <c r="B445" s="1974"/>
      <c r="C445" s="145" t="str">
        <f t="shared" si="12"/>
        <v/>
      </c>
      <c r="D445" s="189"/>
      <c r="E445" s="923"/>
      <c r="F445" s="923"/>
      <c r="G445" s="934"/>
      <c r="H445" s="934"/>
      <c r="I445" s="934"/>
      <c r="J445" s="934"/>
      <c r="K445" s="934"/>
      <c r="L445" s="934"/>
      <c r="M445" s="934"/>
      <c r="N445" s="929"/>
      <c r="O445" s="933" t="str">
        <f t="shared" si="13"/>
        <v/>
      </c>
      <c r="P445" s="929"/>
    </row>
    <row r="446" spans="1:16" hidden="1">
      <c r="A446" s="1974"/>
      <c r="B446" s="1974"/>
      <c r="C446" s="145" t="str">
        <f t="shared" si="12"/>
        <v/>
      </c>
      <c r="D446" s="189"/>
      <c r="E446" s="923"/>
      <c r="F446" s="923"/>
      <c r="G446" s="934"/>
      <c r="H446" s="934"/>
      <c r="I446" s="934"/>
      <c r="J446" s="934"/>
      <c r="K446" s="934"/>
      <c r="L446" s="934"/>
      <c r="M446" s="934"/>
      <c r="N446" s="929"/>
      <c r="O446" s="933" t="str">
        <f t="shared" si="13"/>
        <v/>
      </c>
      <c r="P446" s="929"/>
    </row>
    <row r="447" spans="1:16" hidden="1">
      <c r="A447" s="1974"/>
      <c r="B447" s="1974"/>
      <c r="C447" s="145" t="str">
        <f t="shared" si="12"/>
        <v/>
      </c>
      <c r="D447" s="189"/>
      <c r="E447" s="923"/>
      <c r="F447" s="923"/>
      <c r="G447" s="934"/>
      <c r="H447" s="934"/>
      <c r="I447" s="934"/>
      <c r="J447" s="934"/>
      <c r="K447" s="934"/>
      <c r="L447" s="934"/>
      <c r="M447" s="934"/>
      <c r="N447" s="929"/>
      <c r="O447" s="933" t="str">
        <f t="shared" si="13"/>
        <v/>
      </c>
      <c r="P447" s="929"/>
    </row>
    <row r="448" spans="1:16" hidden="1">
      <c r="A448" s="1974"/>
      <c r="B448" s="1974"/>
      <c r="C448" s="145" t="str">
        <f t="shared" si="12"/>
        <v/>
      </c>
      <c r="D448" s="189"/>
      <c r="E448" s="923"/>
      <c r="F448" s="923"/>
      <c r="G448" s="934"/>
      <c r="H448" s="934"/>
      <c r="I448" s="934"/>
      <c r="J448" s="934"/>
      <c r="K448" s="934"/>
      <c r="L448" s="934"/>
      <c r="M448" s="934"/>
      <c r="N448" s="929"/>
      <c r="O448" s="933" t="str">
        <f t="shared" si="13"/>
        <v/>
      </c>
      <c r="P448" s="929"/>
    </row>
    <row r="449" spans="1:16" hidden="1">
      <c r="A449" s="1974"/>
      <c r="B449" s="1974"/>
      <c r="C449" s="145" t="str">
        <f t="shared" si="12"/>
        <v/>
      </c>
      <c r="D449" s="189"/>
      <c r="E449" s="923"/>
      <c r="F449" s="923"/>
      <c r="G449" s="934"/>
      <c r="H449" s="934"/>
      <c r="I449" s="934"/>
      <c r="J449" s="934"/>
      <c r="K449" s="934"/>
      <c r="L449" s="934"/>
      <c r="M449" s="934"/>
      <c r="N449" s="929"/>
      <c r="O449" s="933" t="str">
        <f t="shared" si="13"/>
        <v/>
      </c>
      <c r="P449" s="929"/>
    </row>
    <row r="450" spans="1:16" hidden="1">
      <c r="A450" s="1974"/>
      <c r="B450" s="1974"/>
      <c r="C450" s="145" t="str">
        <f t="shared" si="12"/>
        <v/>
      </c>
      <c r="D450" s="189"/>
      <c r="E450" s="923"/>
      <c r="F450" s="923"/>
      <c r="G450" s="934"/>
      <c r="H450" s="934"/>
      <c r="I450" s="934"/>
      <c r="J450" s="934"/>
      <c r="K450" s="934"/>
      <c r="L450" s="934"/>
      <c r="M450" s="934"/>
      <c r="N450" s="929"/>
      <c r="O450" s="933" t="str">
        <f t="shared" si="13"/>
        <v/>
      </c>
      <c r="P450" s="929"/>
    </row>
    <row r="451" spans="1:16" hidden="1">
      <c r="A451" s="1974"/>
      <c r="B451" s="1974"/>
      <c r="C451" s="145" t="str">
        <f t="shared" si="12"/>
        <v/>
      </c>
      <c r="D451" s="189"/>
      <c r="E451" s="923"/>
      <c r="F451" s="923"/>
      <c r="G451" s="934"/>
      <c r="H451" s="934"/>
      <c r="I451" s="934"/>
      <c r="J451" s="934"/>
      <c r="K451" s="934"/>
      <c r="L451" s="934"/>
      <c r="M451" s="934"/>
      <c r="N451" s="929"/>
      <c r="O451" s="933" t="str">
        <f t="shared" si="13"/>
        <v/>
      </c>
      <c r="P451" s="929"/>
    </row>
    <row r="452" spans="1:16" hidden="1">
      <c r="A452" s="1974"/>
      <c r="B452" s="1974"/>
      <c r="C452" s="145" t="str">
        <f t="shared" si="12"/>
        <v/>
      </c>
      <c r="D452" s="189"/>
      <c r="E452" s="923"/>
      <c r="F452" s="923"/>
      <c r="G452" s="934"/>
      <c r="H452" s="934"/>
      <c r="I452" s="934"/>
      <c r="J452" s="934"/>
      <c r="K452" s="934"/>
      <c r="L452" s="934"/>
      <c r="M452" s="934"/>
      <c r="N452" s="929"/>
      <c r="O452" s="933" t="str">
        <f t="shared" si="13"/>
        <v/>
      </c>
      <c r="P452" s="929"/>
    </row>
    <row r="453" spans="1:16" hidden="1">
      <c r="A453" s="1974"/>
      <c r="B453" s="1974"/>
      <c r="C453" s="145" t="str">
        <f t="shared" si="12"/>
        <v/>
      </c>
      <c r="D453" s="189"/>
      <c r="E453" s="923"/>
      <c r="F453" s="923"/>
      <c r="G453" s="934"/>
      <c r="H453" s="934"/>
      <c r="I453" s="934"/>
      <c r="J453" s="934"/>
      <c r="K453" s="934"/>
      <c r="L453" s="934"/>
      <c r="M453" s="934"/>
      <c r="N453" s="929"/>
      <c r="O453" s="933" t="str">
        <f t="shared" si="13"/>
        <v/>
      </c>
      <c r="P453" s="929"/>
    </row>
    <row r="454" spans="1:16" hidden="1">
      <c r="A454" s="1974"/>
      <c r="B454" s="1974"/>
      <c r="C454" s="145" t="str">
        <f t="shared" si="12"/>
        <v/>
      </c>
      <c r="D454" s="189"/>
      <c r="E454" s="923"/>
      <c r="F454" s="923"/>
      <c r="G454" s="934"/>
      <c r="H454" s="934"/>
      <c r="I454" s="934"/>
      <c r="J454" s="934"/>
      <c r="K454" s="934"/>
      <c r="L454" s="934"/>
      <c r="M454" s="934"/>
      <c r="N454" s="929"/>
      <c r="O454" s="933" t="str">
        <f t="shared" si="13"/>
        <v/>
      </c>
      <c r="P454" s="929"/>
    </row>
    <row r="455" spans="1:16" hidden="1">
      <c r="A455" s="1974"/>
      <c r="B455" s="1974"/>
      <c r="C455" s="145" t="str">
        <f t="shared" si="12"/>
        <v/>
      </c>
      <c r="D455" s="189"/>
      <c r="E455" s="923"/>
      <c r="F455" s="923"/>
      <c r="G455" s="934"/>
      <c r="H455" s="934"/>
      <c r="I455" s="934"/>
      <c r="J455" s="934"/>
      <c r="K455" s="934"/>
      <c r="L455" s="934"/>
      <c r="M455" s="934"/>
      <c r="N455" s="929"/>
      <c r="O455" s="933" t="str">
        <f t="shared" si="13"/>
        <v/>
      </c>
      <c r="P455" s="929"/>
    </row>
    <row r="456" spans="1:16" hidden="1">
      <c r="A456" s="1974"/>
      <c r="B456" s="1974"/>
      <c r="C456" s="145" t="str">
        <f t="shared" si="12"/>
        <v/>
      </c>
      <c r="D456" s="189"/>
      <c r="E456" s="923"/>
      <c r="F456" s="923"/>
      <c r="G456" s="934"/>
      <c r="H456" s="934"/>
      <c r="I456" s="934"/>
      <c r="J456" s="934"/>
      <c r="K456" s="934"/>
      <c r="L456" s="934"/>
      <c r="M456" s="934"/>
      <c r="N456" s="929"/>
      <c r="O456" s="933" t="str">
        <f t="shared" si="13"/>
        <v/>
      </c>
      <c r="P456" s="929"/>
    </row>
    <row r="457" spans="1:16" hidden="1">
      <c r="A457" s="1974"/>
      <c r="B457" s="1974"/>
      <c r="C457" s="145" t="str">
        <f t="shared" si="12"/>
        <v/>
      </c>
      <c r="D457" s="189"/>
      <c r="E457" s="923"/>
      <c r="F457" s="923"/>
      <c r="G457" s="934"/>
      <c r="H457" s="934"/>
      <c r="I457" s="934"/>
      <c r="J457" s="934"/>
      <c r="K457" s="934"/>
      <c r="L457" s="934"/>
      <c r="M457" s="934"/>
      <c r="N457" s="929"/>
      <c r="O457" s="933" t="str">
        <f t="shared" si="13"/>
        <v/>
      </c>
      <c r="P457" s="929"/>
    </row>
    <row r="458" spans="1:16" hidden="1">
      <c r="A458" s="1974"/>
      <c r="B458" s="1974"/>
      <c r="C458" s="145" t="str">
        <f t="shared" si="12"/>
        <v/>
      </c>
      <c r="D458" s="189"/>
      <c r="E458" s="923"/>
      <c r="F458" s="923"/>
      <c r="G458" s="934"/>
      <c r="H458" s="934"/>
      <c r="I458" s="934"/>
      <c r="J458" s="934"/>
      <c r="K458" s="934"/>
      <c r="L458" s="934"/>
      <c r="M458" s="934"/>
      <c r="N458" s="929"/>
      <c r="O458" s="933" t="str">
        <f t="shared" si="13"/>
        <v/>
      </c>
      <c r="P458" s="929"/>
    </row>
    <row r="459" spans="1:16" hidden="1">
      <c r="A459" s="1974"/>
      <c r="B459" s="1974"/>
      <c r="C459" s="145" t="str">
        <f t="shared" si="12"/>
        <v/>
      </c>
      <c r="D459" s="189"/>
      <c r="E459" s="923"/>
      <c r="F459" s="923"/>
      <c r="G459" s="934"/>
      <c r="H459" s="934"/>
      <c r="I459" s="934"/>
      <c r="J459" s="934"/>
      <c r="K459" s="934"/>
      <c r="L459" s="934"/>
      <c r="M459" s="934"/>
      <c r="N459" s="929"/>
      <c r="O459" s="933" t="str">
        <f t="shared" si="13"/>
        <v/>
      </c>
      <c r="P459" s="929"/>
    </row>
    <row r="460" spans="1:16" hidden="1">
      <c r="A460" s="1974"/>
      <c r="B460" s="1974"/>
      <c r="C460" s="145" t="str">
        <f t="shared" si="12"/>
        <v/>
      </c>
      <c r="D460" s="189"/>
      <c r="E460" s="923"/>
      <c r="F460" s="923"/>
      <c r="G460" s="934"/>
      <c r="H460" s="934"/>
      <c r="I460" s="934"/>
      <c r="J460" s="934"/>
      <c r="K460" s="934"/>
      <c r="L460" s="934"/>
      <c r="M460" s="934"/>
      <c r="N460" s="929"/>
      <c r="O460" s="933" t="str">
        <f t="shared" si="13"/>
        <v/>
      </c>
      <c r="P460" s="929"/>
    </row>
    <row r="461" spans="1:16" hidden="1">
      <c r="A461" s="1974"/>
      <c r="B461" s="1974"/>
      <c r="C461" s="145" t="str">
        <f t="shared" si="12"/>
        <v/>
      </c>
      <c r="D461" s="189"/>
      <c r="E461" s="923"/>
      <c r="F461" s="923"/>
      <c r="G461" s="934"/>
      <c r="H461" s="934"/>
      <c r="I461" s="934"/>
      <c r="J461" s="934"/>
      <c r="K461" s="934"/>
      <c r="L461" s="934"/>
      <c r="M461" s="934"/>
      <c r="N461" s="929"/>
      <c r="O461" s="933" t="str">
        <f t="shared" si="13"/>
        <v/>
      </c>
      <c r="P461" s="929"/>
    </row>
    <row r="462" spans="1:16" hidden="1">
      <c r="A462" s="1974"/>
      <c r="B462" s="1974"/>
      <c r="C462" s="145" t="str">
        <f t="shared" si="12"/>
        <v/>
      </c>
      <c r="D462" s="189"/>
      <c r="E462" s="923"/>
      <c r="F462" s="923"/>
      <c r="G462" s="934"/>
      <c r="H462" s="934"/>
      <c r="I462" s="934"/>
      <c r="J462" s="934"/>
      <c r="K462" s="934"/>
      <c r="L462" s="934"/>
      <c r="M462" s="934"/>
      <c r="N462" s="929"/>
      <c r="O462" s="933" t="str">
        <f t="shared" si="13"/>
        <v/>
      </c>
      <c r="P462" s="929"/>
    </row>
    <row r="463" spans="1:16" hidden="1">
      <c r="A463" s="1974"/>
      <c r="B463" s="1974"/>
      <c r="C463" s="145" t="str">
        <f t="shared" si="12"/>
        <v/>
      </c>
      <c r="D463" s="189"/>
      <c r="E463" s="923"/>
      <c r="F463" s="923"/>
      <c r="G463" s="934"/>
      <c r="H463" s="934"/>
      <c r="I463" s="934"/>
      <c r="J463" s="934"/>
      <c r="K463" s="934"/>
      <c r="L463" s="934"/>
      <c r="M463" s="934"/>
      <c r="N463" s="929"/>
      <c r="O463" s="933" t="str">
        <f t="shared" si="13"/>
        <v/>
      </c>
      <c r="P463" s="929"/>
    </row>
    <row r="464" spans="1:16" hidden="1">
      <c r="A464" s="1974"/>
      <c r="B464" s="1974"/>
      <c r="C464" s="145" t="str">
        <f t="shared" ref="C464:C527" si="14">IF(A464&lt;&gt;"",ROW(),"")</f>
        <v/>
      </c>
      <c r="D464" s="189"/>
      <c r="E464" s="923"/>
      <c r="F464" s="923"/>
      <c r="G464" s="934"/>
      <c r="H464" s="934"/>
      <c r="I464" s="934"/>
      <c r="J464" s="934"/>
      <c r="K464" s="934"/>
      <c r="L464" s="934"/>
      <c r="M464" s="934"/>
      <c r="N464" s="929"/>
      <c r="O464" s="933" t="str">
        <f t="shared" si="13"/>
        <v/>
      </c>
      <c r="P464" s="929"/>
    </row>
    <row r="465" spans="1:16" hidden="1">
      <c r="A465" s="1974"/>
      <c r="B465" s="1974"/>
      <c r="C465" s="145" t="str">
        <f t="shared" si="14"/>
        <v/>
      </c>
      <c r="D465" s="189"/>
      <c r="E465" s="923"/>
      <c r="F465" s="923"/>
      <c r="G465" s="934"/>
      <c r="H465" s="934"/>
      <c r="I465" s="934"/>
      <c r="J465" s="934"/>
      <c r="K465" s="934"/>
      <c r="L465" s="934"/>
      <c r="M465" s="934"/>
      <c r="N465" s="929"/>
      <c r="O465" s="933" t="str">
        <f t="shared" ref="O465:O528" si="15">IF(A465&lt;&gt;"",A465,"")</f>
        <v/>
      </c>
      <c r="P465" s="929"/>
    </row>
    <row r="466" spans="1:16" hidden="1">
      <c r="A466" s="1974"/>
      <c r="B466" s="1974"/>
      <c r="C466" s="145" t="str">
        <f t="shared" si="14"/>
        <v/>
      </c>
      <c r="D466" s="189"/>
      <c r="E466" s="923"/>
      <c r="F466" s="923"/>
      <c r="G466" s="934"/>
      <c r="H466" s="934"/>
      <c r="I466" s="934"/>
      <c r="J466" s="934"/>
      <c r="K466" s="934"/>
      <c r="L466" s="934"/>
      <c r="M466" s="934"/>
      <c r="N466" s="929"/>
      <c r="O466" s="933" t="str">
        <f t="shared" si="15"/>
        <v/>
      </c>
      <c r="P466" s="929"/>
    </row>
    <row r="467" spans="1:16" hidden="1">
      <c r="A467" s="1974"/>
      <c r="B467" s="1974"/>
      <c r="C467" s="145" t="str">
        <f t="shared" si="14"/>
        <v/>
      </c>
      <c r="D467" s="189"/>
      <c r="E467" s="923"/>
      <c r="F467" s="923"/>
      <c r="G467" s="934"/>
      <c r="H467" s="934"/>
      <c r="I467" s="934"/>
      <c r="J467" s="934"/>
      <c r="K467" s="934"/>
      <c r="L467" s="934"/>
      <c r="M467" s="934"/>
      <c r="N467" s="929"/>
      <c r="O467" s="933" t="str">
        <f t="shared" si="15"/>
        <v/>
      </c>
      <c r="P467" s="929"/>
    </row>
    <row r="468" spans="1:16" hidden="1">
      <c r="A468" s="1974"/>
      <c r="B468" s="1974"/>
      <c r="C468" s="145" t="str">
        <f t="shared" si="14"/>
        <v/>
      </c>
      <c r="D468" s="189"/>
      <c r="E468" s="923"/>
      <c r="F468" s="923"/>
      <c r="G468" s="934"/>
      <c r="H468" s="934"/>
      <c r="I468" s="934"/>
      <c r="J468" s="934"/>
      <c r="K468" s="934"/>
      <c r="L468" s="934"/>
      <c r="M468" s="934"/>
      <c r="N468" s="929"/>
      <c r="O468" s="933" t="str">
        <f t="shared" si="15"/>
        <v/>
      </c>
      <c r="P468" s="929"/>
    </row>
    <row r="469" spans="1:16" hidden="1">
      <c r="A469" s="1974"/>
      <c r="B469" s="1974"/>
      <c r="C469" s="145" t="str">
        <f t="shared" si="14"/>
        <v/>
      </c>
      <c r="D469" s="189"/>
      <c r="E469" s="923"/>
      <c r="F469" s="923"/>
      <c r="G469" s="934"/>
      <c r="H469" s="934"/>
      <c r="I469" s="934"/>
      <c r="J469" s="934"/>
      <c r="K469" s="934"/>
      <c r="L469" s="934"/>
      <c r="M469" s="934"/>
      <c r="N469" s="929"/>
      <c r="O469" s="933" t="str">
        <f t="shared" si="15"/>
        <v/>
      </c>
      <c r="P469" s="929"/>
    </row>
    <row r="470" spans="1:16" hidden="1">
      <c r="A470" s="1974"/>
      <c r="B470" s="1974"/>
      <c r="C470" s="145" t="str">
        <f t="shared" si="14"/>
        <v/>
      </c>
      <c r="D470" s="189"/>
      <c r="E470" s="923"/>
      <c r="F470" s="923"/>
      <c r="G470" s="934"/>
      <c r="H470" s="934"/>
      <c r="I470" s="934"/>
      <c r="J470" s="934"/>
      <c r="K470" s="934"/>
      <c r="L470" s="934"/>
      <c r="M470" s="934"/>
      <c r="N470" s="929"/>
      <c r="O470" s="933" t="str">
        <f t="shared" si="15"/>
        <v/>
      </c>
      <c r="P470" s="929"/>
    </row>
    <row r="471" spans="1:16" hidden="1">
      <c r="A471" s="1974"/>
      <c r="B471" s="1974"/>
      <c r="C471" s="145" t="str">
        <f t="shared" si="14"/>
        <v/>
      </c>
      <c r="D471" s="189"/>
      <c r="E471" s="923"/>
      <c r="F471" s="923"/>
      <c r="G471" s="934"/>
      <c r="H471" s="934"/>
      <c r="I471" s="934"/>
      <c r="J471" s="934"/>
      <c r="K471" s="934"/>
      <c r="L471" s="934"/>
      <c r="M471" s="934"/>
      <c r="N471" s="929"/>
      <c r="O471" s="933" t="str">
        <f t="shared" si="15"/>
        <v/>
      </c>
      <c r="P471" s="929"/>
    </row>
    <row r="472" spans="1:16" hidden="1">
      <c r="A472" s="1974"/>
      <c r="B472" s="1974"/>
      <c r="C472" s="145" t="str">
        <f t="shared" si="14"/>
        <v/>
      </c>
      <c r="D472" s="189"/>
      <c r="E472" s="923"/>
      <c r="F472" s="923"/>
      <c r="G472" s="934"/>
      <c r="H472" s="934"/>
      <c r="I472" s="934"/>
      <c r="J472" s="934"/>
      <c r="K472" s="934"/>
      <c r="L472" s="934"/>
      <c r="M472" s="934"/>
      <c r="N472" s="929"/>
      <c r="O472" s="933" t="str">
        <f t="shared" si="15"/>
        <v/>
      </c>
      <c r="P472" s="929"/>
    </row>
    <row r="473" spans="1:16" hidden="1">
      <c r="A473" s="1974"/>
      <c r="B473" s="1974"/>
      <c r="C473" s="145" t="str">
        <f t="shared" si="14"/>
        <v/>
      </c>
      <c r="D473" s="189"/>
      <c r="E473" s="923"/>
      <c r="F473" s="923"/>
      <c r="G473" s="934"/>
      <c r="H473" s="934"/>
      <c r="I473" s="934"/>
      <c r="J473" s="934"/>
      <c r="K473" s="934"/>
      <c r="L473" s="934"/>
      <c r="M473" s="934"/>
      <c r="N473" s="929"/>
      <c r="O473" s="933" t="str">
        <f t="shared" si="15"/>
        <v/>
      </c>
      <c r="P473" s="929"/>
    </row>
    <row r="474" spans="1:16" hidden="1">
      <c r="A474" s="1974"/>
      <c r="B474" s="1974"/>
      <c r="C474" s="145" t="str">
        <f t="shared" si="14"/>
        <v/>
      </c>
      <c r="D474" s="189"/>
      <c r="E474" s="923"/>
      <c r="F474" s="923"/>
      <c r="G474" s="934"/>
      <c r="H474" s="934"/>
      <c r="I474" s="934"/>
      <c r="J474" s="934"/>
      <c r="K474" s="934"/>
      <c r="L474" s="934"/>
      <c r="M474" s="934"/>
      <c r="N474" s="929"/>
      <c r="O474" s="933" t="str">
        <f t="shared" si="15"/>
        <v/>
      </c>
      <c r="P474" s="929"/>
    </row>
    <row r="475" spans="1:16" hidden="1">
      <c r="A475" s="1974"/>
      <c r="B475" s="1974"/>
      <c r="C475" s="145" t="str">
        <f t="shared" si="14"/>
        <v/>
      </c>
      <c r="D475" s="189"/>
      <c r="E475" s="923"/>
      <c r="F475" s="923"/>
      <c r="G475" s="934"/>
      <c r="H475" s="934"/>
      <c r="I475" s="934"/>
      <c r="J475" s="934"/>
      <c r="K475" s="934"/>
      <c r="L475" s="934"/>
      <c r="M475" s="934"/>
      <c r="N475" s="929"/>
      <c r="O475" s="933" t="str">
        <f t="shared" si="15"/>
        <v/>
      </c>
      <c r="P475" s="929"/>
    </row>
    <row r="476" spans="1:16" hidden="1">
      <c r="A476" s="1974"/>
      <c r="B476" s="1974"/>
      <c r="C476" s="145" t="str">
        <f t="shared" si="14"/>
        <v/>
      </c>
      <c r="D476" s="189"/>
      <c r="E476" s="923"/>
      <c r="F476" s="923"/>
      <c r="G476" s="934"/>
      <c r="H476" s="934"/>
      <c r="I476" s="934"/>
      <c r="J476" s="934"/>
      <c r="K476" s="934"/>
      <c r="L476" s="934"/>
      <c r="M476" s="934"/>
      <c r="N476" s="929"/>
      <c r="O476" s="933" t="str">
        <f t="shared" si="15"/>
        <v/>
      </c>
      <c r="P476" s="929"/>
    </row>
    <row r="477" spans="1:16" hidden="1">
      <c r="A477" s="1974"/>
      <c r="B477" s="1974"/>
      <c r="C477" s="145" t="str">
        <f t="shared" si="14"/>
        <v/>
      </c>
      <c r="D477" s="189"/>
      <c r="E477" s="923"/>
      <c r="F477" s="923"/>
      <c r="G477" s="934"/>
      <c r="H477" s="934"/>
      <c r="I477" s="934"/>
      <c r="J477" s="934"/>
      <c r="K477" s="934"/>
      <c r="L477" s="934"/>
      <c r="M477" s="934"/>
      <c r="N477" s="929"/>
      <c r="O477" s="933" t="str">
        <f t="shared" si="15"/>
        <v/>
      </c>
      <c r="P477" s="929"/>
    </row>
    <row r="478" spans="1:16" hidden="1">
      <c r="A478" s="1974"/>
      <c r="B478" s="1974"/>
      <c r="C478" s="145" t="str">
        <f t="shared" si="14"/>
        <v/>
      </c>
      <c r="D478" s="189"/>
      <c r="E478" s="923"/>
      <c r="F478" s="923"/>
      <c r="G478" s="934"/>
      <c r="H478" s="934"/>
      <c r="I478" s="934"/>
      <c r="J478" s="934"/>
      <c r="K478" s="934"/>
      <c r="L478" s="934"/>
      <c r="M478" s="934"/>
      <c r="N478" s="929"/>
      <c r="O478" s="933" t="str">
        <f t="shared" si="15"/>
        <v/>
      </c>
      <c r="P478" s="929"/>
    </row>
    <row r="479" spans="1:16" hidden="1">
      <c r="A479" s="1974"/>
      <c r="B479" s="1974"/>
      <c r="C479" s="145" t="str">
        <f t="shared" si="14"/>
        <v/>
      </c>
      <c r="D479" s="189"/>
      <c r="E479" s="923"/>
      <c r="F479" s="923"/>
      <c r="G479" s="934"/>
      <c r="H479" s="934"/>
      <c r="I479" s="934"/>
      <c r="J479" s="934"/>
      <c r="K479" s="934"/>
      <c r="L479" s="934"/>
      <c r="M479" s="934"/>
      <c r="N479" s="929"/>
      <c r="O479" s="933" t="str">
        <f t="shared" si="15"/>
        <v/>
      </c>
      <c r="P479" s="929"/>
    </row>
    <row r="480" spans="1:16" hidden="1">
      <c r="A480" s="1974"/>
      <c r="B480" s="1974"/>
      <c r="C480" s="145" t="str">
        <f t="shared" si="14"/>
        <v/>
      </c>
      <c r="D480" s="189"/>
      <c r="E480" s="923"/>
      <c r="F480" s="923"/>
      <c r="G480" s="934"/>
      <c r="H480" s="934"/>
      <c r="I480" s="934"/>
      <c r="J480" s="934"/>
      <c r="K480" s="934"/>
      <c r="L480" s="934"/>
      <c r="M480" s="934"/>
      <c r="N480" s="929"/>
      <c r="O480" s="933" t="str">
        <f t="shared" si="15"/>
        <v/>
      </c>
      <c r="P480" s="929"/>
    </row>
    <row r="481" spans="1:16" hidden="1">
      <c r="A481" s="1974"/>
      <c r="B481" s="1974"/>
      <c r="C481" s="145" t="str">
        <f t="shared" si="14"/>
        <v/>
      </c>
      <c r="D481" s="189"/>
      <c r="E481" s="923"/>
      <c r="F481" s="923"/>
      <c r="G481" s="934"/>
      <c r="H481" s="934"/>
      <c r="I481" s="934"/>
      <c r="J481" s="934"/>
      <c r="K481" s="934"/>
      <c r="L481" s="934"/>
      <c r="M481" s="934"/>
      <c r="N481" s="929"/>
      <c r="O481" s="933" t="str">
        <f t="shared" si="15"/>
        <v/>
      </c>
      <c r="P481" s="929"/>
    </row>
    <row r="482" spans="1:16" hidden="1">
      <c r="A482" s="1974"/>
      <c r="B482" s="1974"/>
      <c r="C482" s="145" t="str">
        <f t="shared" si="14"/>
        <v/>
      </c>
      <c r="D482" s="189"/>
      <c r="E482" s="923"/>
      <c r="F482" s="923"/>
      <c r="G482" s="934"/>
      <c r="H482" s="934"/>
      <c r="I482" s="934"/>
      <c r="J482" s="934"/>
      <c r="K482" s="934"/>
      <c r="L482" s="934"/>
      <c r="M482" s="934"/>
      <c r="N482" s="929"/>
      <c r="O482" s="933" t="str">
        <f t="shared" si="15"/>
        <v/>
      </c>
      <c r="P482" s="929"/>
    </row>
    <row r="483" spans="1:16" hidden="1">
      <c r="A483" s="1974"/>
      <c r="B483" s="1974"/>
      <c r="C483" s="145" t="str">
        <f t="shared" si="14"/>
        <v/>
      </c>
      <c r="D483" s="189"/>
      <c r="E483" s="923"/>
      <c r="F483" s="923"/>
      <c r="G483" s="934"/>
      <c r="H483" s="934"/>
      <c r="I483" s="934"/>
      <c r="J483" s="934"/>
      <c r="K483" s="934"/>
      <c r="L483" s="934"/>
      <c r="M483" s="934"/>
      <c r="N483" s="929"/>
      <c r="O483" s="933" t="str">
        <f t="shared" si="15"/>
        <v/>
      </c>
      <c r="P483" s="929"/>
    </row>
    <row r="484" spans="1:16" hidden="1">
      <c r="A484" s="1974"/>
      <c r="B484" s="1974"/>
      <c r="C484" s="145" t="str">
        <f t="shared" si="14"/>
        <v/>
      </c>
      <c r="D484" s="189"/>
      <c r="E484" s="923"/>
      <c r="F484" s="923"/>
      <c r="G484" s="934"/>
      <c r="H484" s="934"/>
      <c r="I484" s="934"/>
      <c r="J484" s="934"/>
      <c r="K484" s="934"/>
      <c r="L484" s="934"/>
      <c r="M484" s="934"/>
      <c r="N484" s="929"/>
      <c r="O484" s="933" t="str">
        <f t="shared" si="15"/>
        <v/>
      </c>
      <c r="P484" s="929"/>
    </row>
    <row r="485" spans="1:16" hidden="1">
      <c r="A485" s="1974"/>
      <c r="B485" s="1974"/>
      <c r="C485" s="145" t="str">
        <f t="shared" si="14"/>
        <v/>
      </c>
      <c r="D485" s="189"/>
      <c r="E485" s="923"/>
      <c r="F485" s="923"/>
      <c r="G485" s="934"/>
      <c r="H485" s="934"/>
      <c r="I485" s="934"/>
      <c r="J485" s="934"/>
      <c r="K485" s="934"/>
      <c r="L485" s="934"/>
      <c r="M485" s="934"/>
      <c r="N485" s="929"/>
      <c r="O485" s="933" t="str">
        <f t="shared" si="15"/>
        <v/>
      </c>
      <c r="P485" s="929"/>
    </row>
    <row r="486" spans="1:16" hidden="1">
      <c r="A486" s="1974"/>
      <c r="B486" s="1974"/>
      <c r="C486" s="145" t="str">
        <f t="shared" si="14"/>
        <v/>
      </c>
      <c r="D486" s="189"/>
      <c r="E486" s="923"/>
      <c r="F486" s="923"/>
      <c r="G486" s="934"/>
      <c r="H486" s="934"/>
      <c r="I486" s="934"/>
      <c r="J486" s="934"/>
      <c r="K486" s="934"/>
      <c r="L486" s="934"/>
      <c r="M486" s="934"/>
      <c r="N486" s="929"/>
      <c r="O486" s="933" t="str">
        <f t="shared" si="15"/>
        <v/>
      </c>
      <c r="P486" s="929"/>
    </row>
    <row r="487" spans="1:16" hidden="1">
      <c r="A487" s="1974"/>
      <c r="B487" s="1974"/>
      <c r="C487" s="145" t="str">
        <f t="shared" si="14"/>
        <v/>
      </c>
      <c r="D487" s="189"/>
      <c r="E487" s="923"/>
      <c r="F487" s="923"/>
      <c r="G487" s="934"/>
      <c r="H487" s="934"/>
      <c r="I487" s="934"/>
      <c r="J487" s="934"/>
      <c r="K487" s="934"/>
      <c r="L487" s="934"/>
      <c r="M487" s="934"/>
      <c r="N487" s="929"/>
      <c r="O487" s="933" t="str">
        <f t="shared" si="15"/>
        <v/>
      </c>
      <c r="P487" s="929"/>
    </row>
    <row r="488" spans="1:16" hidden="1">
      <c r="A488" s="1974"/>
      <c r="B488" s="1974"/>
      <c r="C488" s="145" t="str">
        <f t="shared" si="14"/>
        <v/>
      </c>
      <c r="D488" s="189"/>
      <c r="E488" s="923"/>
      <c r="F488" s="923"/>
      <c r="G488" s="934"/>
      <c r="H488" s="934"/>
      <c r="I488" s="934"/>
      <c r="J488" s="934"/>
      <c r="K488" s="934"/>
      <c r="L488" s="934"/>
      <c r="M488" s="934"/>
      <c r="N488" s="929"/>
      <c r="O488" s="933" t="str">
        <f t="shared" si="15"/>
        <v/>
      </c>
      <c r="P488" s="929"/>
    </row>
    <row r="489" spans="1:16" hidden="1">
      <c r="A489" s="1974"/>
      <c r="B489" s="1974"/>
      <c r="C489" s="145" t="str">
        <f t="shared" si="14"/>
        <v/>
      </c>
      <c r="D489" s="189"/>
      <c r="E489" s="923"/>
      <c r="F489" s="923"/>
      <c r="G489" s="934"/>
      <c r="H489" s="934"/>
      <c r="I489" s="934"/>
      <c r="J489" s="934"/>
      <c r="K489" s="934"/>
      <c r="L489" s="934"/>
      <c r="M489" s="934"/>
      <c r="N489" s="929"/>
      <c r="O489" s="933" t="str">
        <f t="shared" si="15"/>
        <v/>
      </c>
      <c r="P489" s="929"/>
    </row>
    <row r="490" spans="1:16" hidden="1">
      <c r="A490" s="1974"/>
      <c r="B490" s="1974"/>
      <c r="C490" s="145" t="str">
        <f t="shared" si="14"/>
        <v/>
      </c>
      <c r="D490" s="189"/>
      <c r="E490" s="923"/>
      <c r="F490" s="923"/>
      <c r="G490" s="934"/>
      <c r="H490" s="934"/>
      <c r="I490" s="934"/>
      <c r="J490" s="934"/>
      <c r="K490" s="934"/>
      <c r="L490" s="934"/>
      <c r="M490" s="934"/>
      <c r="N490" s="929"/>
      <c r="O490" s="933" t="str">
        <f t="shared" si="15"/>
        <v/>
      </c>
      <c r="P490" s="929"/>
    </row>
    <row r="491" spans="1:16" hidden="1">
      <c r="A491" s="1974"/>
      <c r="B491" s="1974"/>
      <c r="C491" s="145" t="str">
        <f t="shared" si="14"/>
        <v/>
      </c>
      <c r="D491" s="189"/>
      <c r="E491" s="923"/>
      <c r="F491" s="923"/>
      <c r="G491" s="934"/>
      <c r="H491" s="934"/>
      <c r="I491" s="934"/>
      <c r="J491" s="934"/>
      <c r="K491" s="934"/>
      <c r="L491" s="934"/>
      <c r="M491" s="934"/>
      <c r="N491" s="929"/>
      <c r="O491" s="933" t="str">
        <f t="shared" si="15"/>
        <v/>
      </c>
      <c r="P491" s="929"/>
    </row>
    <row r="492" spans="1:16" hidden="1">
      <c r="A492" s="1974"/>
      <c r="B492" s="1974"/>
      <c r="C492" s="145" t="str">
        <f t="shared" si="14"/>
        <v/>
      </c>
      <c r="D492" s="189"/>
      <c r="E492" s="923"/>
      <c r="F492" s="923"/>
      <c r="G492" s="934"/>
      <c r="H492" s="934"/>
      <c r="I492" s="934"/>
      <c r="J492" s="934"/>
      <c r="K492" s="934"/>
      <c r="L492" s="934"/>
      <c r="M492" s="934"/>
      <c r="N492" s="929"/>
      <c r="O492" s="933" t="str">
        <f t="shared" si="15"/>
        <v/>
      </c>
      <c r="P492" s="929"/>
    </row>
    <row r="493" spans="1:16" hidden="1">
      <c r="A493" s="1974"/>
      <c r="B493" s="1974"/>
      <c r="C493" s="145" t="str">
        <f t="shared" si="14"/>
        <v/>
      </c>
      <c r="D493" s="189"/>
      <c r="E493" s="923"/>
      <c r="F493" s="923"/>
      <c r="G493" s="934"/>
      <c r="H493" s="934"/>
      <c r="I493" s="934"/>
      <c r="J493" s="934"/>
      <c r="K493" s="934"/>
      <c r="L493" s="934"/>
      <c r="M493" s="934"/>
      <c r="N493" s="929"/>
      <c r="O493" s="933" t="str">
        <f t="shared" si="15"/>
        <v/>
      </c>
      <c r="P493" s="929"/>
    </row>
    <row r="494" spans="1:16" hidden="1">
      <c r="A494" s="1974"/>
      <c r="B494" s="1974"/>
      <c r="C494" s="145" t="str">
        <f t="shared" si="14"/>
        <v/>
      </c>
      <c r="D494" s="189"/>
      <c r="E494" s="923"/>
      <c r="F494" s="923"/>
      <c r="G494" s="934"/>
      <c r="H494" s="934"/>
      <c r="I494" s="934"/>
      <c r="J494" s="934"/>
      <c r="K494" s="934"/>
      <c r="L494" s="934"/>
      <c r="M494" s="934"/>
      <c r="N494" s="929"/>
      <c r="O494" s="933" t="str">
        <f t="shared" si="15"/>
        <v/>
      </c>
      <c r="P494" s="929"/>
    </row>
    <row r="495" spans="1:16" hidden="1">
      <c r="A495" s="1974"/>
      <c r="B495" s="1974"/>
      <c r="C495" s="145" t="str">
        <f t="shared" si="14"/>
        <v/>
      </c>
      <c r="D495" s="189"/>
      <c r="E495" s="923"/>
      <c r="F495" s="923"/>
      <c r="G495" s="934"/>
      <c r="H495" s="934"/>
      <c r="I495" s="934"/>
      <c r="J495" s="934"/>
      <c r="K495" s="934"/>
      <c r="L495" s="934"/>
      <c r="M495" s="934"/>
      <c r="N495" s="929"/>
      <c r="O495" s="933" t="str">
        <f t="shared" si="15"/>
        <v/>
      </c>
      <c r="P495" s="929"/>
    </row>
    <row r="496" spans="1:16" hidden="1">
      <c r="A496" s="1974"/>
      <c r="B496" s="1974"/>
      <c r="C496" s="145" t="str">
        <f t="shared" si="14"/>
        <v/>
      </c>
      <c r="D496" s="189"/>
      <c r="E496" s="923"/>
      <c r="F496" s="923"/>
      <c r="G496" s="934"/>
      <c r="H496" s="934"/>
      <c r="I496" s="934"/>
      <c r="J496" s="934"/>
      <c r="K496" s="934"/>
      <c r="L496" s="934"/>
      <c r="M496" s="934"/>
      <c r="N496" s="929"/>
      <c r="O496" s="933" t="str">
        <f t="shared" si="15"/>
        <v/>
      </c>
      <c r="P496" s="929"/>
    </row>
    <row r="497" spans="1:16" hidden="1">
      <c r="A497" s="1974"/>
      <c r="B497" s="1974"/>
      <c r="C497" s="145" t="str">
        <f t="shared" si="14"/>
        <v/>
      </c>
      <c r="D497" s="189"/>
      <c r="E497" s="923"/>
      <c r="F497" s="923"/>
      <c r="G497" s="934"/>
      <c r="H497" s="934"/>
      <c r="I497" s="934"/>
      <c r="J497" s="934"/>
      <c r="K497" s="934"/>
      <c r="L497" s="934"/>
      <c r="M497" s="934"/>
      <c r="N497" s="929"/>
      <c r="O497" s="933" t="str">
        <f t="shared" si="15"/>
        <v/>
      </c>
      <c r="P497" s="929"/>
    </row>
    <row r="498" spans="1:16" hidden="1">
      <c r="A498" s="1974"/>
      <c r="B498" s="1974"/>
      <c r="C498" s="145" t="str">
        <f t="shared" si="14"/>
        <v/>
      </c>
      <c r="D498" s="189"/>
      <c r="E498" s="923"/>
      <c r="F498" s="923"/>
      <c r="G498" s="934"/>
      <c r="H498" s="934"/>
      <c r="I498" s="934"/>
      <c r="J498" s="934"/>
      <c r="K498" s="934"/>
      <c r="L498" s="934"/>
      <c r="M498" s="934"/>
      <c r="N498" s="929"/>
      <c r="O498" s="933" t="str">
        <f t="shared" si="15"/>
        <v/>
      </c>
      <c r="P498" s="929"/>
    </row>
    <row r="499" spans="1:16" hidden="1">
      <c r="A499" s="1974"/>
      <c r="B499" s="1974"/>
      <c r="C499" s="145" t="str">
        <f t="shared" si="14"/>
        <v/>
      </c>
      <c r="D499" s="189"/>
      <c r="E499" s="923"/>
      <c r="F499" s="923"/>
      <c r="G499" s="934"/>
      <c r="H499" s="934"/>
      <c r="I499" s="934"/>
      <c r="J499" s="934"/>
      <c r="K499" s="934"/>
      <c r="L499" s="934"/>
      <c r="M499" s="934"/>
      <c r="N499" s="929"/>
      <c r="O499" s="933" t="str">
        <f t="shared" si="15"/>
        <v/>
      </c>
      <c r="P499" s="929"/>
    </row>
    <row r="500" spans="1:16" hidden="1">
      <c r="A500" s="1974"/>
      <c r="B500" s="1974"/>
      <c r="C500" s="145" t="str">
        <f t="shared" si="14"/>
        <v/>
      </c>
      <c r="D500" s="189"/>
      <c r="E500" s="923"/>
      <c r="F500" s="923"/>
      <c r="G500" s="934"/>
      <c r="H500" s="934"/>
      <c r="I500" s="934"/>
      <c r="J500" s="934"/>
      <c r="K500" s="934"/>
      <c r="L500" s="934"/>
      <c r="M500" s="934"/>
      <c r="N500" s="929"/>
      <c r="O500" s="933" t="str">
        <f t="shared" si="15"/>
        <v/>
      </c>
      <c r="P500" s="929"/>
    </row>
    <row r="501" spans="1:16" hidden="1">
      <c r="A501" s="1974"/>
      <c r="B501" s="1974"/>
      <c r="C501" s="145" t="str">
        <f t="shared" si="14"/>
        <v/>
      </c>
      <c r="D501" s="189"/>
      <c r="E501" s="923"/>
      <c r="F501" s="923"/>
      <c r="G501" s="934"/>
      <c r="H501" s="934"/>
      <c r="I501" s="934"/>
      <c r="J501" s="934"/>
      <c r="K501" s="934"/>
      <c r="L501" s="934"/>
      <c r="M501" s="934"/>
      <c r="N501" s="929"/>
      <c r="O501" s="933" t="str">
        <f t="shared" si="15"/>
        <v/>
      </c>
      <c r="P501" s="929"/>
    </row>
    <row r="502" spans="1:16" hidden="1">
      <c r="A502" s="1974"/>
      <c r="B502" s="1974"/>
      <c r="C502" s="145" t="str">
        <f t="shared" si="14"/>
        <v/>
      </c>
      <c r="D502" s="189"/>
      <c r="E502" s="923"/>
      <c r="F502" s="923"/>
      <c r="G502" s="934"/>
      <c r="H502" s="934"/>
      <c r="I502" s="934"/>
      <c r="J502" s="934"/>
      <c r="K502" s="934"/>
      <c r="L502" s="934"/>
      <c r="M502" s="934"/>
      <c r="N502" s="929"/>
      <c r="O502" s="933" t="str">
        <f t="shared" si="15"/>
        <v/>
      </c>
      <c r="P502" s="929"/>
    </row>
    <row r="503" spans="1:16" hidden="1">
      <c r="A503" s="1974"/>
      <c r="B503" s="1974"/>
      <c r="C503" s="145" t="str">
        <f t="shared" si="14"/>
        <v/>
      </c>
      <c r="D503" s="189"/>
      <c r="E503" s="923"/>
      <c r="F503" s="923"/>
      <c r="G503" s="934"/>
      <c r="H503" s="934"/>
      <c r="I503" s="934"/>
      <c r="J503" s="934"/>
      <c r="K503" s="934"/>
      <c r="L503" s="934"/>
      <c r="M503" s="934"/>
      <c r="N503" s="929"/>
      <c r="O503" s="933" t="str">
        <f t="shared" si="15"/>
        <v/>
      </c>
      <c r="P503" s="929"/>
    </row>
    <row r="504" spans="1:16" hidden="1">
      <c r="A504" s="1974"/>
      <c r="B504" s="1974"/>
      <c r="C504" s="145" t="str">
        <f t="shared" si="14"/>
        <v/>
      </c>
      <c r="D504" s="189"/>
      <c r="E504" s="923"/>
      <c r="F504" s="923"/>
      <c r="G504" s="934"/>
      <c r="H504" s="934"/>
      <c r="I504" s="934"/>
      <c r="J504" s="934"/>
      <c r="K504" s="934"/>
      <c r="L504" s="934"/>
      <c r="M504" s="934"/>
      <c r="N504" s="929"/>
      <c r="O504" s="933" t="str">
        <f t="shared" si="15"/>
        <v/>
      </c>
      <c r="P504" s="929"/>
    </row>
    <row r="505" spans="1:16" hidden="1">
      <c r="A505" s="1974"/>
      <c r="B505" s="1974"/>
      <c r="C505" s="145" t="str">
        <f t="shared" si="14"/>
        <v/>
      </c>
      <c r="D505" s="189"/>
      <c r="E505" s="923"/>
      <c r="F505" s="923"/>
      <c r="G505" s="934"/>
      <c r="H505" s="934"/>
      <c r="I505" s="934"/>
      <c r="J505" s="934"/>
      <c r="K505" s="934"/>
      <c r="L505" s="934"/>
      <c r="M505" s="934"/>
      <c r="N505" s="929"/>
      <c r="O505" s="933" t="str">
        <f t="shared" si="15"/>
        <v/>
      </c>
      <c r="P505" s="929"/>
    </row>
    <row r="506" spans="1:16" hidden="1">
      <c r="A506" s="1974"/>
      <c r="B506" s="1974"/>
      <c r="C506" s="145" t="str">
        <f t="shared" si="14"/>
        <v/>
      </c>
      <c r="D506" s="189"/>
      <c r="E506" s="923"/>
      <c r="F506" s="923"/>
      <c r="G506" s="934"/>
      <c r="H506" s="934"/>
      <c r="I506" s="934"/>
      <c r="J506" s="934"/>
      <c r="K506" s="934"/>
      <c r="L506" s="934"/>
      <c r="M506" s="934"/>
      <c r="N506" s="929"/>
      <c r="O506" s="933" t="str">
        <f t="shared" si="15"/>
        <v/>
      </c>
      <c r="P506" s="929"/>
    </row>
    <row r="507" spans="1:16" hidden="1">
      <c r="A507" s="1974"/>
      <c r="B507" s="1974"/>
      <c r="C507" s="145" t="str">
        <f t="shared" si="14"/>
        <v/>
      </c>
      <c r="D507" s="189"/>
      <c r="E507" s="923"/>
      <c r="F507" s="923"/>
      <c r="G507" s="934"/>
      <c r="H507" s="934"/>
      <c r="I507" s="934"/>
      <c r="J507" s="934"/>
      <c r="K507" s="934"/>
      <c r="L507" s="934"/>
      <c r="M507" s="934"/>
      <c r="N507" s="929"/>
      <c r="O507" s="933" t="str">
        <f t="shared" si="15"/>
        <v/>
      </c>
      <c r="P507" s="929"/>
    </row>
    <row r="508" spans="1:16" hidden="1">
      <c r="A508" s="1974"/>
      <c r="B508" s="1974"/>
      <c r="C508" s="145" t="str">
        <f t="shared" si="14"/>
        <v/>
      </c>
      <c r="D508" s="189"/>
      <c r="E508" s="923"/>
      <c r="F508" s="923"/>
      <c r="G508" s="934"/>
      <c r="H508" s="934"/>
      <c r="I508" s="934"/>
      <c r="J508" s="934"/>
      <c r="K508" s="934"/>
      <c r="L508" s="934"/>
      <c r="M508" s="934"/>
      <c r="N508" s="929"/>
      <c r="O508" s="933" t="str">
        <f t="shared" si="15"/>
        <v/>
      </c>
      <c r="P508" s="929"/>
    </row>
    <row r="509" spans="1:16" hidden="1">
      <c r="A509" s="1974"/>
      <c r="B509" s="1974"/>
      <c r="C509" s="145" t="str">
        <f t="shared" si="14"/>
        <v/>
      </c>
      <c r="D509" s="189"/>
      <c r="E509" s="923"/>
      <c r="F509" s="923"/>
      <c r="G509" s="934"/>
      <c r="H509" s="934"/>
      <c r="I509" s="934"/>
      <c r="J509" s="934"/>
      <c r="K509" s="934"/>
      <c r="L509" s="934"/>
      <c r="M509" s="934"/>
      <c r="N509" s="929"/>
      <c r="O509" s="933" t="str">
        <f t="shared" si="15"/>
        <v/>
      </c>
      <c r="P509" s="929"/>
    </row>
    <row r="510" spans="1:16" hidden="1">
      <c r="A510" s="1974"/>
      <c r="B510" s="1974"/>
      <c r="C510" s="145" t="str">
        <f t="shared" si="14"/>
        <v/>
      </c>
      <c r="D510" s="189"/>
      <c r="E510" s="923"/>
      <c r="F510" s="923"/>
      <c r="G510" s="934"/>
      <c r="H510" s="934"/>
      <c r="I510" s="934"/>
      <c r="J510" s="934"/>
      <c r="K510" s="934"/>
      <c r="L510" s="934"/>
      <c r="M510" s="934"/>
      <c r="N510" s="929"/>
      <c r="O510" s="933" t="str">
        <f t="shared" si="15"/>
        <v/>
      </c>
      <c r="P510" s="929"/>
    </row>
    <row r="511" spans="1:16" hidden="1">
      <c r="A511" s="1974"/>
      <c r="B511" s="1974"/>
      <c r="C511" s="145" t="str">
        <f t="shared" si="14"/>
        <v/>
      </c>
      <c r="D511" s="189"/>
      <c r="E511" s="923"/>
      <c r="F511" s="923"/>
      <c r="G511" s="934"/>
      <c r="H511" s="934"/>
      <c r="I511" s="934"/>
      <c r="J511" s="934"/>
      <c r="K511" s="934"/>
      <c r="L511" s="934"/>
      <c r="M511" s="934"/>
      <c r="N511" s="929"/>
      <c r="O511" s="933" t="str">
        <f t="shared" si="15"/>
        <v/>
      </c>
      <c r="P511" s="929"/>
    </row>
    <row r="512" spans="1:16" hidden="1">
      <c r="A512" s="1974"/>
      <c r="B512" s="1974"/>
      <c r="C512" s="145" t="str">
        <f t="shared" si="14"/>
        <v/>
      </c>
      <c r="D512" s="189"/>
      <c r="E512" s="923"/>
      <c r="F512" s="923"/>
      <c r="G512" s="934"/>
      <c r="H512" s="934"/>
      <c r="I512" s="934"/>
      <c r="J512" s="934"/>
      <c r="K512" s="934"/>
      <c r="L512" s="934"/>
      <c r="M512" s="934"/>
      <c r="N512" s="929"/>
      <c r="O512" s="933" t="str">
        <f t="shared" si="15"/>
        <v/>
      </c>
      <c r="P512" s="929"/>
    </row>
    <row r="513" spans="1:16" hidden="1">
      <c r="A513" s="1974"/>
      <c r="B513" s="1974"/>
      <c r="C513" s="145" t="str">
        <f t="shared" si="14"/>
        <v/>
      </c>
      <c r="D513" s="189"/>
      <c r="E513" s="923"/>
      <c r="F513" s="923"/>
      <c r="G513" s="934"/>
      <c r="H513" s="934"/>
      <c r="I513" s="934"/>
      <c r="J513" s="934"/>
      <c r="K513" s="934"/>
      <c r="L513" s="934"/>
      <c r="M513" s="934"/>
      <c r="N513" s="929"/>
      <c r="O513" s="933" t="str">
        <f t="shared" si="15"/>
        <v/>
      </c>
      <c r="P513" s="929"/>
    </row>
    <row r="514" spans="1:16" hidden="1">
      <c r="A514" s="1974"/>
      <c r="B514" s="1974"/>
      <c r="C514" s="145" t="str">
        <f t="shared" si="14"/>
        <v/>
      </c>
      <c r="D514" s="189"/>
      <c r="E514" s="923"/>
      <c r="F514" s="923"/>
      <c r="G514" s="934"/>
      <c r="H514" s="934"/>
      <c r="I514" s="934"/>
      <c r="J514" s="934"/>
      <c r="K514" s="934"/>
      <c r="L514" s="934"/>
      <c r="M514" s="934"/>
      <c r="N514" s="929"/>
      <c r="O514" s="933" t="str">
        <f t="shared" si="15"/>
        <v/>
      </c>
      <c r="P514" s="929"/>
    </row>
    <row r="515" spans="1:16" hidden="1">
      <c r="A515" s="1974"/>
      <c r="B515" s="1974"/>
      <c r="C515" s="145" t="str">
        <f t="shared" si="14"/>
        <v/>
      </c>
      <c r="D515" s="189"/>
      <c r="E515" s="923"/>
      <c r="F515" s="923"/>
      <c r="G515" s="934"/>
      <c r="H515" s="934"/>
      <c r="I515" s="934"/>
      <c r="J515" s="934"/>
      <c r="K515" s="934"/>
      <c r="L515" s="934"/>
      <c r="M515" s="934"/>
      <c r="N515" s="929"/>
      <c r="O515" s="933" t="str">
        <f t="shared" si="15"/>
        <v/>
      </c>
      <c r="P515" s="929"/>
    </row>
    <row r="516" spans="1:16" hidden="1">
      <c r="A516" s="1974"/>
      <c r="B516" s="1974"/>
      <c r="C516" s="145" t="str">
        <f t="shared" si="14"/>
        <v/>
      </c>
      <c r="D516" s="189"/>
      <c r="E516" s="923"/>
      <c r="F516" s="923"/>
      <c r="G516" s="934"/>
      <c r="H516" s="934"/>
      <c r="I516" s="934"/>
      <c r="J516" s="934"/>
      <c r="K516" s="934"/>
      <c r="L516" s="934"/>
      <c r="M516" s="934"/>
      <c r="N516" s="929"/>
      <c r="O516" s="933" t="str">
        <f t="shared" si="15"/>
        <v/>
      </c>
      <c r="P516" s="929"/>
    </row>
    <row r="517" spans="1:16" hidden="1">
      <c r="A517" s="1974"/>
      <c r="B517" s="1974"/>
      <c r="C517" s="145" t="str">
        <f t="shared" si="14"/>
        <v/>
      </c>
      <c r="D517" s="189"/>
      <c r="E517" s="923"/>
      <c r="F517" s="923"/>
      <c r="G517" s="934"/>
      <c r="H517" s="934"/>
      <c r="I517" s="934"/>
      <c r="J517" s="934"/>
      <c r="K517" s="934"/>
      <c r="L517" s="934"/>
      <c r="M517" s="934"/>
      <c r="N517" s="929"/>
      <c r="O517" s="933" t="str">
        <f t="shared" si="15"/>
        <v/>
      </c>
      <c r="P517" s="929"/>
    </row>
    <row r="518" spans="1:16" hidden="1">
      <c r="A518" s="1974"/>
      <c r="B518" s="1974"/>
      <c r="C518" s="145" t="str">
        <f t="shared" si="14"/>
        <v/>
      </c>
      <c r="D518" s="189"/>
      <c r="E518" s="923"/>
      <c r="F518" s="923"/>
      <c r="G518" s="934"/>
      <c r="H518" s="934"/>
      <c r="I518" s="934"/>
      <c r="J518" s="934"/>
      <c r="K518" s="934"/>
      <c r="L518" s="934"/>
      <c r="M518" s="934"/>
      <c r="N518" s="929"/>
      <c r="O518" s="933" t="str">
        <f t="shared" si="15"/>
        <v/>
      </c>
      <c r="P518" s="929"/>
    </row>
    <row r="519" spans="1:16" hidden="1">
      <c r="A519" s="1974"/>
      <c r="B519" s="1974"/>
      <c r="C519" s="145" t="str">
        <f t="shared" si="14"/>
        <v/>
      </c>
      <c r="D519" s="189"/>
      <c r="E519" s="923"/>
      <c r="F519" s="923"/>
      <c r="G519" s="934"/>
      <c r="H519" s="934"/>
      <c r="I519" s="934"/>
      <c r="J519" s="934"/>
      <c r="K519" s="934"/>
      <c r="L519" s="934"/>
      <c r="M519" s="934"/>
      <c r="N519" s="929"/>
      <c r="O519" s="933" t="str">
        <f t="shared" si="15"/>
        <v/>
      </c>
      <c r="P519" s="929"/>
    </row>
    <row r="520" spans="1:16" hidden="1">
      <c r="A520" s="1974"/>
      <c r="B520" s="1974"/>
      <c r="C520" s="145" t="str">
        <f t="shared" si="14"/>
        <v/>
      </c>
      <c r="D520" s="189"/>
      <c r="E520" s="923"/>
      <c r="F520" s="923"/>
      <c r="G520" s="934"/>
      <c r="H520" s="934"/>
      <c r="I520" s="934"/>
      <c r="J520" s="934"/>
      <c r="K520" s="934"/>
      <c r="L520" s="934"/>
      <c r="M520" s="934"/>
      <c r="N520" s="929"/>
      <c r="O520" s="933" t="str">
        <f t="shared" si="15"/>
        <v/>
      </c>
      <c r="P520" s="929"/>
    </row>
    <row r="521" spans="1:16" hidden="1">
      <c r="A521" s="1974"/>
      <c r="B521" s="1974"/>
      <c r="C521" s="145" t="str">
        <f t="shared" si="14"/>
        <v/>
      </c>
      <c r="D521" s="189"/>
      <c r="E521" s="923"/>
      <c r="F521" s="923"/>
      <c r="G521" s="934"/>
      <c r="H521" s="934"/>
      <c r="I521" s="934"/>
      <c r="J521" s="934"/>
      <c r="K521" s="934"/>
      <c r="L521" s="934"/>
      <c r="M521" s="934"/>
      <c r="N521" s="929"/>
      <c r="O521" s="933" t="str">
        <f t="shared" si="15"/>
        <v/>
      </c>
      <c r="P521" s="929"/>
    </row>
    <row r="522" spans="1:16" hidden="1">
      <c r="A522" s="1974"/>
      <c r="B522" s="1974"/>
      <c r="C522" s="145" t="str">
        <f t="shared" si="14"/>
        <v/>
      </c>
      <c r="D522" s="189"/>
      <c r="E522" s="923"/>
      <c r="F522" s="923"/>
      <c r="G522" s="934"/>
      <c r="H522" s="934"/>
      <c r="I522" s="934"/>
      <c r="J522" s="934"/>
      <c r="K522" s="934"/>
      <c r="L522" s="934"/>
      <c r="M522" s="934"/>
      <c r="N522" s="929"/>
      <c r="O522" s="933" t="str">
        <f t="shared" si="15"/>
        <v/>
      </c>
      <c r="P522" s="929"/>
    </row>
    <row r="523" spans="1:16" hidden="1">
      <c r="A523" s="1974"/>
      <c r="B523" s="1974"/>
      <c r="C523" s="145" t="str">
        <f t="shared" si="14"/>
        <v/>
      </c>
      <c r="D523" s="189"/>
      <c r="E523" s="923"/>
      <c r="F523" s="923"/>
      <c r="G523" s="934"/>
      <c r="H523" s="934"/>
      <c r="I523" s="934"/>
      <c r="J523" s="934"/>
      <c r="K523" s="934"/>
      <c r="L523" s="934"/>
      <c r="M523" s="934"/>
      <c r="N523" s="929"/>
      <c r="O523" s="933" t="str">
        <f t="shared" si="15"/>
        <v/>
      </c>
      <c r="P523" s="929"/>
    </row>
    <row r="524" spans="1:16" hidden="1">
      <c r="A524" s="1974"/>
      <c r="B524" s="1974"/>
      <c r="C524" s="145" t="str">
        <f t="shared" si="14"/>
        <v/>
      </c>
      <c r="D524" s="189"/>
      <c r="E524" s="923"/>
      <c r="F524" s="923"/>
      <c r="G524" s="934"/>
      <c r="H524" s="934"/>
      <c r="I524" s="934"/>
      <c r="J524" s="934"/>
      <c r="K524" s="934"/>
      <c r="L524" s="934"/>
      <c r="M524" s="934"/>
      <c r="N524" s="929"/>
      <c r="O524" s="933" t="str">
        <f t="shared" si="15"/>
        <v/>
      </c>
      <c r="P524" s="929"/>
    </row>
    <row r="525" spans="1:16" hidden="1">
      <c r="A525" s="1974"/>
      <c r="B525" s="1974"/>
      <c r="C525" s="145" t="str">
        <f t="shared" si="14"/>
        <v/>
      </c>
      <c r="D525" s="189"/>
      <c r="E525" s="923"/>
      <c r="F525" s="923"/>
      <c r="G525" s="934"/>
      <c r="H525" s="934"/>
      <c r="I525" s="934"/>
      <c r="J525" s="934"/>
      <c r="K525" s="934"/>
      <c r="L525" s="934"/>
      <c r="M525" s="934"/>
      <c r="N525" s="929"/>
      <c r="O525" s="933" t="str">
        <f t="shared" si="15"/>
        <v/>
      </c>
      <c r="P525" s="929"/>
    </row>
    <row r="526" spans="1:16" hidden="1">
      <c r="A526" s="1974"/>
      <c r="B526" s="1974"/>
      <c r="C526" s="145" t="str">
        <f t="shared" si="14"/>
        <v/>
      </c>
      <c r="D526" s="189"/>
      <c r="E526" s="923"/>
      <c r="F526" s="923"/>
      <c r="G526" s="934"/>
      <c r="H526" s="934"/>
      <c r="I526" s="934"/>
      <c r="J526" s="934"/>
      <c r="K526" s="934"/>
      <c r="L526" s="934"/>
      <c r="M526" s="934"/>
      <c r="N526" s="929"/>
      <c r="O526" s="933" t="str">
        <f t="shared" si="15"/>
        <v/>
      </c>
      <c r="P526" s="929"/>
    </row>
    <row r="527" spans="1:16" hidden="1">
      <c r="A527" s="1974"/>
      <c r="B527" s="1974"/>
      <c r="C527" s="145" t="str">
        <f t="shared" si="14"/>
        <v/>
      </c>
      <c r="D527" s="189"/>
      <c r="E527" s="923"/>
      <c r="F527" s="923"/>
      <c r="G527" s="934"/>
      <c r="H527" s="934"/>
      <c r="I527" s="934"/>
      <c r="J527" s="934"/>
      <c r="K527" s="934"/>
      <c r="L527" s="934"/>
      <c r="M527" s="934"/>
      <c r="N527" s="929"/>
      <c r="O527" s="933" t="str">
        <f t="shared" si="15"/>
        <v/>
      </c>
      <c r="P527" s="929"/>
    </row>
    <row r="528" spans="1:16" hidden="1">
      <c r="A528" s="1974"/>
      <c r="B528" s="1974"/>
      <c r="C528" s="145" t="str">
        <f t="shared" ref="C528:C591" si="16">IF(A528&lt;&gt;"",ROW(),"")</f>
        <v/>
      </c>
      <c r="D528" s="189"/>
      <c r="E528" s="923"/>
      <c r="F528" s="923"/>
      <c r="G528" s="934"/>
      <c r="H528" s="934"/>
      <c r="I528" s="934"/>
      <c r="J528" s="934"/>
      <c r="K528" s="934"/>
      <c r="L528" s="934"/>
      <c r="M528" s="934"/>
      <c r="N528" s="929"/>
      <c r="O528" s="933" t="str">
        <f t="shared" si="15"/>
        <v/>
      </c>
      <c r="P528" s="929"/>
    </row>
    <row r="529" spans="1:16" hidden="1">
      <c r="A529" s="1974"/>
      <c r="B529" s="1974"/>
      <c r="C529" s="145" t="str">
        <f t="shared" si="16"/>
        <v/>
      </c>
      <c r="D529" s="189"/>
      <c r="E529" s="923"/>
      <c r="F529" s="923"/>
      <c r="G529" s="934"/>
      <c r="H529" s="934"/>
      <c r="I529" s="934"/>
      <c r="J529" s="934"/>
      <c r="K529" s="934"/>
      <c r="L529" s="934"/>
      <c r="M529" s="934"/>
      <c r="N529" s="929"/>
      <c r="O529" s="933" t="str">
        <f t="shared" ref="O529:O592" si="17">IF(A529&lt;&gt;"",A529,"")</f>
        <v/>
      </c>
      <c r="P529" s="929"/>
    </row>
    <row r="530" spans="1:16" hidden="1">
      <c r="A530" s="1974"/>
      <c r="B530" s="1974"/>
      <c r="C530" s="145" t="str">
        <f t="shared" si="16"/>
        <v/>
      </c>
      <c r="D530" s="189"/>
      <c r="E530" s="923"/>
      <c r="F530" s="923"/>
      <c r="G530" s="934"/>
      <c r="H530" s="934"/>
      <c r="I530" s="934"/>
      <c r="J530" s="934"/>
      <c r="K530" s="934"/>
      <c r="L530" s="934"/>
      <c r="M530" s="934"/>
      <c r="N530" s="929"/>
      <c r="O530" s="933" t="str">
        <f t="shared" si="17"/>
        <v/>
      </c>
      <c r="P530" s="929"/>
    </row>
    <row r="531" spans="1:16" hidden="1">
      <c r="A531" s="1974"/>
      <c r="B531" s="1974"/>
      <c r="C531" s="145" t="str">
        <f t="shared" si="16"/>
        <v/>
      </c>
      <c r="D531" s="189"/>
      <c r="E531" s="923"/>
      <c r="F531" s="923"/>
      <c r="G531" s="934"/>
      <c r="H531" s="934"/>
      <c r="I531" s="934"/>
      <c r="J531" s="934"/>
      <c r="K531" s="934"/>
      <c r="L531" s="934"/>
      <c r="M531" s="934"/>
      <c r="N531" s="929"/>
      <c r="O531" s="933" t="str">
        <f t="shared" si="17"/>
        <v/>
      </c>
      <c r="P531" s="929"/>
    </row>
    <row r="532" spans="1:16" hidden="1">
      <c r="A532" s="1974"/>
      <c r="B532" s="1974"/>
      <c r="C532" s="145" t="str">
        <f t="shared" si="16"/>
        <v/>
      </c>
      <c r="D532" s="189"/>
      <c r="E532" s="923"/>
      <c r="F532" s="923"/>
      <c r="G532" s="934"/>
      <c r="H532" s="934"/>
      <c r="I532" s="934"/>
      <c r="J532" s="934"/>
      <c r="K532" s="934"/>
      <c r="L532" s="934"/>
      <c r="M532" s="934"/>
      <c r="N532" s="929"/>
      <c r="O532" s="933" t="str">
        <f t="shared" si="17"/>
        <v/>
      </c>
      <c r="P532" s="929"/>
    </row>
    <row r="533" spans="1:16" hidden="1">
      <c r="A533" s="1974"/>
      <c r="B533" s="1974"/>
      <c r="C533" s="145" t="str">
        <f t="shared" si="16"/>
        <v/>
      </c>
      <c r="D533" s="189"/>
      <c r="E533" s="923"/>
      <c r="F533" s="923"/>
      <c r="G533" s="934"/>
      <c r="H533" s="934"/>
      <c r="I533" s="934"/>
      <c r="J533" s="934"/>
      <c r="K533" s="934"/>
      <c r="L533" s="934"/>
      <c r="M533" s="934"/>
      <c r="N533" s="929"/>
      <c r="O533" s="933" t="str">
        <f t="shared" si="17"/>
        <v/>
      </c>
      <c r="P533" s="929"/>
    </row>
    <row r="534" spans="1:16" hidden="1">
      <c r="A534" s="1974"/>
      <c r="B534" s="1974"/>
      <c r="C534" s="145" t="str">
        <f t="shared" si="16"/>
        <v/>
      </c>
      <c r="D534" s="189"/>
      <c r="E534" s="923"/>
      <c r="F534" s="923"/>
      <c r="G534" s="934"/>
      <c r="H534" s="934"/>
      <c r="I534" s="934"/>
      <c r="J534" s="934"/>
      <c r="K534" s="934"/>
      <c r="L534" s="934"/>
      <c r="M534" s="934"/>
      <c r="N534" s="929"/>
      <c r="O534" s="933" t="str">
        <f t="shared" si="17"/>
        <v/>
      </c>
      <c r="P534" s="929"/>
    </row>
    <row r="535" spans="1:16" hidden="1">
      <c r="A535" s="1974"/>
      <c r="B535" s="1974"/>
      <c r="C535" s="145" t="str">
        <f t="shared" si="16"/>
        <v/>
      </c>
      <c r="D535" s="189"/>
      <c r="E535" s="923"/>
      <c r="F535" s="923"/>
      <c r="G535" s="934"/>
      <c r="H535" s="934"/>
      <c r="I535" s="934"/>
      <c r="J535" s="934"/>
      <c r="K535" s="934"/>
      <c r="L535" s="934"/>
      <c r="M535" s="934"/>
      <c r="N535" s="929"/>
      <c r="O535" s="933" t="str">
        <f t="shared" si="17"/>
        <v/>
      </c>
      <c r="P535" s="929"/>
    </row>
    <row r="536" spans="1:16" hidden="1">
      <c r="A536" s="1974"/>
      <c r="B536" s="1974"/>
      <c r="C536" s="145" t="str">
        <f t="shared" si="16"/>
        <v/>
      </c>
      <c r="D536" s="189"/>
      <c r="E536" s="923"/>
      <c r="F536" s="923"/>
      <c r="G536" s="934"/>
      <c r="H536" s="934"/>
      <c r="I536" s="934"/>
      <c r="J536" s="934"/>
      <c r="K536" s="934"/>
      <c r="L536" s="934"/>
      <c r="M536" s="934"/>
      <c r="N536" s="929"/>
      <c r="O536" s="933" t="str">
        <f t="shared" si="17"/>
        <v/>
      </c>
      <c r="P536" s="929"/>
    </row>
    <row r="537" spans="1:16" hidden="1">
      <c r="A537" s="1974"/>
      <c r="B537" s="1974"/>
      <c r="C537" s="145" t="str">
        <f t="shared" si="16"/>
        <v/>
      </c>
      <c r="D537" s="189"/>
      <c r="E537" s="923"/>
      <c r="F537" s="923"/>
      <c r="G537" s="934"/>
      <c r="H537" s="934"/>
      <c r="I537" s="934"/>
      <c r="J537" s="934"/>
      <c r="K537" s="934"/>
      <c r="L537" s="934"/>
      <c r="M537" s="934"/>
      <c r="N537" s="929"/>
      <c r="O537" s="933" t="str">
        <f t="shared" si="17"/>
        <v/>
      </c>
      <c r="P537" s="929"/>
    </row>
    <row r="538" spans="1:16" hidden="1">
      <c r="A538" s="1974"/>
      <c r="B538" s="1974"/>
      <c r="C538" s="145" t="str">
        <f t="shared" si="16"/>
        <v/>
      </c>
      <c r="D538" s="189"/>
      <c r="E538" s="923"/>
      <c r="F538" s="923"/>
      <c r="G538" s="934"/>
      <c r="H538" s="934"/>
      <c r="I538" s="934"/>
      <c r="J538" s="934"/>
      <c r="K538" s="934"/>
      <c r="L538" s="934"/>
      <c r="M538" s="934"/>
      <c r="N538" s="929"/>
      <c r="O538" s="933" t="str">
        <f t="shared" si="17"/>
        <v/>
      </c>
      <c r="P538" s="929"/>
    </row>
    <row r="539" spans="1:16" hidden="1">
      <c r="A539" s="1974"/>
      <c r="B539" s="1974"/>
      <c r="C539" s="145" t="str">
        <f t="shared" si="16"/>
        <v/>
      </c>
      <c r="D539" s="189"/>
      <c r="E539" s="923"/>
      <c r="F539" s="923"/>
      <c r="G539" s="934"/>
      <c r="H539" s="934"/>
      <c r="I539" s="934"/>
      <c r="J539" s="934"/>
      <c r="K539" s="934"/>
      <c r="L539" s="934"/>
      <c r="M539" s="934"/>
      <c r="N539" s="929"/>
      <c r="O539" s="933" t="str">
        <f t="shared" si="17"/>
        <v/>
      </c>
      <c r="P539" s="929"/>
    </row>
    <row r="540" spans="1:16" hidden="1">
      <c r="A540" s="1974"/>
      <c r="B540" s="1974"/>
      <c r="C540" s="145" t="str">
        <f t="shared" si="16"/>
        <v/>
      </c>
      <c r="D540" s="189"/>
      <c r="E540" s="923"/>
      <c r="F540" s="923"/>
      <c r="G540" s="934"/>
      <c r="H540" s="934"/>
      <c r="I540" s="934"/>
      <c r="J540" s="934"/>
      <c r="K540" s="934"/>
      <c r="L540" s="934"/>
      <c r="M540" s="934"/>
      <c r="N540" s="929"/>
      <c r="O540" s="933" t="str">
        <f t="shared" si="17"/>
        <v/>
      </c>
      <c r="P540" s="929"/>
    </row>
    <row r="541" spans="1:16" hidden="1">
      <c r="A541" s="1974"/>
      <c r="B541" s="1974"/>
      <c r="C541" s="145" t="str">
        <f t="shared" si="16"/>
        <v/>
      </c>
      <c r="D541" s="189"/>
      <c r="E541" s="923"/>
      <c r="F541" s="923"/>
      <c r="G541" s="934"/>
      <c r="H541" s="934"/>
      <c r="I541" s="934"/>
      <c r="J541" s="934"/>
      <c r="K541" s="934"/>
      <c r="L541" s="934"/>
      <c r="M541" s="934"/>
      <c r="N541" s="929"/>
      <c r="O541" s="933" t="str">
        <f t="shared" si="17"/>
        <v/>
      </c>
      <c r="P541" s="929"/>
    </row>
    <row r="542" spans="1:16" hidden="1">
      <c r="A542" s="1974"/>
      <c r="B542" s="1974"/>
      <c r="C542" s="145" t="str">
        <f t="shared" si="16"/>
        <v/>
      </c>
      <c r="D542" s="189"/>
      <c r="E542" s="923"/>
      <c r="F542" s="923"/>
      <c r="G542" s="934"/>
      <c r="H542" s="934"/>
      <c r="I542" s="934"/>
      <c r="J542" s="934"/>
      <c r="K542" s="934"/>
      <c r="L542" s="934"/>
      <c r="M542" s="934"/>
      <c r="N542" s="929"/>
      <c r="O542" s="933" t="str">
        <f t="shared" si="17"/>
        <v/>
      </c>
      <c r="P542" s="929"/>
    </row>
    <row r="543" spans="1:16" hidden="1">
      <c r="A543" s="1974"/>
      <c r="B543" s="1974"/>
      <c r="C543" s="145" t="str">
        <f t="shared" si="16"/>
        <v/>
      </c>
      <c r="D543" s="189"/>
      <c r="E543" s="923"/>
      <c r="F543" s="923"/>
      <c r="G543" s="934"/>
      <c r="H543" s="934"/>
      <c r="I543" s="934"/>
      <c r="J543" s="934"/>
      <c r="K543" s="934"/>
      <c r="L543" s="934"/>
      <c r="M543" s="934"/>
      <c r="N543" s="929"/>
      <c r="O543" s="933" t="str">
        <f t="shared" si="17"/>
        <v/>
      </c>
      <c r="P543" s="929"/>
    </row>
    <row r="544" spans="1:16" hidden="1">
      <c r="A544" s="1974"/>
      <c r="B544" s="1974"/>
      <c r="C544" s="145" t="str">
        <f t="shared" si="16"/>
        <v/>
      </c>
      <c r="D544" s="189"/>
      <c r="E544" s="923"/>
      <c r="F544" s="923"/>
      <c r="G544" s="934"/>
      <c r="H544" s="934"/>
      <c r="I544" s="934"/>
      <c r="J544" s="934"/>
      <c r="K544" s="934"/>
      <c r="L544" s="934"/>
      <c r="M544" s="934"/>
      <c r="N544" s="929"/>
      <c r="O544" s="933" t="str">
        <f t="shared" si="17"/>
        <v/>
      </c>
      <c r="P544" s="929"/>
    </row>
    <row r="545" spans="1:16" hidden="1">
      <c r="A545" s="1974"/>
      <c r="B545" s="1974"/>
      <c r="C545" s="145" t="str">
        <f t="shared" si="16"/>
        <v/>
      </c>
      <c r="D545" s="189"/>
      <c r="E545" s="923"/>
      <c r="F545" s="923"/>
      <c r="G545" s="934"/>
      <c r="H545" s="934"/>
      <c r="I545" s="934"/>
      <c r="J545" s="934"/>
      <c r="K545" s="934"/>
      <c r="L545" s="934"/>
      <c r="M545" s="934"/>
      <c r="N545" s="929"/>
      <c r="O545" s="933" t="str">
        <f t="shared" si="17"/>
        <v/>
      </c>
      <c r="P545" s="929"/>
    </row>
    <row r="546" spans="1:16" hidden="1">
      <c r="A546" s="1974"/>
      <c r="B546" s="1974"/>
      <c r="C546" s="145" t="str">
        <f t="shared" si="16"/>
        <v/>
      </c>
      <c r="D546" s="189"/>
      <c r="E546" s="923"/>
      <c r="F546" s="923"/>
      <c r="G546" s="934"/>
      <c r="H546" s="934"/>
      <c r="I546" s="934"/>
      <c r="J546" s="934"/>
      <c r="K546" s="934"/>
      <c r="L546" s="934"/>
      <c r="M546" s="934"/>
      <c r="N546" s="929"/>
      <c r="O546" s="933" t="str">
        <f t="shared" si="17"/>
        <v/>
      </c>
      <c r="P546" s="929"/>
    </row>
    <row r="547" spans="1:16" hidden="1">
      <c r="A547" s="1974"/>
      <c r="B547" s="1974"/>
      <c r="C547" s="145" t="str">
        <f t="shared" si="16"/>
        <v/>
      </c>
      <c r="D547" s="189"/>
      <c r="E547" s="923"/>
      <c r="F547" s="923"/>
      <c r="G547" s="934"/>
      <c r="H547" s="934"/>
      <c r="I547" s="934"/>
      <c r="J547" s="934"/>
      <c r="K547" s="934"/>
      <c r="L547" s="934"/>
      <c r="M547" s="934"/>
      <c r="N547" s="929"/>
      <c r="O547" s="933" t="str">
        <f t="shared" si="17"/>
        <v/>
      </c>
      <c r="P547" s="929"/>
    </row>
    <row r="548" spans="1:16" hidden="1">
      <c r="A548" s="1974"/>
      <c r="B548" s="1974"/>
      <c r="C548" s="145" t="str">
        <f t="shared" si="16"/>
        <v/>
      </c>
      <c r="D548" s="189"/>
      <c r="E548" s="923"/>
      <c r="F548" s="923"/>
      <c r="G548" s="934"/>
      <c r="H548" s="934"/>
      <c r="I548" s="934"/>
      <c r="J548" s="934"/>
      <c r="K548" s="934"/>
      <c r="L548" s="934"/>
      <c r="M548" s="934"/>
      <c r="N548" s="929"/>
      <c r="O548" s="933" t="str">
        <f t="shared" si="17"/>
        <v/>
      </c>
      <c r="P548" s="929"/>
    </row>
    <row r="549" spans="1:16" hidden="1">
      <c r="A549" s="1974"/>
      <c r="B549" s="1974"/>
      <c r="C549" s="145" t="str">
        <f t="shared" si="16"/>
        <v/>
      </c>
      <c r="D549" s="189"/>
      <c r="E549" s="923"/>
      <c r="F549" s="923"/>
      <c r="G549" s="934"/>
      <c r="H549" s="934"/>
      <c r="I549" s="934"/>
      <c r="J549" s="934"/>
      <c r="K549" s="934"/>
      <c r="L549" s="934"/>
      <c r="M549" s="934"/>
      <c r="N549" s="929"/>
      <c r="O549" s="933" t="str">
        <f t="shared" si="17"/>
        <v/>
      </c>
      <c r="P549" s="929"/>
    </row>
    <row r="550" spans="1:16" hidden="1">
      <c r="A550" s="1974"/>
      <c r="B550" s="1974"/>
      <c r="C550" s="145" t="str">
        <f t="shared" si="16"/>
        <v/>
      </c>
      <c r="D550" s="189"/>
      <c r="E550" s="923"/>
      <c r="F550" s="923"/>
      <c r="G550" s="934"/>
      <c r="H550" s="934"/>
      <c r="I550" s="934"/>
      <c r="J550" s="934"/>
      <c r="K550" s="934"/>
      <c r="L550" s="934"/>
      <c r="M550" s="934"/>
      <c r="N550" s="929"/>
      <c r="O550" s="933" t="str">
        <f t="shared" si="17"/>
        <v/>
      </c>
      <c r="P550" s="929"/>
    </row>
    <row r="551" spans="1:16" hidden="1">
      <c r="A551" s="1974"/>
      <c r="B551" s="1974"/>
      <c r="C551" s="145" t="str">
        <f t="shared" si="16"/>
        <v/>
      </c>
      <c r="D551" s="189"/>
      <c r="E551" s="923"/>
      <c r="F551" s="923"/>
      <c r="G551" s="934"/>
      <c r="H551" s="934"/>
      <c r="I551" s="934"/>
      <c r="J551" s="934"/>
      <c r="K551" s="934"/>
      <c r="L551" s="934"/>
      <c r="M551" s="934"/>
      <c r="N551" s="929"/>
      <c r="O551" s="933" t="str">
        <f t="shared" si="17"/>
        <v/>
      </c>
      <c r="P551" s="929"/>
    </row>
    <row r="552" spans="1:16" hidden="1">
      <c r="A552" s="1974"/>
      <c r="B552" s="1974"/>
      <c r="C552" s="145" t="str">
        <f t="shared" si="16"/>
        <v/>
      </c>
      <c r="D552" s="189"/>
      <c r="E552" s="923"/>
      <c r="F552" s="923"/>
      <c r="G552" s="934"/>
      <c r="H552" s="934"/>
      <c r="I552" s="934"/>
      <c r="J552" s="934"/>
      <c r="K552" s="934"/>
      <c r="L552" s="934"/>
      <c r="M552" s="934"/>
      <c r="N552" s="929"/>
      <c r="O552" s="933" t="str">
        <f t="shared" si="17"/>
        <v/>
      </c>
      <c r="P552" s="929"/>
    </row>
    <row r="553" spans="1:16" hidden="1">
      <c r="A553" s="1974"/>
      <c r="B553" s="1974"/>
      <c r="C553" s="145" t="str">
        <f t="shared" si="16"/>
        <v/>
      </c>
      <c r="D553" s="189"/>
      <c r="E553" s="923"/>
      <c r="F553" s="923"/>
      <c r="G553" s="934"/>
      <c r="H553" s="934"/>
      <c r="I553" s="934"/>
      <c r="J553" s="934"/>
      <c r="K553" s="934"/>
      <c r="L553" s="934"/>
      <c r="M553" s="934"/>
      <c r="N553" s="929"/>
      <c r="O553" s="933" t="str">
        <f t="shared" si="17"/>
        <v/>
      </c>
      <c r="P553" s="929"/>
    </row>
    <row r="554" spans="1:16" hidden="1">
      <c r="A554" s="1974"/>
      <c r="B554" s="1974"/>
      <c r="C554" s="145" t="str">
        <f t="shared" si="16"/>
        <v/>
      </c>
      <c r="D554" s="189"/>
      <c r="E554" s="923"/>
      <c r="F554" s="923"/>
      <c r="G554" s="934"/>
      <c r="H554" s="934"/>
      <c r="I554" s="934"/>
      <c r="J554" s="934"/>
      <c r="K554" s="934"/>
      <c r="L554" s="934"/>
      <c r="M554" s="934"/>
      <c r="N554" s="929"/>
      <c r="O554" s="933" t="str">
        <f t="shared" si="17"/>
        <v/>
      </c>
      <c r="P554" s="929"/>
    </row>
    <row r="555" spans="1:16" hidden="1">
      <c r="A555" s="1974"/>
      <c r="B555" s="1974"/>
      <c r="C555" s="145" t="str">
        <f t="shared" si="16"/>
        <v/>
      </c>
      <c r="D555" s="189"/>
      <c r="E555" s="923"/>
      <c r="F555" s="923"/>
      <c r="G555" s="934"/>
      <c r="H555" s="934"/>
      <c r="I555" s="934"/>
      <c r="J555" s="934"/>
      <c r="K555" s="934"/>
      <c r="L555" s="934"/>
      <c r="M555" s="934"/>
      <c r="N555" s="929"/>
      <c r="O555" s="933" t="str">
        <f t="shared" si="17"/>
        <v/>
      </c>
      <c r="P555" s="929"/>
    </row>
    <row r="556" spans="1:16" hidden="1">
      <c r="A556" s="1974"/>
      <c r="B556" s="1974"/>
      <c r="C556" s="145" t="str">
        <f t="shared" si="16"/>
        <v/>
      </c>
      <c r="D556" s="189"/>
      <c r="E556" s="923"/>
      <c r="F556" s="923"/>
      <c r="G556" s="934"/>
      <c r="H556" s="934"/>
      <c r="I556" s="934"/>
      <c r="J556" s="934"/>
      <c r="K556" s="934"/>
      <c r="L556" s="934"/>
      <c r="M556" s="934"/>
      <c r="N556" s="929"/>
      <c r="O556" s="933" t="str">
        <f t="shared" si="17"/>
        <v/>
      </c>
      <c r="P556" s="929"/>
    </row>
    <row r="557" spans="1:16" hidden="1">
      <c r="A557" s="1974"/>
      <c r="B557" s="1974"/>
      <c r="C557" s="145" t="str">
        <f t="shared" si="16"/>
        <v/>
      </c>
      <c r="D557" s="189"/>
      <c r="E557" s="923"/>
      <c r="F557" s="923"/>
      <c r="G557" s="934"/>
      <c r="H557" s="934"/>
      <c r="I557" s="934"/>
      <c r="J557" s="934"/>
      <c r="K557" s="934"/>
      <c r="L557" s="934"/>
      <c r="M557" s="934"/>
      <c r="N557" s="929"/>
      <c r="O557" s="933" t="str">
        <f t="shared" si="17"/>
        <v/>
      </c>
      <c r="P557" s="929"/>
    </row>
    <row r="558" spans="1:16" hidden="1">
      <c r="A558" s="1974"/>
      <c r="B558" s="1974"/>
      <c r="C558" s="145" t="str">
        <f t="shared" si="16"/>
        <v/>
      </c>
      <c r="D558" s="189"/>
      <c r="E558" s="923"/>
      <c r="F558" s="923"/>
      <c r="G558" s="934"/>
      <c r="H558" s="934"/>
      <c r="I558" s="934"/>
      <c r="J558" s="934"/>
      <c r="K558" s="934"/>
      <c r="L558" s="934"/>
      <c r="M558" s="934"/>
      <c r="N558" s="929"/>
      <c r="O558" s="933" t="str">
        <f t="shared" si="17"/>
        <v/>
      </c>
      <c r="P558" s="929"/>
    </row>
    <row r="559" spans="1:16" hidden="1">
      <c r="A559" s="1974"/>
      <c r="B559" s="1974"/>
      <c r="C559" s="145" t="str">
        <f t="shared" si="16"/>
        <v/>
      </c>
      <c r="D559" s="189"/>
      <c r="E559" s="923"/>
      <c r="F559" s="923"/>
      <c r="G559" s="934"/>
      <c r="H559" s="934"/>
      <c r="I559" s="934"/>
      <c r="J559" s="934"/>
      <c r="K559" s="934"/>
      <c r="L559" s="934"/>
      <c r="M559" s="934"/>
      <c r="N559" s="929"/>
      <c r="O559" s="933" t="str">
        <f t="shared" si="17"/>
        <v/>
      </c>
      <c r="P559" s="929"/>
    </row>
    <row r="560" spans="1:16" hidden="1">
      <c r="A560" s="1974"/>
      <c r="B560" s="1974"/>
      <c r="C560" s="145" t="str">
        <f t="shared" si="16"/>
        <v/>
      </c>
      <c r="D560" s="189"/>
      <c r="E560" s="923"/>
      <c r="F560" s="923"/>
      <c r="G560" s="934"/>
      <c r="H560" s="934"/>
      <c r="I560" s="934"/>
      <c r="J560" s="934"/>
      <c r="K560" s="934"/>
      <c r="L560" s="934"/>
      <c r="M560" s="934"/>
      <c r="N560" s="929"/>
      <c r="O560" s="933" t="str">
        <f t="shared" si="17"/>
        <v/>
      </c>
      <c r="P560" s="929"/>
    </row>
    <row r="561" spans="1:16" hidden="1">
      <c r="A561" s="1974"/>
      <c r="B561" s="1974"/>
      <c r="C561" s="145" t="str">
        <f t="shared" si="16"/>
        <v/>
      </c>
      <c r="D561" s="189"/>
      <c r="E561" s="923"/>
      <c r="F561" s="923"/>
      <c r="G561" s="934"/>
      <c r="H561" s="934"/>
      <c r="I561" s="934"/>
      <c r="J561" s="934"/>
      <c r="K561" s="934"/>
      <c r="L561" s="934"/>
      <c r="M561" s="934"/>
      <c r="N561" s="929"/>
      <c r="O561" s="933" t="str">
        <f t="shared" si="17"/>
        <v/>
      </c>
      <c r="P561" s="929"/>
    </row>
    <row r="562" spans="1:16" hidden="1">
      <c r="A562" s="1974"/>
      <c r="B562" s="1974"/>
      <c r="C562" s="145" t="str">
        <f t="shared" si="16"/>
        <v/>
      </c>
      <c r="D562" s="189"/>
      <c r="E562" s="923"/>
      <c r="F562" s="923"/>
      <c r="G562" s="934"/>
      <c r="H562" s="934"/>
      <c r="I562" s="934"/>
      <c r="J562" s="934"/>
      <c r="K562" s="934"/>
      <c r="L562" s="934"/>
      <c r="M562" s="934"/>
      <c r="N562" s="929"/>
      <c r="O562" s="933" t="str">
        <f t="shared" si="17"/>
        <v/>
      </c>
      <c r="P562" s="929"/>
    </row>
    <row r="563" spans="1:16" hidden="1">
      <c r="A563" s="1974"/>
      <c r="B563" s="1974"/>
      <c r="C563" s="145" t="str">
        <f t="shared" si="16"/>
        <v/>
      </c>
      <c r="D563" s="189"/>
      <c r="E563" s="923"/>
      <c r="F563" s="923"/>
      <c r="G563" s="934"/>
      <c r="H563" s="934"/>
      <c r="I563" s="934"/>
      <c r="J563" s="934"/>
      <c r="K563" s="934"/>
      <c r="L563" s="934"/>
      <c r="M563" s="934"/>
      <c r="N563" s="929"/>
      <c r="O563" s="933" t="str">
        <f t="shared" si="17"/>
        <v/>
      </c>
      <c r="P563" s="929"/>
    </row>
    <row r="564" spans="1:16" hidden="1">
      <c r="A564" s="1974"/>
      <c r="B564" s="1974"/>
      <c r="C564" s="145" t="str">
        <f t="shared" si="16"/>
        <v/>
      </c>
      <c r="D564" s="189"/>
      <c r="E564" s="923"/>
      <c r="F564" s="923"/>
      <c r="G564" s="934"/>
      <c r="H564" s="934"/>
      <c r="I564" s="934"/>
      <c r="J564" s="934"/>
      <c r="K564" s="934"/>
      <c r="L564" s="934"/>
      <c r="M564" s="934"/>
      <c r="N564" s="929"/>
      <c r="O564" s="933" t="str">
        <f t="shared" si="17"/>
        <v/>
      </c>
      <c r="P564" s="929"/>
    </row>
    <row r="565" spans="1:16" hidden="1">
      <c r="A565" s="1974"/>
      <c r="B565" s="1974"/>
      <c r="C565" s="145" t="str">
        <f t="shared" si="16"/>
        <v/>
      </c>
      <c r="D565" s="189"/>
      <c r="E565" s="923"/>
      <c r="F565" s="923"/>
      <c r="G565" s="934"/>
      <c r="H565" s="934"/>
      <c r="I565" s="934"/>
      <c r="J565" s="934"/>
      <c r="K565" s="934"/>
      <c r="L565" s="934"/>
      <c r="M565" s="934"/>
      <c r="N565" s="929"/>
      <c r="O565" s="933" t="str">
        <f t="shared" si="17"/>
        <v/>
      </c>
      <c r="P565" s="929"/>
    </row>
    <row r="566" spans="1:16" hidden="1">
      <c r="A566" s="1974"/>
      <c r="B566" s="1974"/>
      <c r="C566" s="145" t="str">
        <f t="shared" si="16"/>
        <v/>
      </c>
      <c r="D566" s="189"/>
      <c r="E566" s="923"/>
      <c r="F566" s="923"/>
      <c r="G566" s="934"/>
      <c r="H566" s="934"/>
      <c r="I566" s="934"/>
      <c r="J566" s="934"/>
      <c r="K566" s="934"/>
      <c r="L566" s="934"/>
      <c r="M566" s="934"/>
      <c r="N566" s="929"/>
      <c r="O566" s="933" t="str">
        <f t="shared" si="17"/>
        <v/>
      </c>
      <c r="P566" s="929"/>
    </row>
    <row r="567" spans="1:16" hidden="1">
      <c r="A567" s="1974"/>
      <c r="B567" s="1974"/>
      <c r="C567" s="145" t="str">
        <f t="shared" si="16"/>
        <v/>
      </c>
      <c r="D567" s="189"/>
      <c r="E567" s="923"/>
      <c r="F567" s="923"/>
      <c r="G567" s="934"/>
      <c r="H567" s="934"/>
      <c r="I567" s="934"/>
      <c r="J567" s="934"/>
      <c r="K567" s="934"/>
      <c r="L567" s="934"/>
      <c r="M567" s="934"/>
      <c r="N567" s="929"/>
      <c r="O567" s="933" t="str">
        <f t="shared" si="17"/>
        <v/>
      </c>
      <c r="P567" s="929"/>
    </row>
    <row r="568" spans="1:16" hidden="1">
      <c r="A568" s="1974"/>
      <c r="B568" s="1974"/>
      <c r="C568" s="145" t="str">
        <f t="shared" si="16"/>
        <v/>
      </c>
      <c r="D568" s="189"/>
      <c r="E568" s="923"/>
      <c r="F568" s="923"/>
      <c r="G568" s="934"/>
      <c r="H568" s="934"/>
      <c r="I568" s="934"/>
      <c r="J568" s="934"/>
      <c r="K568" s="934"/>
      <c r="L568" s="934"/>
      <c r="M568" s="934"/>
      <c r="N568" s="929"/>
      <c r="O568" s="933" t="str">
        <f t="shared" si="17"/>
        <v/>
      </c>
      <c r="P568" s="929"/>
    </row>
    <row r="569" spans="1:16" hidden="1">
      <c r="A569" s="1974"/>
      <c r="B569" s="1974"/>
      <c r="C569" s="145" t="str">
        <f t="shared" si="16"/>
        <v/>
      </c>
      <c r="D569" s="189"/>
      <c r="E569" s="923"/>
      <c r="F569" s="923"/>
      <c r="G569" s="934"/>
      <c r="H569" s="934"/>
      <c r="I569" s="934"/>
      <c r="J569" s="934"/>
      <c r="K569" s="934"/>
      <c r="L569" s="934"/>
      <c r="M569" s="934"/>
      <c r="N569" s="929"/>
      <c r="O569" s="933" t="str">
        <f t="shared" si="17"/>
        <v/>
      </c>
      <c r="P569" s="929"/>
    </row>
    <row r="570" spans="1:16" hidden="1">
      <c r="A570" s="1974"/>
      <c r="B570" s="1974"/>
      <c r="C570" s="145" t="str">
        <f t="shared" si="16"/>
        <v/>
      </c>
      <c r="D570" s="189"/>
      <c r="E570" s="923"/>
      <c r="F570" s="923"/>
      <c r="G570" s="934"/>
      <c r="H570" s="934"/>
      <c r="I570" s="934"/>
      <c r="J570" s="934"/>
      <c r="K570" s="934"/>
      <c r="L570" s="934"/>
      <c r="M570" s="934"/>
      <c r="N570" s="929"/>
      <c r="O570" s="933" t="str">
        <f t="shared" si="17"/>
        <v/>
      </c>
      <c r="P570" s="929"/>
    </row>
    <row r="571" spans="1:16" hidden="1">
      <c r="A571" s="1974"/>
      <c r="B571" s="1974"/>
      <c r="C571" s="145" t="str">
        <f t="shared" si="16"/>
        <v/>
      </c>
      <c r="D571" s="189"/>
      <c r="E571" s="923"/>
      <c r="F571" s="923"/>
      <c r="G571" s="934"/>
      <c r="H571" s="934"/>
      <c r="I571" s="934"/>
      <c r="J571" s="934"/>
      <c r="K571" s="934"/>
      <c r="L571" s="934"/>
      <c r="M571" s="934"/>
      <c r="N571" s="929"/>
      <c r="O571" s="933" t="str">
        <f t="shared" si="17"/>
        <v/>
      </c>
      <c r="P571" s="929"/>
    </row>
    <row r="572" spans="1:16" hidden="1">
      <c r="A572" s="1974"/>
      <c r="B572" s="1974"/>
      <c r="C572" s="145" t="str">
        <f t="shared" si="16"/>
        <v/>
      </c>
      <c r="D572" s="189"/>
      <c r="E572" s="923"/>
      <c r="F572" s="923"/>
      <c r="G572" s="934"/>
      <c r="H572" s="934"/>
      <c r="I572" s="934"/>
      <c r="J572" s="934"/>
      <c r="K572" s="934"/>
      <c r="L572" s="934"/>
      <c r="M572" s="934"/>
      <c r="N572" s="929"/>
      <c r="O572" s="933" t="str">
        <f t="shared" si="17"/>
        <v/>
      </c>
      <c r="P572" s="929"/>
    </row>
    <row r="573" spans="1:16" hidden="1">
      <c r="A573" s="1974"/>
      <c r="B573" s="1974"/>
      <c r="C573" s="145" t="str">
        <f t="shared" si="16"/>
        <v/>
      </c>
      <c r="D573" s="189"/>
      <c r="E573" s="923"/>
      <c r="F573" s="923"/>
      <c r="G573" s="934"/>
      <c r="H573" s="934"/>
      <c r="I573" s="934"/>
      <c r="J573" s="934"/>
      <c r="K573" s="934"/>
      <c r="L573" s="934"/>
      <c r="M573" s="934"/>
      <c r="N573" s="929"/>
      <c r="O573" s="933" t="str">
        <f t="shared" si="17"/>
        <v/>
      </c>
      <c r="P573" s="929"/>
    </row>
    <row r="574" spans="1:16" hidden="1">
      <c r="A574" s="1974"/>
      <c r="B574" s="1974"/>
      <c r="C574" s="145" t="str">
        <f t="shared" si="16"/>
        <v/>
      </c>
      <c r="D574" s="189"/>
      <c r="E574" s="923"/>
      <c r="F574" s="923"/>
      <c r="G574" s="934"/>
      <c r="H574" s="934"/>
      <c r="I574" s="934"/>
      <c r="J574" s="934"/>
      <c r="K574" s="934"/>
      <c r="L574" s="934"/>
      <c r="M574" s="934"/>
      <c r="N574" s="929"/>
      <c r="O574" s="933" t="str">
        <f t="shared" si="17"/>
        <v/>
      </c>
      <c r="P574" s="929"/>
    </row>
    <row r="575" spans="1:16" hidden="1">
      <c r="A575" s="1974"/>
      <c r="B575" s="1974"/>
      <c r="C575" s="145" t="str">
        <f t="shared" si="16"/>
        <v/>
      </c>
      <c r="D575" s="189"/>
      <c r="E575" s="923"/>
      <c r="F575" s="923"/>
      <c r="G575" s="934"/>
      <c r="H575" s="934"/>
      <c r="I575" s="934"/>
      <c r="J575" s="934"/>
      <c r="K575" s="934"/>
      <c r="L575" s="934"/>
      <c r="M575" s="934"/>
      <c r="N575" s="929"/>
      <c r="O575" s="933" t="str">
        <f t="shared" si="17"/>
        <v/>
      </c>
      <c r="P575" s="929"/>
    </row>
    <row r="576" spans="1:16" hidden="1">
      <c r="A576" s="1974"/>
      <c r="B576" s="1974"/>
      <c r="C576" s="145" t="str">
        <f t="shared" si="16"/>
        <v/>
      </c>
      <c r="D576" s="189"/>
      <c r="E576" s="923"/>
      <c r="F576" s="923"/>
      <c r="G576" s="934"/>
      <c r="H576" s="934"/>
      <c r="I576" s="934"/>
      <c r="J576" s="934"/>
      <c r="K576" s="934"/>
      <c r="L576" s="934"/>
      <c r="M576" s="934"/>
      <c r="N576" s="929"/>
      <c r="O576" s="933" t="str">
        <f t="shared" si="17"/>
        <v/>
      </c>
      <c r="P576" s="929"/>
    </row>
    <row r="577" spans="1:16" hidden="1">
      <c r="A577" s="1974"/>
      <c r="B577" s="1974"/>
      <c r="C577" s="145" t="str">
        <f t="shared" si="16"/>
        <v/>
      </c>
      <c r="D577" s="189"/>
      <c r="E577" s="923"/>
      <c r="F577" s="923"/>
      <c r="G577" s="934"/>
      <c r="H577" s="934"/>
      <c r="I577" s="934"/>
      <c r="J577" s="934"/>
      <c r="K577" s="934"/>
      <c r="L577" s="934"/>
      <c r="M577" s="934"/>
      <c r="N577" s="929"/>
      <c r="O577" s="933" t="str">
        <f t="shared" si="17"/>
        <v/>
      </c>
      <c r="P577" s="929"/>
    </row>
    <row r="578" spans="1:16" hidden="1">
      <c r="A578" s="1974"/>
      <c r="B578" s="1974"/>
      <c r="C578" s="145" t="str">
        <f t="shared" si="16"/>
        <v/>
      </c>
      <c r="D578" s="189"/>
      <c r="E578" s="923"/>
      <c r="F578" s="923"/>
      <c r="G578" s="934"/>
      <c r="H578" s="934"/>
      <c r="I578" s="934"/>
      <c r="J578" s="934"/>
      <c r="K578" s="934"/>
      <c r="L578" s="934"/>
      <c r="M578" s="934"/>
      <c r="N578" s="929"/>
      <c r="O578" s="933" t="str">
        <f t="shared" si="17"/>
        <v/>
      </c>
      <c r="P578" s="929"/>
    </row>
    <row r="579" spans="1:16" hidden="1">
      <c r="A579" s="1974"/>
      <c r="B579" s="1974"/>
      <c r="C579" s="145" t="str">
        <f t="shared" si="16"/>
        <v/>
      </c>
      <c r="D579" s="189"/>
      <c r="E579" s="923"/>
      <c r="F579" s="923"/>
      <c r="G579" s="934"/>
      <c r="H579" s="934"/>
      <c r="I579" s="934"/>
      <c r="J579" s="934"/>
      <c r="K579" s="934"/>
      <c r="L579" s="934"/>
      <c r="M579" s="934"/>
      <c r="N579" s="929"/>
      <c r="O579" s="933" t="str">
        <f t="shared" si="17"/>
        <v/>
      </c>
      <c r="P579" s="929"/>
    </row>
    <row r="580" spans="1:16" hidden="1">
      <c r="A580" s="1974"/>
      <c r="B580" s="1974"/>
      <c r="C580" s="145" t="str">
        <f t="shared" si="16"/>
        <v/>
      </c>
      <c r="D580" s="189"/>
      <c r="E580" s="923"/>
      <c r="F580" s="923"/>
      <c r="G580" s="934"/>
      <c r="H580" s="934"/>
      <c r="I580" s="934"/>
      <c r="J580" s="934"/>
      <c r="K580" s="934"/>
      <c r="L580" s="934"/>
      <c r="M580" s="934"/>
      <c r="N580" s="929"/>
      <c r="O580" s="933" t="str">
        <f t="shared" si="17"/>
        <v/>
      </c>
      <c r="P580" s="929"/>
    </row>
    <row r="581" spans="1:16" hidden="1">
      <c r="A581" s="1974"/>
      <c r="B581" s="1974"/>
      <c r="C581" s="145" t="str">
        <f t="shared" si="16"/>
        <v/>
      </c>
      <c r="D581" s="189"/>
      <c r="E581" s="923"/>
      <c r="F581" s="923"/>
      <c r="G581" s="934"/>
      <c r="H581" s="934"/>
      <c r="I581" s="934"/>
      <c r="J581" s="934"/>
      <c r="K581" s="934"/>
      <c r="L581" s="934"/>
      <c r="M581" s="934"/>
      <c r="N581" s="929"/>
      <c r="O581" s="933" t="str">
        <f t="shared" si="17"/>
        <v/>
      </c>
      <c r="P581" s="929"/>
    </row>
    <row r="582" spans="1:16" hidden="1">
      <c r="A582" s="1974"/>
      <c r="B582" s="1974"/>
      <c r="C582" s="145" t="str">
        <f t="shared" si="16"/>
        <v/>
      </c>
      <c r="D582" s="189"/>
      <c r="E582" s="923"/>
      <c r="F582" s="923"/>
      <c r="G582" s="934"/>
      <c r="H582" s="934"/>
      <c r="I582" s="934"/>
      <c r="J582" s="934"/>
      <c r="K582" s="934"/>
      <c r="L582" s="934"/>
      <c r="M582" s="934"/>
      <c r="N582" s="929"/>
      <c r="O582" s="933" t="str">
        <f t="shared" si="17"/>
        <v/>
      </c>
      <c r="P582" s="929"/>
    </row>
    <row r="583" spans="1:16" hidden="1">
      <c r="A583" s="1974"/>
      <c r="B583" s="1974"/>
      <c r="C583" s="145" t="str">
        <f t="shared" si="16"/>
        <v/>
      </c>
      <c r="D583" s="189"/>
      <c r="E583" s="923"/>
      <c r="F583" s="923"/>
      <c r="G583" s="934"/>
      <c r="H583" s="934"/>
      <c r="I583" s="934"/>
      <c r="J583" s="934"/>
      <c r="K583" s="934"/>
      <c r="L583" s="934"/>
      <c r="M583" s="934"/>
      <c r="N583" s="929"/>
      <c r="O583" s="933" t="str">
        <f t="shared" si="17"/>
        <v/>
      </c>
      <c r="P583" s="929"/>
    </row>
    <row r="584" spans="1:16" hidden="1">
      <c r="A584" s="1974"/>
      <c r="B584" s="1974"/>
      <c r="C584" s="145" t="str">
        <f t="shared" si="16"/>
        <v/>
      </c>
      <c r="D584" s="189"/>
      <c r="E584" s="923"/>
      <c r="F584" s="923"/>
      <c r="G584" s="934"/>
      <c r="H584" s="934"/>
      <c r="I584" s="934"/>
      <c r="J584" s="934"/>
      <c r="K584" s="934"/>
      <c r="L584" s="934"/>
      <c r="M584" s="934"/>
      <c r="N584" s="929"/>
      <c r="O584" s="933" t="str">
        <f t="shared" si="17"/>
        <v/>
      </c>
      <c r="P584" s="929"/>
    </row>
    <row r="585" spans="1:16" hidden="1">
      <c r="A585" s="1974"/>
      <c r="B585" s="1974"/>
      <c r="C585" s="145" t="str">
        <f t="shared" si="16"/>
        <v/>
      </c>
      <c r="D585" s="189"/>
      <c r="E585" s="923"/>
      <c r="F585" s="923"/>
      <c r="G585" s="934"/>
      <c r="H585" s="934"/>
      <c r="I585" s="934"/>
      <c r="J585" s="934"/>
      <c r="K585" s="934"/>
      <c r="L585" s="934"/>
      <c r="M585" s="934"/>
      <c r="N585" s="929"/>
      <c r="O585" s="933" t="str">
        <f t="shared" si="17"/>
        <v/>
      </c>
      <c r="P585" s="929"/>
    </row>
    <row r="586" spans="1:16" hidden="1">
      <c r="A586" s="1974"/>
      <c r="B586" s="1974"/>
      <c r="C586" s="145" t="str">
        <f t="shared" si="16"/>
        <v/>
      </c>
      <c r="D586" s="189"/>
      <c r="E586" s="923"/>
      <c r="F586" s="923"/>
      <c r="G586" s="934"/>
      <c r="H586" s="934"/>
      <c r="I586" s="934"/>
      <c r="J586" s="934"/>
      <c r="K586" s="934"/>
      <c r="L586" s="934"/>
      <c r="M586" s="934"/>
      <c r="N586" s="929"/>
      <c r="O586" s="933" t="str">
        <f t="shared" si="17"/>
        <v/>
      </c>
      <c r="P586" s="929"/>
    </row>
    <row r="587" spans="1:16" hidden="1">
      <c r="A587" s="1974"/>
      <c r="B587" s="1974"/>
      <c r="C587" s="145" t="str">
        <f t="shared" si="16"/>
        <v/>
      </c>
      <c r="D587" s="189"/>
      <c r="E587" s="923"/>
      <c r="F587" s="923"/>
      <c r="G587" s="934"/>
      <c r="H587" s="934"/>
      <c r="I587" s="934"/>
      <c r="J587" s="934"/>
      <c r="K587" s="934"/>
      <c r="L587" s="934"/>
      <c r="M587" s="934"/>
      <c r="N587" s="929"/>
      <c r="O587" s="933" t="str">
        <f t="shared" si="17"/>
        <v/>
      </c>
      <c r="P587" s="929"/>
    </row>
    <row r="588" spans="1:16" hidden="1">
      <c r="A588" s="1974"/>
      <c r="B588" s="1974"/>
      <c r="C588" s="145" t="str">
        <f t="shared" si="16"/>
        <v/>
      </c>
      <c r="D588" s="189"/>
      <c r="E588" s="923"/>
      <c r="F588" s="923"/>
      <c r="G588" s="934"/>
      <c r="H588" s="934"/>
      <c r="I588" s="934"/>
      <c r="J588" s="934"/>
      <c r="K588" s="934"/>
      <c r="L588" s="934"/>
      <c r="M588" s="934"/>
      <c r="N588" s="929"/>
      <c r="O588" s="933" t="str">
        <f t="shared" si="17"/>
        <v/>
      </c>
      <c r="P588" s="929"/>
    </row>
    <row r="589" spans="1:16" hidden="1">
      <c r="A589" s="1974"/>
      <c r="B589" s="1974"/>
      <c r="C589" s="145" t="str">
        <f t="shared" si="16"/>
        <v/>
      </c>
      <c r="D589" s="189"/>
      <c r="E589" s="923"/>
      <c r="F589" s="923"/>
      <c r="G589" s="934"/>
      <c r="H589" s="934"/>
      <c r="I589" s="934"/>
      <c r="J589" s="934"/>
      <c r="K589" s="934"/>
      <c r="L589" s="934"/>
      <c r="M589" s="934"/>
      <c r="N589" s="929"/>
      <c r="O589" s="933" t="str">
        <f t="shared" si="17"/>
        <v/>
      </c>
      <c r="P589" s="929"/>
    </row>
    <row r="590" spans="1:16" hidden="1">
      <c r="A590" s="1974"/>
      <c r="B590" s="1974"/>
      <c r="C590" s="145" t="str">
        <f t="shared" si="16"/>
        <v/>
      </c>
      <c r="D590" s="189"/>
      <c r="E590" s="923"/>
      <c r="F590" s="923"/>
      <c r="G590" s="934"/>
      <c r="H590" s="934"/>
      <c r="I590" s="934"/>
      <c r="J590" s="934"/>
      <c r="K590" s="934"/>
      <c r="L590" s="934"/>
      <c r="M590" s="934"/>
      <c r="N590" s="929"/>
      <c r="O590" s="933" t="str">
        <f t="shared" si="17"/>
        <v/>
      </c>
      <c r="P590" s="929"/>
    </row>
    <row r="591" spans="1:16" hidden="1">
      <c r="A591" s="1974"/>
      <c r="B591" s="1974"/>
      <c r="C591" s="145" t="str">
        <f t="shared" si="16"/>
        <v/>
      </c>
      <c r="D591" s="189"/>
      <c r="E591" s="923"/>
      <c r="F591" s="923"/>
      <c r="G591" s="934"/>
      <c r="H591" s="934"/>
      <c r="I591" s="934"/>
      <c r="J591" s="934"/>
      <c r="K591" s="934"/>
      <c r="L591" s="934"/>
      <c r="M591" s="934"/>
      <c r="N591" s="929"/>
      <c r="O591" s="933" t="str">
        <f t="shared" si="17"/>
        <v/>
      </c>
      <c r="P591" s="929"/>
    </row>
    <row r="592" spans="1:16" hidden="1">
      <c r="A592" s="1974"/>
      <c r="B592" s="1974"/>
      <c r="C592" s="145" t="str">
        <f t="shared" ref="C592:C655" si="18">IF(A592&lt;&gt;"",ROW(),"")</f>
        <v/>
      </c>
      <c r="D592" s="189"/>
      <c r="E592" s="923"/>
      <c r="F592" s="923"/>
      <c r="G592" s="934"/>
      <c r="H592" s="934"/>
      <c r="I592" s="934"/>
      <c r="J592" s="934"/>
      <c r="K592" s="934"/>
      <c r="L592" s="934"/>
      <c r="M592" s="934"/>
      <c r="N592" s="929"/>
      <c r="O592" s="933" t="str">
        <f t="shared" si="17"/>
        <v/>
      </c>
      <c r="P592" s="929"/>
    </row>
    <row r="593" spans="1:16" hidden="1">
      <c r="A593" s="1974"/>
      <c r="B593" s="1974"/>
      <c r="C593" s="145" t="str">
        <f t="shared" si="18"/>
        <v/>
      </c>
      <c r="D593" s="189"/>
      <c r="E593" s="923"/>
      <c r="F593" s="923"/>
      <c r="G593" s="934"/>
      <c r="H593" s="934"/>
      <c r="I593" s="934"/>
      <c r="J593" s="934"/>
      <c r="K593" s="934"/>
      <c r="L593" s="934"/>
      <c r="M593" s="934"/>
      <c r="N593" s="929"/>
      <c r="O593" s="933" t="str">
        <f t="shared" ref="O593:O656" si="19">IF(A593&lt;&gt;"",A593,"")</f>
        <v/>
      </c>
      <c r="P593" s="929"/>
    </row>
    <row r="594" spans="1:16" hidden="1">
      <c r="A594" s="1974"/>
      <c r="B594" s="1974"/>
      <c r="C594" s="145" t="str">
        <f t="shared" si="18"/>
        <v/>
      </c>
      <c r="D594" s="189"/>
      <c r="E594" s="923"/>
      <c r="F594" s="923"/>
      <c r="G594" s="934"/>
      <c r="H594" s="934"/>
      <c r="I594" s="934"/>
      <c r="J594" s="934"/>
      <c r="K594" s="934"/>
      <c r="L594" s="934"/>
      <c r="M594" s="934"/>
      <c r="N594" s="929"/>
      <c r="O594" s="933" t="str">
        <f t="shared" si="19"/>
        <v/>
      </c>
      <c r="P594" s="929"/>
    </row>
    <row r="595" spans="1:16" hidden="1">
      <c r="A595" s="1974"/>
      <c r="B595" s="1974"/>
      <c r="C595" s="145" t="str">
        <f t="shared" si="18"/>
        <v/>
      </c>
      <c r="D595" s="189"/>
      <c r="E595" s="923"/>
      <c r="F595" s="923"/>
      <c r="G595" s="934"/>
      <c r="H595" s="934"/>
      <c r="I595" s="934"/>
      <c r="J595" s="934"/>
      <c r="K595" s="934"/>
      <c r="L595" s="934"/>
      <c r="M595" s="934"/>
      <c r="N595" s="929"/>
      <c r="O595" s="933" t="str">
        <f t="shared" si="19"/>
        <v/>
      </c>
      <c r="P595" s="929"/>
    </row>
    <row r="596" spans="1:16" hidden="1">
      <c r="A596" s="1974"/>
      <c r="B596" s="1974"/>
      <c r="C596" s="145" t="str">
        <f t="shared" si="18"/>
        <v/>
      </c>
      <c r="D596" s="189"/>
      <c r="E596" s="923"/>
      <c r="F596" s="923"/>
      <c r="G596" s="934"/>
      <c r="H596" s="934"/>
      <c r="I596" s="934"/>
      <c r="J596" s="934"/>
      <c r="K596" s="934"/>
      <c r="L596" s="934"/>
      <c r="M596" s="934"/>
      <c r="N596" s="929"/>
      <c r="O596" s="933" t="str">
        <f t="shared" si="19"/>
        <v/>
      </c>
      <c r="P596" s="929"/>
    </row>
    <row r="597" spans="1:16" hidden="1">
      <c r="A597" s="1974"/>
      <c r="B597" s="1974"/>
      <c r="C597" s="145" t="str">
        <f t="shared" si="18"/>
        <v/>
      </c>
      <c r="D597" s="189"/>
      <c r="E597" s="923"/>
      <c r="F597" s="923"/>
      <c r="G597" s="934"/>
      <c r="H597" s="934"/>
      <c r="I597" s="934"/>
      <c r="J597" s="934"/>
      <c r="K597" s="934"/>
      <c r="L597" s="934"/>
      <c r="M597" s="934"/>
      <c r="N597" s="929"/>
      <c r="O597" s="933" t="str">
        <f t="shared" si="19"/>
        <v/>
      </c>
      <c r="P597" s="929"/>
    </row>
    <row r="598" spans="1:16" hidden="1">
      <c r="A598" s="1974"/>
      <c r="B598" s="1974"/>
      <c r="C598" s="145" t="str">
        <f t="shared" si="18"/>
        <v/>
      </c>
      <c r="D598" s="189"/>
      <c r="E598" s="923"/>
      <c r="F598" s="923"/>
      <c r="G598" s="934"/>
      <c r="H598" s="934"/>
      <c r="I598" s="934"/>
      <c r="J598" s="934"/>
      <c r="K598" s="934"/>
      <c r="L598" s="934"/>
      <c r="M598" s="934"/>
      <c r="N598" s="929"/>
      <c r="O598" s="933" t="str">
        <f t="shared" si="19"/>
        <v/>
      </c>
      <c r="P598" s="929"/>
    </row>
    <row r="599" spans="1:16" hidden="1">
      <c r="A599" s="1974"/>
      <c r="B599" s="1974"/>
      <c r="C599" s="145" t="str">
        <f t="shared" si="18"/>
        <v/>
      </c>
      <c r="D599" s="189"/>
      <c r="E599" s="923"/>
      <c r="F599" s="923"/>
      <c r="G599" s="934"/>
      <c r="H599" s="934"/>
      <c r="I599" s="934"/>
      <c r="J599" s="934"/>
      <c r="K599" s="934"/>
      <c r="L599" s="934"/>
      <c r="M599" s="934"/>
      <c r="N599" s="929"/>
      <c r="O599" s="933" t="str">
        <f t="shared" si="19"/>
        <v/>
      </c>
      <c r="P599" s="929"/>
    </row>
    <row r="600" spans="1:16" hidden="1">
      <c r="A600" s="1974"/>
      <c r="B600" s="1974"/>
      <c r="C600" s="145" t="str">
        <f t="shared" si="18"/>
        <v/>
      </c>
      <c r="D600" s="189"/>
      <c r="E600" s="923"/>
      <c r="F600" s="923"/>
      <c r="G600" s="934"/>
      <c r="H600" s="934"/>
      <c r="I600" s="934"/>
      <c r="J600" s="934"/>
      <c r="K600" s="934"/>
      <c r="L600" s="934"/>
      <c r="M600" s="934"/>
      <c r="N600" s="929"/>
      <c r="O600" s="933" t="str">
        <f t="shared" si="19"/>
        <v/>
      </c>
      <c r="P600" s="929"/>
    </row>
    <row r="601" spans="1:16" hidden="1">
      <c r="A601" s="1974"/>
      <c r="B601" s="1974"/>
      <c r="C601" s="145" t="str">
        <f t="shared" si="18"/>
        <v/>
      </c>
      <c r="D601" s="189"/>
      <c r="E601" s="923"/>
      <c r="F601" s="923"/>
      <c r="G601" s="934"/>
      <c r="H601" s="934"/>
      <c r="I601" s="934"/>
      <c r="J601" s="934"/>
      <c r="K601" s="934"/>
      <c r="L601" s="934"/>
      <c r="M601" s="934"/>
      <c r="N601" s="929"/>
      <c r="O601" s="933" t="str">
        <f t="shared" si="19"/>
        <v/>
      </c>
      <c r="P601" s="929"/>
    </row>
    <row r="602" spans="1:16" hidden="1">
      <c r="A602" s="1974"/>
      <c r="B602" s="1974"/>
      <c r="C602" s="145" t="str">
        <f t="shared" si="18"/>
        <v/>
      </c>
      <c r="D602" s="189"/>
      <c r="E602" s="923"/>
      <c r="F602" s="923"/>
      <c r="G602" s="934"/>
      <c r="H602" s="934"/>
      <c r="I602" s="934"/>
      <c r="J602" s="934"/>
      <c r="K602" s="934"/>
      <c r="L602" s="934"/>
      <c r="M602" s="934"/>
      <c r="N602" s="929"/>
      <c r="O602" s="933" t="str">
        <f t="shared" si="19"/>
        <v/>
      </c>
      <c r="P602" s="929"/>
    </row>
    <row r="603" spans="1:16" hidden="1">
      <c r="A603" s="1974"/>
      <c r="B603" s="1974"/>
      <c r="C603" s="145" t="str">
        <f t="shared" si="18"/>
        <v/>
      </c>
      <c r="D603" s="189"/>
      <c r="E603" s="923"/>
      <c r="F603" s="923"/>
      <c r="G603" s="934"/>
      <c r="H603" s="934"/>
      <c r="I603" s="934"/>
      <c r="J603" s="934"/>
      <c r="K603" s="934"/>
      <c r="L603" s="934"/>
      <c r="M603" s="934"/>
      <c r="N603" s="929"/>
      <c r="O603" s="933" t="str">
        <f t="shared" si="19"/>
        <v/>
      </c>
      <c r="P603" s="929"/>
    </row>
    <row r="604" spans="1:16" hidden="1">
      <c r="A604" s="1974"/>
      <c r="B604" s="1974"/>
      <c r="C604" s="145" t="str">
        <f t="shared" si="18"/>
        <v/>
      </c>
      <c r="D604" s="189"/>
      <c r="E604" s="923"/>
      <c r="F604" s="923"/>
      <c r="G604" s="934"/>
      <c r="H604" s="934"/>
      <c r="I604" s="934"/>
      <c r="J604" s="934"/>
      <c r="K604" s="934"/>
      <c r="L604" s="934"/>
      <c r="M604" s="934"/>
      <c r="N604" s="929"/>
      <c r="O604" s="933" t="str">
        <f t="shared" si="19"/>
        <v/>
      </c>
      <c r="P604" s="929"/>
    </row>
    <row r="605" spans="1:16" hidden="1">
      <c r="A605" s="1974"/>
      <c r="B605" s="1974"/>
      <c r="C605" s="145" t="str">
        <f t="shared" si="18"/>
        <v/>
      </c>
      <c r="D605" s="189"/>
      <c r="E605" s="923"/>
      <c r="F605" s="923"/>
      <c r="G605" s="934"/>
      <c r="H605" s="934"/>
      <c r="I605" s="934"/>
      <c r="J605" s="934"/>
      <c r="K605" s="934"/>
      <c r="L605" s="934"/>
      <c r="M605" s="934"/>
      <c r="N605" s="929"/>
      <c r="O605" s="933" t="str">
        <f t="shared" si="19"/>
        <v/>
      </c>
      <c r="P605" s="929"/>
    </row>
    <row r="606" spans="1:16" hidden="1">
      <c r="A606" s="1974"/>
      <c r="B606" s="1974"/>
      <c r="C606" s="145" t="str">
        <f t="shared" si="18"/>
        <v/>
      </c>
      <c r="D606" s="189"/>
      <c r="E606" s="923"/>
      <c r="F606" s="923"/>
      <c r="G606" s="934"/>
      <c r="H606" s="934"/>
      <c r="I606" s="934"/>
      <c r="J606" s="934"/>
      <c r="K606" s="934"/>
      <c r="L606" s="934"/>
      <c r="M606" s="934"/>
      <c r="N606" s="929"/>
      <c r="O606" s="933" t="str">
        <f t="shared" si="19"/>
        <v/>
      </c>
      <c r="P606" s="929"/>
    </row>
    <row r="607" spans="1:16" hidden="1">
      <c r="A607" s="1974"/>
      <c r="B607" s="1974"/>
      <c r="C607" s="145" t="str">
        <f t="shared" si="18"/>
        <v/>
      </c>
      <c r="D607" s="189"/>
      <c r="E607" s="923"/>
      <c r="F607" s="923"/>
      <c r="G607" s="934"/>
      <c r="H607" s="934"/>
      <c r="I607" s="934"/>
      <c r="J607" s="934"/>
      <c r="K607" s="934"/>
      <c r="L607" s="934"/>
      <c r="M607" s="934"/>
      <c r="N607" s="929"/>
      <c r="O607" s="933" t="str">
        <f t="shared" si="19"/>
        <v/>
      </c>
      <c r="P607" s="929"/>
    </row>
    <row r="608" spans="1:16" hidden="1">
      <c r="A608" s="1974"/>
      <c r="B608" s="1974"/>
      <c r="C608" s="145" t="str">
        <f t="shared" si="18"/>
        <v/>
      </c>
      <c r="D608" s="189"/>
      <c r="E608" s="923"/>
      <c r="F608" s="923"/>
      <c r="G608" s="934"/>
      <c r="H608" s="934"/>
      <c r="I608" s="934"/>
      <c r="J608" s="934"/>
      <c r="K608" s="934"/>
      <c r="L608" s="934"/>
      <c r="M608" s="934"/>
      <c r="N608" s="929"/>
      <c r="O608" s="933" t="str">
        <f t="shared" si="19"/>
        <v/>
      </c>
      <c r="P608" s="929"/>
    </row>
    <row r="609" spans="1:16" hidden="1">
      <c r="A609" s="1974"/>
      <c r="B609" s="1974"/>
      <c r="C609" s="145" t="str">
        <f t="shared" si="18"/>
        <v/>
      </c>
      <c r="D609" s="189"/>
      <c r="E609" s="923"/>
      <c r="F609" s="923"/>
      <c r="G609" s="934"/>
      <c r="H609" s="934"/>
      <c r="I609" s="934"/>
      <c r="J609" s="934"/>
      <c r="K609" s="934"/>
      <c r="L609" s="934"/>
      <c r="M609" s="934"/>
      <c r="N609" s="929"/>
      <c r="O609" s="933" t="str">
        <f t="shared" si="19"/>
        <v/>
      </c>
      <c r="P609" s="929"/>
    </row>
    <row r="610" spans="1:16" hidden="1">
      <c r="A610" s="1974"/>
      <c r="B610" s="1974"/>
      <c r="C610" s="145" t="str">
        <f t="shared" si="18"/>
        <v/>
      </c>
      <c r="D610" s="189"/>
      <c r="E610" s="923"/>
      <c r="F610" s="923"/>
      <c r="G610" s="934"/>
      <c r="H610" s="934"/>
      <c r="I610" s="934"/>
      <c r="J610" s="934"/>
      <c r="K610" s="934"/>
      <c r="L610" s="934"/>
      <c r="M610" s="934"/>
      <c r="N610" s="929"/>
      <c r="O610" s="933" t="str">
        <f t="shared" si="19"/>
        <v/>
      </c>
      <c r="P610" s="929"/>
    </row>
    <row r="611" spans="1:16" hidden="1">
      <c r="A611" s="1974"/>
      <c r="B611" s="1974"/>
      <c r="C611" s="145" t="str">
        <f t="shared" si="18"/>
        <v/>
      </c>
      <c r="D611" s="189"/>
      <c r="E611" s="923"/>
      <c r="F611" s="923"/>
      <c r="G611" s="934"/>
      <c r="H611" s="934"/>
      <c r="I611" s="934"/>
      <c r="J611" s="934"/>
      <c r="K611" s="934"/>
      <c r="L611" s="934"/>
      <c r="M611" s="934"/>
      <c r="N611" s="929"/>
      <c r="O611" s="933" t="str">
        <f t="shared" si="19"/>
        <v/>
      </c>
      <c r="P611" s="929"/>
    </row>
    <row r="612" spans="1:16" hidden="1">
      <c r="A612" s="1974"/>
      <c r="B612" s="1974"/>
      <c r="C612" s="145" t="str">
        <f t="shared" si="18"/>
        <v/>
      </c>
      <c r="D612" s="189"/>
      <c r="E612" s="923"/>
      <c r="F612" s="923"/>
      <c r="G612" s="934"/>
      <c r="H612" s="934"/>
      <c r="I612" s="934"/>
      <c r="J612" s="934"/>
      <c r="K612" s="934"/>
      <c r="L612" s="934"/>
      <c r="M612" s="934"/>
      <c r="N612" s="929"/>
      <c r="O612" s="933" t="str">
        <f t="shared" si="19"/>
        <v/>
      </c>
      <c r="P612" s="929"/>
    </row>
    <row r="613" spans="1:16" hidden="1">
      <c r="A613" s="1974"/>
      <c r="B613" s="1974"/>
      <c r="C613" s="145" t="str">
        <f t="shared" si="18"/>
        <v/>
      </c>
      <c r="D613" s="189"/>
      <c r="E613" s="923"/>
      <c r="F613" s="923"/>
      <c r="G613" s="934"/>
      <c r="H613" s="934"/>
      <c r="I613" s="934"/>
      <c r="J613" s="934"/>
      <c r="K613" s="934"/>
      <c r="L613" s="934"/>
      <c r="M613" s="934"/>
      <c r="N613" s="929"/>
      <c r="O613" s="933" t="str">
        <f t="shared" si="19"/>
        <v/>
      </c>
      <c r="P613" s="929"/>
    </row>
    <row r="614" spans="1:16" hidden="1">
      <c r="A614" s="1974"/>
      <c r="B614" s="1974"/>
      <c r="C614" s="145" t="str">
        <f t="shared" si="18"/>
        <v/>
      </c>
      <c r="D614" s="189"/>
      <c r="E614" s="923"/>
      <c r="F614" s="923"/>
      <c r="G614" s="934"/>
      <c r="H614" s="934"/>
      <c r="I614" s="934"/>
      <c r="J614" s="934"/>
      <c r="K614" s="934"/>
      <c r="L614" s="934"/>
      <c r="M614" s="934"/>
      <c r="N614" s="929"/>
      <c r="O614" s="933" t="str">
        <f t="shared" si="19"/>
        <v/>
      </c>
      <c r="P614" s="929"/>
    </row>
    <row r="615" spans="1:16" hidden="1">
      <c r="A615" s="1974"/>
      <c r="B615" s="1974"/>
      <c r="C615" s="145" t="str">
        <f t="shared" si="18"/>
        <v/>
      </c>
      <c r="D615" s="189"/>
      <c r="E615" s="923"/>
      <c r="F615" s="923"/>
      <c r="G615" s="934"/>
      <c r="H615" s="934"/>
      <c r="I615" s="934"/>
      <c r="J615" s="934"/>
      <c r="K615" s="934"/>
      <c r="L615" s="934"/>
      <c r="M615" s="934"/>
      <c r="N615" s="929"/>
      <c r="O615" s="933" t="str">
        <f t="shared" si="19"/>
        <v/>
      </c>
      <c r="P615" s="929"/>
    </row>
    <row r="616" spans="1:16" hidden="1">
      <c r="A616" s="1974"/>
      <c r="B616" s="1974"/>
      <c r="C616" s="145" t="str">
        <f t="shared" si="18"/>
        <v/>
      </c>
      <c r="D616" s="189"/>
      <c r="E616" s="923"/>
      <c r="F616" s="923"/>
      <c r="G616" s="934"/>
      <c r="H616" s="934"/>
      <c r="I616" s="934"/>
      <c r="J616" s="934"/>
      <c r="K616" s="934"/>
      <c r="L616" s="934"/>
      <c r="M616" s="934"/>
      <c r="N616" s="929"/>
      <c r="O616" s="933" t="str">
        <f t="shared" si="19"/>
        <v/>
      </c>
      <c r="P616" s="929"/>
    </row>
    <row r="617" spans="1:16" hidden="1">
      <c r="A617" s="1974"/>
      <c r="B617" s="1974"/>
      <c r="C617" s="145" t="str">
        <f t="shared" si="18"/>
        <v/>
      </c>
      <c r="D617" s="189"/>
      <c r="E617" s="923"/>
      <c r="F617" s="923"/>
      <c r="G617" s="934"/>
      <c r="H617" s="934"/>
      <c r="I617" s="934"/>
      <c r="J617" s="934"/>
      <c r="K617" s="934"/>
      <c r="L617" s="934"/>
      <c r="M617" s="934"/>
      <c r="N617" s="929"/>
      <c r="O617" s="933" t="str">
        <f t="shared" si="19"/>
        <v/>
      </c>
      <c r="P617" s="929"/>
    </row>
    <row r="618" spans="1:16" hidden="1">
      <c r="A618" s="1974"/>
      <c r="B618" s="1974"/>
      <c r="C618" s="145" t="str">
        <f t="shared" si="18"/>
        <v/>
      </c>
      <c r="D618" s="189"/>
      <c r="E618" s="923"/>
      <c r="F618" s="923"/>
      <c r="G618" s="934"/>
      <c r="H618" s="934"/>
      <c r="I618" s="934"/>
      <c r="J618" s="934"/>
      <c r="K618" s="934"/>
      <c r="L618" s="934"/>
      <c r="M618" s="934"/>
      <c r="N618" s="929"/>
      <c r="O618" s="933" t="str">
        <f t="shared" si="19"/>
        <v/>
      </c>
      <c r="P618" s="929"/>
    </row>
    <row r="619" spans="1:16" hidden="1">
      <c r="A619" s="1974"/>
      <c r="B619" s="1974"/>
      <c r="C619" s="145" t="str">
        <f t="shared" si="18"/>
        <v/>
      </c>
      <c r="D619" s="189"/>
      <c r="E619" s="923"/>
      <c r="F619" s="923"/>
      <c r="G619" s="934"/>
      <c r="H619" s="934"/>
      <c r="I619" s="934"/>
      <c r="J619" s="934"/>
      <c r="K619" s="934"/>
      <c r="L619" s="934"/>
      <c r="M619" s="934"/>
      <c r="N619" s="929"/>
      <c r="O619" s="933" t="str">
        <f t="shared" si="19"/>
        <v/>
      </c>
      <c r="P619" s="929"/>
    </row>
    <row r="620" spans="1:16" hidden="1">
      <c r="A620" s="1974"/>
      <c r="B620" s="1974"/>
      <c r="C620" s="145" t="str">
        <f t="shared" si="18"/>
        <v/>
      </c>
      <c r="D620" s="189"/>
      <c r="E620" s="923"/>
      <c r="F620" s="923"/>
      <c r="G620" s="934"/>
      <c r="H620" s="934"/>
      <c r="I620" s="934"/>
      <c r="J620" s="934"/>
      <c r="K620" s="934"/>
      <c r="L620" s="934"/>
      <c r="M620" s="934"/>
      <c r="N620" s="929"/>
      <c r="O620" s="933" t="str">
        <f t="shared" si="19"/>
        <v/>
      </c>
      <c r="P620" s="929"/>
    </row>
    <row r="621" spans="1:16" hidden="1">
      <c r="A621" s="1974"/>
      <c r="B621" s="1974"/>
      <c r="C621" s="145" t="str">
        <f t="shared" si="18"/>
        <v/>
      </c>
      <c r="D621" s="189"/>
      <c r="E621" s="923"/>
      <c r="F621" s="923"/>
      <c r="G621" s="934"/>
      <c r="H621" s="934"/>
      <c r="I621" s="934"/>
      <c r="J621" s="934"/>
      <c r="K621" s="934"/>
      <c r="L621" s="934"/>
      <c r="M621" s="934"/>
      <c r="N621" s="929"/>
      <c r="O621" s="933" t="str">
        <f t="shared" si="19"/>
        <v/>
      </c>
      <c r="P621" s="929"/>
    </row>
    <row r="622" spans="1:16" hidden="1">
      <c r="A622" s="1974"/>
      <c r="B622" s="1974"/>
      <c r="C622" s="145" t="str">
        <f t="shared" si="18"/>
        <v/>
      </c>
      <c r="D622" s="189"/>
      <c r="E622" s="923"/>
      <c r="F622" s="923"/>
      <c r="G622" s="934"/>
      <c r="H622" s="934"/>
      <c r="I622" s="934"/>
      <c r="J622" s="934"/>
      <c r="K622" s="934"/>
      <c r="L622" s="934"/>
      <c r="M622" s="934"/>
      <c r="N622" s="929"/>
      <c r="O622" s="933" t="str">
        <f t="shared" si="19"/>
        <v/>
      </c>
      <c r="P622" s="929"/>
    </row>
    <row r="623" spans="1:16" hidden="1">
      <c r="A623" s="1974"/>
      <c r="B623" s="1974"/>
      <c r="C623" s="145" t="str">
        <f t="shared" si="18"/>
        <v/>
      </c>
      <c r="D623" s="189"/>
      <c r="E623" s="923"/>
      <c r="F623" s="923"/>
      <c r="G623" s="934"/>
      <c r="H623" s="934"/>
      <c r="I623" s="934"/>
      <c r="J623" s="934"/>
      <c r="K623" s="934"/>
      <c r="L623" s="934"/>
      <c r="M623" s="934"/>
      <c r="N623" s="929"/>
      <c r="O623" s="933" t="str">
        <f t="shared" si="19"/>
        <v/>
      </c>
      <c r="P623" s="929"/>
    </row>
    <row r="624" spans="1:16" hidden="1">
      <c r="A624" s="1974"/>
      <c r="B624" s="1974"/>
      <c r="C624" s="145" t="str">
        <f t="shared" si="18"/>
        <v/>
      </c>
      <c r="D624" s="189"/>
      <c r="E624" s="923"/>
      <c r="F624" s="923"/>
      <c r="G624" s="934"/>
      <c r="H624" s="934"/>
      <c r="I624" s="934"/>
      <c r="J624" s="934"/>
      <c r="K624" s="934"/>
      <c r="L624" s="934"/>
      <c r="M624" s="934"/>
      <c r="N624" s="929"/>
      <c r="O624" s="933" t="str">
        <f t="shared" si="19"/>
        <v/>
      </c>
      <c r="P624" s="929"/>
    </row>
    <row r="625" spans="1:16" hidden="1">
      <c r="A625" s="1974"/>
      <c r="B625" s="1974"/>
      <c r="C625" s="145" t="str">
        <f t="shared" si="18"/>
        <v/>
      </c>
      <c r="D625" s="189"/>
      <c r="E625" s="923"/>
      <c r="F625" s="923"/>
      <c r="G625" s="934"/>
      <c r="H625" s="934"/>
      <c r="I625" s="934"/>
      <c r="J625" s="934"/>
      <c r="K625" s="934"/>
      <c r="L625" s="934"/>
      <c r="M625" s="934"/>
      <c r="N625" s="929"/>
      <c r="O625" s="933" t="str">
        <f t="shared" si="19"/>
        <v/>
      </c>
      <c r="P625" s="929"/>
    </row>
    <row r="626" spans="1:16" hidden="1">
      <c r="A626" s="1974"/>
      <c r="B626" s="1974"/>
      <c r="C626" s="145" t="str">
        <f t="shared" si="18"/>
        <v/>
      </c>
      <c r="D626" s="189"/>
      <c r="E626" s="923"/>
      <c r="F626" s="923"/>
      <c r="G626" s="934"/>
      <c r="H626" s="934"/>
      <c r="I626" s="934"/>
      <c r="J626" s="934"/>
      <c r="K626" s="934"/>
      <c r="L626" s="934"/>
      <c r="M626" s="934"/>
      <c r="N626" s="929"/>
      <c r="O626" s="933" t="str">
        <f t="shared" si="19"/>
        <v/>
      </c>
      <c r="P626" s="929"/>
    </row>
    <row r="627" spans="1:16" hidden="1">
      <c r="A627" s="1974"/>
      <c r="B627" s="1974"/>
      <c r="C627" s="145" t="str">
        <f t="shared" si="18"/>
        <v/>
      </c>
      <c r="D627" s="189"/>
      <c r="E627" s="923"/>
      <c r="F627" s="923"/>
      <c r="G627" s="934"/>
      <c r="H627" s="934"/>
      <c r="I627" s="934"/>
      <c r="J627" s="934"/>
      <c r="K627" s="934"/>
      <c r="L627" s="934"/>
      <c r="M627" s="934"/>
      <c r="N627" s="929"/>
      <c r="O627" s="933" t="str">
        <f t="shared" si="19"/>
        <v/>
      </c>
      <c r="P627" s="929"/>
    </row>
    <row r="628" spans="1:16" hidden="1">
      <c r="A628" s="1974"/>
      <c r="B628" s="1974"/>
      <c r="C628" s="145" t="str">
        <f t="shared" si="18"/>
        <v/>
      </c>
      <c r="D628" s="189"/>
      <c r="E628" s="923"/>
      <c r="F628" s="923"/>
      <c r="G628" s="934"/>
      <c r="H628" s="934"/>
      <c r="I628" s="934"/>
      <c r="J628" s="934"/>
      <c r="K628" s="934"/>
      <c r="L628" s="934"/>
      <c r="M628" s="934"/>
      <c r="N628" s="929"/>
      <c r="O628" s="933" t="str">
        <f t="shared" si="19"/>
        <v/>
      </c>
      <c r="P628" s="929"/>
    </row>
    <row r="629" spans="1:16" hidden="1">
      <c r="A629" s="1974"/>
      <c r="B629" s="1974"/>
      <c r="C629" s="145" t="str">
        <f t="shared" si="18"/>
        <v/>
      </c>
      <c r="D629" s="189"/>
      <c r="E629" s="923"/>
      <c r="F629" s="923"/>
      <c r="G629" s="934"/>
      <c r="H629" s="934"/>
      <c r="I629" s="934"/>
      <c r="J629" s="934"/>
      <c r="K629" s="934"/>
      <c r="L629" s="934"/>
      <c r="M629" s="934"/>
      <c r="N629" s="929"/>
      <c r="O629" s="933" t="str">
        <f t="shared" si="19"/>
        <v/>
      </c>
      <c r="P629" s="929"/>
    </row>
    <row r="630" spans="1:16" hidden="1">
      <c r="A630" s="1974"/>
      <c r="B630" s="1974"/>
      <c r="C630" s="145" t="str">
        <f t="shared" si="18"/>
        <v/>
      </c>
      <c r="D630" s="189"/>
      <c r="E630" s="923"/>
      <c r="F630" s="923"/>
      <c r="G630" s="934"/>
      <c r="H630" s="934"/>
      <c r="I630" s="934"/>
      <c r="J630" s="934"/>
      <c r="K630" s="934"/>
      <c r="L630" s="934"/>
      <c r="M630" s="934"/>
      <c r="N630" s="929"/>
      <c r="O630" s="933" t="str">
        <f t="shared" si="19"/>
        <v/>
      </c>
      <c r="P630" s="929"/>
    </row>
    <row r="631" spans="1:16" hidden="1">
      <c r="A631" s="1974"/>
      <c r="B631" s="1974"/>
      <c r="C631" s="145" t="str">
        <f t="shared" si="18"/>
        <v/>
      </c>
      <c r="D631" s="189"/>
      <c r="E631" s="923"/>
      <c r="F631" s="923"/>
      <c r="G631" s="934"/>
      <c r="H631" s="934"/>
      <c r="I631" s="934"/>
      <c r="J631" s="934"/>
      <c r="K631" s="934"/>
      <c r="L631" s="934"/>
      <c r="M631" s="934"/>
      <c r="N631" s="929"/>
      <c r="O631" s="933" t="str">
        <f t="shared" si="19"/>
        <v/>
      </c>
      <c r="P631" s="929"/>
    </row>
    <row r="632" spans="1:16" hidden="1">
      <c r="A632" s="1974"/>
      <c r="B632" s="1974"/>
      <c r="C632" s="145" t="str">
        <f t="shared" si="18"/>
        <v/>
      </c>
      <c r="D632" s="189"/>
      <c r="E632" s="923"/>
      <c r="F632" s="923"/>
      <c r="G632" s="934"/>
      <c r="H632" s="934"/>
      <c r="I632" s="934"/>
      <c r="J632" s="934"/>
      <c r="K632" s="934"/>
      <c r="L632" s="934"/>
      <c r="M632" s="934"/>
      <c r="N632" s="929"/>
      <c r="O632" s="933" t="str">
        <f t="shared" si="19"/>
        <v/>
      </c>
      <c r="P632" s="929"/>
    </row>
    <row r="633" spans="1:16" hidden="1">
      <c r="A633" s="1974"/>
      <c r="B633" s="1974"/>
      <c r="C633" s="145" t="str">
        <f t="shared" si="18"/>
        <v/>
      </c>
      <c r="D633" s="189"/>
      <c r="E633" s="923"/>
      <c r="F633" s="923"/>
      <c r="G633" s="934"/>
      <c r="H633" s="934"/>
      <c r="I633" s="934"/>
      <c r="J633" s="934"/>
      <c r="K633" s="934"/>
      <c r="L633" s="934"/>
      <c r="M633" s="934"/>
      <c r="N633" s="929"/>
      <c r="O633" s="933" t="str">
        <f t="shared" si="19"/>
        <v/>
      </c>
      <c r="P633" s="929"/>
    </row>
    <row r="634" spans="1:16" hidden="1">
      <c r="A634" s="1974"/>
      <c r="B634" s="1974"/>
      <c r="C634" s="145" t="str">
        <f t="shared" si="18"/>
        <v/>
      </c>
      <c r="D634" s="189"/>
      <c r="E634" s="923"/>
      <c r="F634" s="923"/>
      <c r="G634" s="934"/>
      <c r="H634" s="934"/>
      <c r="I634" s="934"/>
      <c r="J634" s="934"/>
      <c r="K634" s="934"/>
      <c r="L634" s="934"/>
      <c r="M634" s="934"/>
      <c r="N634" s="929"/>
      <c r="O634" s="933" t="str">
        <f t="shared" si="19"/>
        <v/>
      </c>
      <c r="P634" s="929"/>
    </row>
    <row r="635" spans="1:16" hidden="1">
      <c r="A635" s="1974"/>
      <c r="B635" s="1974"/>
      <c r="C635" s="145" t="str">
        <f t="shared" si="18"/>
        <v/>
      </c>
      <c r="D635" s="189"/>
      <c r="E635" s="923"/>
      <c r="F635" s="923"/>
      <c r="G635" s="934"/>
      <c r="H635" s="934"/>
      <c r="I635" s="934"/>
      <c r="J635" s="934"/>
      <c r="K635" s="934"/>
      <c r="L635" s="934"/>
      <c r="M635" s="934"/>
      <c r="N635" s="929"/>
      <c r="O635" s="933" t="str">
        <f t="shared" si="19"/>
        <v/>
      </c>
      <c r="P635" s="929"/>
    </row>
    <row r="636" spans="1:16" hidden="1">
      <c r="A636" s="1974"/>
      <c r="B636" s="1974"/>
      <c r="C636" s="145" t="str">
        <f t="shared" si="18"/>
        <v/>
      </c>
      <c r="D636" s="189"/>
      <c r="E636" s="923"/>
      <c r="F636" s="923"/>
      <c r="G636" s="934"/>
      <c r="H636" s="934"/>
      <c r="I636" s="934"/>
      <c r="J636" s="934"/>
      <c r="K636" s="934"/>
      <c r="L636" s="934"/>
      <c r="M636" s="934"/>
      <c r="N636" s="929"/>
      <c r="O636" s="933" t="str">
        <f t="shared" si="19"/>
        <v/>
      </c>
      <c r="P636" s="929"/>
    </row>
    <row r="637" spans="1:16" hidden="1">
      <c r="A637" s="1974"/>
      <c r="B637" s="1974"/>
      <c r="C637" s="145" t="str">
        <f t="shared" si="18"/>
        <v/>
      </c>
      <c r="D637" s="189"/>
      <c r="E637" s="923"/>
      <c r="F637" s="923"/>
      <c r="G637" s="934"/>
      <c r="H637" s="934"/>
      <c r="I637" s="934"/>
      <c r="J637" s="934"/>
      <c r="K637" s="934"/>
      <c r="L637" s="934"/>
      <c r="M637" s="934"/>
      <c r="N637" s="929"/>
      <c r="O637" s="933" t="str">
        <f t="shared" si="19"/>
        <v/>
      </c>
      <c r="P637" s="929"/>
    </row>
    <row r="638" spans="1:16" hidden="1">
      <c r="A638" s="1974"/>
      <c r="B638" s="1974"/>
      <c r="C638" s="145" t="str">
        <f t="shared" si="18"/>
        <v/>
      </c>
      <c r="D638" s="189"/>
      <c r="E638" s="923"/>
      <c r="F638" s="923"/>
      <c r="G638" s="934"/>
      <c r="H638" s="934"/>
      <c r="I638" s="934"/>
      <c r="J638" s="934"/>
      <c r="K638" s="934"/>
      <c r="L638" s="934"/>
      <c r="M638" s="934"/>
      <c r="N638" s="929"/>
      <c r="O638" s="933" t="str">
        <f t="shared" si="19"/>
        <v/>
      </c>
      <c r="P638" s="929"/>
    </row>
    <row r="639" spans="1:16" hidden="1">
      <c r="A639" s="1974"/>
      <c r="B639" s="1974"/>
      <c r="C639" s="145" t="str">
        <f t="shared" si="18"/>
        <v/>
      </c>
      <c r="D639" s="189"/>
      <c r="E639" s="923"/>
      <c r="F639" s="923"/>
      <c r="G639" s="934"/>
      <c r="H639" s="934"/>
      <c r="I639" s="934"/>
      <c r="J639" s="934"/>
      <c r="K639" s="934"/>
      <c r="L639" s="934"/>
      <c r="M639" s="934"/>
      <c r="N639" s="929"/>
      <c r="O639" s="933" t="str">
        <f t="shared" si="19"/>
        <v/>
      </c>
      <c r="P639" s="929"/>
    </row>
    <row r="640" spans="1:16" hidden="1">
      <c r="A640" s="1974"/>
      <c r="B640" s="1974"/>
      <c r="C640" s="145" t="str">
        <f t="shared" si="18"/>
        <v/>
      </c>
      <c r="D640" s="189"/>
      <c r="E640" s="923"/>
      <c r="F640" s="923"/>
      <c r="G640" s="934"/>
      <c r="H640" s="934"/>
      <c r="I640" s="934"/>
      <c r="J640" s="934"/>
      <c r="K640" s="934"/>
      <c r="L640" s="934"/>
      <c r="M640" s="934"/>
      <c r="N640" s="929"/>
      <c r="O640" s="933" t="str">
        <f t="shared" si="19"/>
        <v/>
      </c>
      <c r="P640" s="929"/>
    </row>
    <row r="641" spans="1:16" hidden="1">
      <c r="A641" s="1974"/>
      <c r="B641" s="1974"/>
      <c r="C641" s="145" t="str">
        <f t="shared" si="18"/>
        <v/>
      </c>
      <c r="D641" s="189"/>
      <c r="E641" s="923"/>
      <c r="F641" s="923"/>
      <c r="G641" s="934"/>
      <c r="H641" s="934"/>
      <c r="I641" s="934"/>
      <c r="J641" s="934"/>
      <c r="K641" s="934"/>
      <c r="L641" s="934"/>
      <c r="M641" s="934"/>
      <c r="N641" s="929"/>
      <c r="O641" s="933" t="str">
        <f t="shared" si="19"/>
        <v/>
      </c>
      <c r="P641" s="929"/>
    </row>
    <row r="642" spans="1:16" hidden="1">
      <c r="A642" s="1974"/>
      <c r="B642" s="1974"/>
      <c r="C642" s="145" t="str">
        <f t="shared" si="18"/>
        <v/>
      </c>
      <c r="D642" s="189"/>
      <c r="E642" s="923"/>
      <c r="F642" s="923"/>
      <c r="G642" s="934"/>
      <c r="H642" s="934"/>
      <c r="I642" s="934"/>
      <c r="J642" s="934"/>
      <c r="K642" s="934"/>
      <c r="L642" s="934"/>
      <c r="M642" s="934"/>
      <c r="N642" s="929"/>
      <c r="O642" s="933" t="str">
        <f t="shared" si="19"/>
        <v/>
      </c>
      <c r="P642" s="929"/>
    </row>
    <row r="643" spans="1:16" hidden="1">
      <c r="A643" s="1974"/>
      <c r="B643" s="1974"/>
      <c r="C643" s="145" t="str">
        <f t="shared" si="18"/>
        <v/>
      </c>
      <c r="D643" s="189"/>
      <c r="E643" s="923"/>
      <c r="F643" s="923"/>
      <c r="G643" s="934"/>
      <c r="H643" s="934"/>
      <c r="I643" s="934"/>
      <c r="J643" s="934"/>
      <c r="K643" s="934"/>
      <c r="L643" s="934"/>
      <c r="M643" s="934"/>
      <c r="N643" s="929"/>
      <c r="O643" s="933" t="str">
        <f t="shared" si="19"/>
        <v/>
      </c>
      <c r="P643" s="929"/>
    </row>
    <row r="644" spans="1:16" hidden="1">
      <c r="A644" s="1974"/>
      <c r="B644" s="1974"/>
      <c r="C644" s="145" t="str">
        <f t="shared" si="18"/>
        <v/>
      </c>
      <c r="D644" s="189"/>
      <c r="E644" s="923"/>
      <c r="F644" s="923"/>
      <c r="G644" s="934"/>
      <c r="H644" s="934"/>
      <c r="I644" s="934"/>
      <c r="J644" s="934"/>
      <c r="K644" s="934"/>
      <c r="L644" s="934"/>
      <c r="M644" s="934"/>
      <c r="N644" s="929"/>
      <c r="O644" s="933" t="str">
        <f t="shared" si="19"/>
        <v/>
      </c>
      <c r="P644" s="929"/>
    </row>
    <row r="645" spans="1:16" hidden="1">
      <c r="A645" s="1974"/>
      <c r="B645" s="1974"/>
      <c r="C645" s="145" t="str">
        <f t="shared" si="18"/>
        <v/>
      </c>
      <c r="D645" s="189"/>
      <c r="E645" s="923"/>
      <c r="F645" s="923"/>
      <c r="G645" s="934"/>
      <c r="H645" s="934"/>
      <c r="I645" s="934"/>
      <c r="J645" s="934"/>
      <c r="K645" s="934"/>
      <c r="L645" s="934"/>
      <c r="M645" s="934"/>
      <c r="N645" s="929"/>
      <c r="O645" s="933" t="str">
        <f t="shared" si="19"/>
        <v/>
      </c>
      <c r="P645" s="929"/>
    </row>
    <row r="646" spans="1:16" hidden="1">
      <c r="A646" s="1974"/>
      <c r="B646" s="1974"/>
      <c r="C646" s="145" t="str">
        <f t="shared" si="18"/>
        <v/>
      </c>
      <c r="D646" s="189"/>
      <c r="E646" s="923"/>
      <c r="F646" s="923"/>
      <c r="G646" s="934"/>
      <c r="H646" s="934"/>
      <c r="I646" s="934"/>
      <c r="J646" s="934"/>
      <c r="K646" s="934"/>
      <c r="L646" s="934"/>
      <c r="M646" s="934"/>
      <c r="N646" s="929"/>
      <c r="O646" s="933" t="str">
        <f t="shared" si="19"/>
        <v/>
      </c>
      <c r="P646" s="929"/>
    </row>
    <row r="647" spans="1:16" hidden="1">
      <c r="A647" s="1974"/>
      <c r="B647" s="1974"/>
      <c r="C647" s="145" t="str">
        <f t="shared" si="18"/>
        <v/>
      </c>
      <c r="D647" s="189"/>
      <c r="E647" s="923"/>
      <c r="F647" s="923"/>
      <c r="G647" s="934"/>
      <c r="H647" s="934"/>
      <c r="I647" s="934"/>
      <c r="J647" s="934"/>
      <c r="K647" s="934"/>
      <c r="L647" s="934"/>
      <c r="M647" s="934"/>
      <c r="N647" s="929"/>
      <c r="O647" s="933" t="str">
        <f t="shared" si="19"/>
        <v/>
      </c>
      <c r="P647" s="929"/>
    </row>
    <row r="648" spans="1:16" hidden="1">
      <c r="A648" s="1974"/>
      <c r="B648" s="1974"/>
      <c r="C648" s="145" t="str">
        <f t="shared" si="18"/>
        <v/>
      </c>
      <c r="D648" s="189"/>
      <c r="E648" s="923"/>
      <c r="F648" s="923"/>
      <c r="G648" s="934"/>
      <c r="H648" s="934"/>
      <c r="I648" s="934"/>
      <c r="J648" s="934"/>
      <c r="K648" s="934"/>
      <c r="L648" s="934"/>
      <c r="M648" s="934"/>
      <c r="N648" s="929"/>
      <c r="O648" s="933" t="str">
        <f t="shared" si="19"/>
        <v/>
      </c>
      <c r="P648" s="929"/>
    </row>
    <row r="649" spans="1:16" hidden="1">
      <c r="A649" s="1974"/>
      <c r="B649" s="1974"/>
      <c r="C649" s="145" t="str">
        <f t="shared" si="18"/>
        <v/>
      </c>
      <c r="D649" s="189"/>
      <c r="E649" s="923"/>
      <c r="F649" s="923"/>
      <c r="G649" s="934"/>
      <c r="H649" s="934"/>
      <c r="I649" s="934"/>
      <c r="J649" s="934"/>
      <c r="K649" s="934"/>
      <c r="L649" s="934"/>
      <c r="M649" s="934"/>
      <c r="N649" s="929"/>
      <c r="O649" s="933" t="str">
        <f t="shared" si="19"/>
        <v/>
      </c>
      <c r="P649" s="929"/>
    </row>
    <row r="650" spans="1:16" hidden="1">
      <c r="A650" s="1974"/>
      <c r="B650" s="1974"/>
      <c r="C650" s="145" t="str">
        <f t="shared" si="18"/>
        <v/>
      </c>
      <c r="D650" s="189"/>
      <c r="E650" s="923"/>
      <c r="F650" s="923"/>
      <c r="G650" s="934"/>
      <c r="H650" s="934"/>
      <c r="I650" s="934"/>
      <c r="J650" s="934"/>
      <c r="K650" s="934"/>
      <c r="L650" s="934"/>
      <c r="M650" s="934"/>
      <c r="N650" s="929"/>
      <c r="O650" s="933" t="str">
        <f t="shared" si="19"/>
        <v/>
      </c>
      <c r="P650" s="929"/>
    </row>
    <row r="651" spans="1:16" hidden="1">
      <c r="A651" s="1974"/>
      <c r="B651" s="1974"/>
      <c r="C651" s="145" t="str">
        <f t="shared" si="18"/>
        <v/>
      </c>
      <c r="D651" s="189"/>
      <c r="E651" s="923"/>
      <c r="F651" s="923"/>
      <c r="G651" s="934"/>
      <c r="H651" s="934"/>
      <c r="I651" s="934"/>
      <c r="J651" s="934"/>
      <c r="K651" s="934"/>
      <c r="L651" s="934"/>
      <c r="M651" s="934"/>
      <c r="N651" s="929"/>
      <c r="O651" s="933" t="str">
        <f t="shared" si="19"/>
        <v/>
      </c>
      <c r="P651" s="929"/>
    </row>
    <row r="652" spans="1:16" hidden="1">
      <c r="A652" s="1974"/>
      <c r="B652" s="1974"/>
      <c r="C652" s="145" t="str">
        <f t="shared" si="18"/>
        <v/>
      </c>
      <c r="D652" s="189"/>
      <c r="E652" s="923"/>
      <c r="F652" s="923"/>
      <c r="G652" s="934"/>
      <c r="H652" s="934"/>
      <c r="I652" s="934"/>
      <c r="J652" s="934"/>
      <c r="K652" s="934"/>
      <c r="L652" s="934"/>
      <c r="M652" s="934"/>
      <c r="N652" s="929"/>
      <c r="O652" s="933" t="str">
        <f t="shared" si="19"/>
        <v/>
      </c>
      <c r="P652" s="929"/>
    </row>
    <row r="653" spans="1:16" hidden="1">
      <c r="A653" s="1974"/>
      <c r="B653" s="1974"/>
      <c r="C653" s="145" t="str">
        <f t="shared" si="18"/>
        <v/>
      </c>
      <c r="D653" s="189"/>
      <c r="E653" s="923"/>
      <c r="F653" s="923"/>
      <c r="G653" s="934"/>
      <c r="H653" s="934"/>
      <c r="I653" s="934"/>
      <c r="J653" s="934"/>
      <c r="K653" s="934"/>
      <c r="L653" s="934"/>
      <c r="M653" s="934"/>
      <c r="N653" s="929"/>
      <c r="O653" s="933" t="str">
        <f t="shared" si="19"/>
        <v/>
      </c>
      <c r="P653" s="929"/>
    </row>
    <row r="654" spans="1:16" hidden="1">
      <c r="A654" s="1974"/>
      <c r="B654" s="1974"/>
      <c r="C654" s="145" t="str">
        <f t="shared" si="18"/>
        <v/>
      </c>
      <c r="D654" s="189"/>
      <c r="E654" s="923"/>
      <c r="F654" s="923"/>
      <c r="G654" s="934"/>
      <c r="H654" s="934"/>
      <c r="I654" s="934"/>
      <c r="J654" s="934"/>
      <c r="K654" s="934"/>
      <c r="L654" s="934"/>
      <c r="M654" s="934"/>
      <c r="N654" s="929"/>
      <c r="O654" s="933" t="str">
        <f t="shared" si="19"/>
        <v/>
      </c>
      <c r="P654" s="929"/>
    </row>
    <row r="655" spans="1:16" hidden="1">
      <c r="A655" s="1974"/>
      <c r="B655" s="1974"/>
      <c r="C655" s="145" t="str">
        <f t="shared" si="18"/>
        <v/>
      </c>
      <c r="D655" s="189"/>
      <c r="E655" s="923"/>
      <c r="F655" s="923"/>
      <c r="G655" s="934"/>
      <c r="H655" s="934"/>
      <c r="I655" s="934"/>
      <c r="J655" s="934"/>
      <c r="K655" s="934"/>
      <c r="L655" s="934"/>
      <c r="M655" s="934"/>
      <c r="N655" s="929"/>
      <c r="O655" s="933" t="str">
        <f t="shared" si="19"/>
        <v/>
      </c>
      <c r="P655" s="929"/>
    </row>
    <row r="656" spans="1:16" hidden="1">
      <c r="A656" s="1974"/>
      <c r="B656" s="1974"/>
      <c r="C656" s="145" t="str">
        <f t="shared" ref="C656:C705" si="20">IF(A656&lt;&gt;"",ROW(),"")</f>
        <v/>
      </c>
      <c r="D656" s="189"/>
      <c r="E656" s="923"/>
      <c r="F656" s="923"/>
      <c r="G656" s="934"/>
      <c r="H656" s="934"/>
      <c r="I656" s="934"/>
      <c r="J656" s="934"/>
      <c r="K656" s="934"/>
      <c r="L656" s="934"/>
      <c r="M656" s="934"/>
      <c r="N656" s="929"/>
      <c r="O656" s="933" t="str">
        <f t="shared" si="19"/>
        <v/>
      </c>
      <c r="P656" s="929"/>
    </row>
    <row r="657" spans="1:16" hidden="1">
      <c r="A657" s="1974"/>
      <c r="B657" s="1974"/>
      <c r="C657" s="145" t="str">
        <f t="shared" si="20"/>
        <v/>
      </c>
      <c r="D657" s="189"/>
      <c r="E657" s="923"/>
      <c r="F657" s="923"/>
      <c r="G657" s="934"/>
      <c r="H657" s="934"/>
      <c r="I657" s="934"/>
      <c r="J657" s="934"/>
      <c r="K657" s="934"/>
      <c r="L657" s="934"/>
      <c r="M657" s="934"/>
      <c r="N657" s="929"/>
      <c r="O657" s="933" t="str">
        <f t="shared" ref="O657:O711" si="21">IF(A657&lt;&gt;"",A657,"")</f>
        <v/>
      </c>
      <c r="P657" s="929"/>
    </row>
    <row r="658" spans="1:16" hidden="1">
      <c r="A658" s="1974"/>
      <c r="B658" s="1974"/>
      <c r="C658" s="145" t="str">
        <f t="shared" si="20"/>
        <v/>
      </c>
      <c r="D658" s="189"/>
      <c r="E658" s="923"/>
      <c r="F658" s="923"/>
      <c r="G658" s="934"/>
      <c r="H658" s="934"/>
      <c r="I658" s="934"/>
      <c r="J658" s="934"/>
      <c r="K658" s="934"/>
      <c r="L658" s="934"/>
      <c r="M658" s="934"/>
      <c r="N658" s="929"/>
      <c r="O658" s="933" t="str">
        <f t="shared" si="21"/>
        <v/>
      </c>
      <c r="P658" s="929"/>
    </row>
    <row r="659" spans="1:16" hidden="1">
      <c r="A659" s="1974"/>
      <c r="B659" s="1974"/>
      <c r="C659" s="145" t="str">
        <f t="shared" si="20"/>
        <v/>
      </c>
      <c r="D659" s="189"/>
      <c r="E659" s="923"/>
      <c r="F659" s="923"/>
      <c r="G659" s="934"/>
      <c r="H659" s="934"/>
      <c r="I659" s="934"/>
      <c r="J659" s="934"/>
      <c r="K659" s="934"/>
      <c r="L659" s="934"/>
      <c r="M659" s="934"/>
      <c r="N659" s="929"/>
      <c r="O659" s="933" t="str">
        <f t="shared" si="21"/>
        <v/>
      </c>
      <c r="P659" s="929"/>
    </row>
    <row r="660" spans="1:16" hidden="1">
      <c r="A660" s="1974"/>
      <c r="B660" s="1974"/>
      <c r="C660" s="145" t="str">
        <f t="shared" si="20"/>
        <v/>
      </c>
      <c r="D660" s="189"/>
      <c r="E660" s="923"/>
      <c r="F660" s="923"/>
      <c r="G660" s="934"/>
      <c r="H660" s="934"/>
      <c r="I660" s="934"/>
      <c r="J660" s="934"/>
      <c r="K660" s="934"/>
      <c r="L660" s="934"/>
      <c r="M660" s="934"/>
      <c r="N660" s="929"/>
      <c r="O660" s="933" t="str">
        <f t="shared" si="21"/>
        <v/>
      </c>
      <c r="P660" s="929"/>
    </row>
    <row r="661" spans="1:16" hidden="1">
      <c r="A661" s="1974"/>
      <c r="B661" s="1974"/>
      <c r="C661" s="145" t="str">
        <f t="shared" si="20"/>
        <v/>
      </c>
      <c r="D661" s="189"/>
      <c r="E661" s="923"/>
      <c r="F661" s="923"/>
      <c r="G661" s="934"/>
      <c r="H661" s="934"/>
      <c r="I661" s="934"/>
      <c r="J661" s="934"/>
      <c r="K661" s="934"/>
      <c r="L661" s="934"/>
      <c r="M661" s="934"/>
      <c r="N661" s="929"/>
      <c r="O661" s="933" t="str">
        <f t="shared" si="21"/>
        <v/>
      </c>
      <c r="P661" s="929"/>
    </row>
    <row r="662" spans="1:16" hidden="1">
      <c r="A662" s="1974"/>
      <c r="B662" s="1974"/>
      <c r="C662" s="145" t="str">
        <f t="shared" si="20"/>
        <v/>
      </c>
      <c r="D662" s="189"/>
      <c r="E662" s="923"/>
      <c r="F662" s="923"/>
      <c r="G662" s="934"/>
      <c r="H662" s="934"/>
      <c r="I662" s="934"/>
      <c r="J662" s="934"/>
      <c r="K662" s="934"/>
      <c r="L662" s="934"/>
      <c r="M662" s="934"/>
      <c r="N662" s="929"/>
      <c r="O662" s="933" t="str">
        <f t="shared" si="21"/>
        <v/>
      </c>
      <c r="P662" s="929"/>
    </row>
    <row r="663" spans="1:16" hidden="1">
      <c r="A663" s="1974"/>
      <c r="B663" s="1974"/>
      <c r="C663" s="145" t="str">
        <f t="shared" si="20"/>
        <v/>
      </c>
      <c r="D663" s="189"/>
      <c r="E663" s="923"/>
      <c r="F663" s="923"/>
      <c r="G663" s="934"/>
      <c r="H663" s="934"/>
      <c r="I663" s="934"/>
      <c r="J663" s="934"/>
      <c r="K663" s="934"/>
      <c r="L663" s="934"/>
      <c r="M663" s="934"/>
      <c r="N663" s="929"/>
      <c r="O663" s="933" t="str">
        <f t="shared" si="21"/>
        <v/>
      </c>
      <c r="P663" s="929"/>
    </row>
    <row r="664" spans="1:16" hidden="1">
      <c r="A664" s="1974"/>
      <c r="B664" s="1974"/>
      <c r="C664" s="145" t="str">
        <f t="shared" si="20"/>
        <v/>
      </c>
      <c r="D664" s="189"/>
      <c r="E664" s="923"/>
      <c r="F664" s="923"/>
      <c r="G664" s="934"/>
      <c r="H664" s="934"/>
      <c r="I664" s="934"/>
      <c r="J664" s="934"/>
      <c r="K664" s="934"/>
      <c r="L664" s="934"/>
      <c r="M664" s="934"/>
      <c r="N664" s="929"/>
      <c r="O664" s="933" t="str">
        <f t="shared" si="21"/>
        <v/>
      </c>
      <c r="P664" s="929"/>
    </row>
    <row r="665" spans="1:16" hidden="1">
      <c r="A665" s="1974"/>
      <c r="B665" s="1974"/>
      <c r="C665" s="145" t="str">
        <f t="shared" si="20"/>
        <v/>
      </c>
      <c r="D665" s="189"/>
      <c r="E665" s="923"/>
      <c r="F665" s="923"/>
      <c r="G665" s="934"/>
      <c r="H665" s="934"/>
      <c r="I665" s="934"/>
      <c r="J665" s="934"/>
      <c r="K665" s="934"/>
      <c r="L665" s="934"/>
      <c r="M665" s="934"/>
      <c r="N665" s="929"/>
      <c r="O665" s="933" t="str">
        <f t="shared" si="21"/>
        <v/>
      </c>
      <c r="P665" s="929"/>
    </row>
    <row r="666" spans="1:16" hidden="1">
      <c r="A666" s="1974"/>
      <c r="B666" s="1974"/>
      <c r="C666" s="145" t="str">
        <f t="shared" si="20"/>
        <v/>
      </c>
      <c r="D666" s="189"/>
      <c r="E666" s="923"/>
      <c r="F666" s="923"/>
      <c r="G666" s="934"/>
      <c r="H666" s="934"/>
      <c r="I666" s="934"/>
      <c r="J666" s="934"/>
      <c r="K666" s="934"/>
      <c r="L666" s="934"/>
      <c r="M666" s="934"/>
      <c r="N666" s="929"/>
      <c r="O666" s="933" t="str">
        <f t="shared" si="21"/>
        <v/>
      </c>
      <c r="P666" s="929"/>
    </row>
    <row r="667" spans="1:16" hidden="1">
      <c r="A667" s="1974"/>
      <c r="B667" s="1974"/>
      <c r="C667" s="145" t="str">
        <f t="shared" si="20"/>
        <v/>
      </c>
      <c r="D667" s="189"/>
      <c r="E667" s="923"/>
      <c r="F667" s="923"/>
      <c r="G667" s="934"/>
      <c r="H667" s="934"/>
      <c r="I667" s="934"/>
      <c r="J667" s="934"/>
      <c r="K667" s="934"/>
      <c r="L667" s="934"/>
      <c r="M667" s="934"/>
      <c r="N667" s="929"/>
      <c r="O667" s="933" t="str">
        <f t="shared" si="21"/>
        <v/>
      </c>
      <c r="P667" s="929"/>
    </row>
    <row r="668" spans="1:16" hidden="1">
      <c r="A668" s="1974"/>
      <c r="B668" s="1974"/>
      <c r="C668" s="145" t="str">
        <f t="shared" si="20"/>
        <v/>
      </c>
      <c r="D668" s="189"/>
      <c r="E668" s="923"/>
      <c r="F668" s="923"/>
      <c r="G668" s="934"/>
      <c r="H668" s="934"/>
      <c r="I668" s="934"/>
      <c r="J668" s="934"/>
      <c r="K668" s="934"/>
      <c r="L668" s="934"/>
      <c r="M668" s="934"/>
      <c r="N668" s="929"/>
      <c r="O668" s="933" t="str">
        <f t="shared" si="21"/>
        <v/>
      </c>
      <c r="P668" s="929"/>
    </row>
    <row r="669" spans="1:16" hidden="1">
      <c r="A669" s="1974"/>
      <c r="B669" s="1974"/>
      <c r="C669" s="145" t="str">
        <f t="shared" si="20"/>
        <v/>
      </c>
      <c r="D669" s="189"/>
      <c r="E669" s="923"/>
      <c r="F669" s="923"/>
      <c r="G669" s="934"/>
      <c r="H669" s="934"/>
      <c r="I669" s="934"/>
      <c r="J669" s="934"/>
      <c r="K669" s="934"/>
      <c r="L669" s="934"/>
      <c r="M669" s="934"/>
      <c r="N669" s="929"/>
      <c r="O669" s="933" t="str">
        <f t="shared" si="21"/>
        <v/>
      </c>
      <c r="P669" s="929"/>
    </row>
    <row r="670" spans="1:16" hidden="1">
      <c r="A670" s="1974"/>
      <c r="B670" s="1974"/>
      <c r="C670" s="145" t="str">
        <f t="shared" si="20"/>
        <v/>
      </c>
      <c r="D670" s="189"/>
      <c r="E670" s="923"/>
      <c r="F670" s="923"/>
      <c r="G670" s="934"/>
      <c r="H670" s="934"/>
      <c r="I670" s="934"/>
      <c r="J670" s="934"/>
      <c r="K670" s="934"/>
      <c r="L670" s="934"/>
      <c r="M670" s="934"/>
      <c r="N670" s="929"/>
      <c r="O670" s="933" t="str">
        <f t="shared" si="21"/>
        <v/>
      </c>
      <c r="P670" s="929"/>
    </row>
    <row r="671" spans="1:16" hidden="1">
      <c r="A671" s="1974"/>
      <c r="B671" s="1974"/>
      <c r="C671" s="145" t="str">
        <f t="shared" si="20"/>
        <v/>
      </c>
      <c r="D671" s="189"/>
      <c r="E671" s="923"/>
      <c r="F671" s="923"/>
      <c r="G671" s="934"/>
      <c r="H671" s="934"/>
      <c r="I671" s="934"/>
      <c r="J671" s="934"/>
      <c r="K671" s="934"/>
      <c r="L671" s="934"/>
      <c r="M671" s="934"/>
      <c r="N671" s="929"/>
      <c r="O671" s="933" t="str">
        <f t="shared" si="21"/>
        <v/>
      </c>
      <c r="P671" s="929"/>
    </row>
    <row r="672" spans="1:16" hidden="1">
      <c r="A672" s="1974"/>
      <c r="B672" s="1974"/>
      <c r="C672" s="145" t="str">
        <f t="shared" si="20"/>
        <v/>
      </c>
      <c r="D672" s="189"/>
      <c r="E672" s="923"/>
      <c r="F672" s="923"/>
      <c r="G672" s="934"/>
      <c r="H672" s="934"/>
      <c r="I672" s="934"/>
      <c r="J672" s="934"/>
      <c r="K672" s="934"/>
      <c r="L672" s="934"/>
      <c r="M672" s="934"/>
      <c r="N672" s="929"/>
      <c r="O672" s="933" t="str">
        <f t="shared" si="21"/>
        <v/>
      </c>
      <c r="P672" s="929"/>
    </row>
    <row r="673" spans="1:16" hidden="1">
      <c r="A673" s="1974"/>
      <c r="B673" s="1974"/>
      <c r="C673" s="145" t="str">
        <f t="shared" si="20"/>
        <v/>
      </c>
      <c r="D673" s="189"/>
      <c r="E673" s="923"/>
      <c r="F673" s="923"/>
      <c r="G673" s="934"/>
      <c r="H673" s="934"/>
      <c r="I673" s="934"/>
      <c r="J673" s="934"/>
      <c r="K673" s="934"/>
      <c r="L673" s="934"/>
      <c r="M673" s="934"/>
      <c r="N673" s="929"/>
      <c r="O673" s="933" t="str">
        <f t="shared" si="21"/>
        <v/>
      </c>
      <c r="P673" s="929"/>
    </row>
    <row r="674" spans="1:16" hidden="1">
      <c r="A674" s="1974"/>
      <c r="B674" s="1974"/>
      <c r="C674" s="145" t="str">
        <f t="shared" si="20"/>
        <v/>
      </c>
      <c r="D674" s="189"/>
      <c r="E674" s="923"/>
      <c r="F674" s="923"/>
      <c r="G674" s="934"/>
      <c r="H674" s="934"/>
      <c r="I674" s="934"/>
      <c r="J674" s="934"/>
      <c r="K674" s="934"/>
      <c r="L674" s="934"/>
      <c r="M674" s="934"/>
      <c r="N674" s="929"/>
      <c r="O674" s="933" t="str">
        <f t="shared" si="21"/>
        <v/>
      </c>
      <c r="P674" s="929"/>
    </row>
    <row r="675" spans="1:16" hidden="1">
      <c r="A675" s="1974"/>
      <c r="B675" s="1974"/>
      <c r="C675" s="145" t="str">
        <f t="shared" si="20"/>
        <v/>
      </c>
      <c r="D675" s="189"/>
      <c r="E675" s="923"/>
      <c r="F675" s="923"/>
      <c r="G675" s="934"/>
      <c r="H675" s="934"/>
      <c r="I675" s="934"/>
      <c r="J675" s="934"/>
      <c r="K675" s="934"/>
      <c r="L675" s="934"/>
      <c r="M675" s="934"/>
      <c r="N675" s="929"/>
      <c r="O675" s="933" t="str">
        <f t="shared" si="21"/>
        <v/>
      </c>
      <c r="P675" s="929"/>
    </row>
    <row r="676" spans="1:16" hidden="1">
      <c r="A676" s="1974"/>
      <c r="B676" s="1974"/>
      <c r="C676" s="145" t="str">
        <f t="shared" si="20"/>
        <v/>
      </c>
      <c r="D676" s="189"/>
      <c r="E676" s="923"/>
      <c r="F676" s="923"/>
      <c r="G676" s="934"/>
      <c r="H676" s="934"/>
      <c r="I676" s="934"/>
      <c r="J676" s="934"/>
      <c r="K676" s="934"/>
      <c r="L676" s="934"/>
      <c r="M676" s="934"/>
      <c r="N676" s="929"/>
      <c r="O676" s="933" t="str">
        <f t="shared" si="21"/>
        <v/>
      </c>
      <c r="P676" s="929"/>
    </row>
    <row r="677" spans="1:16" hidden="1">
      <c r="A677" s="1974"/>
      <c r="B677" s="1974"/>
      <c r="C677" s="145" t="str">
        <f t="shared" si="20"/>
        <v/>
      </c>
      <c r="D677" s="189"/>
      <c r="E677" s="923"/>
      <c r="F677" s="923"/>
      <c r="G677" s="934"/>
      <c r="H677" s="934"/>
      <c r="I677" s="934"/>
      <c r="J677" s="934"/>
      <c r="K677" s="934"/>
      <c r="L677" s="934"/>
      <c r="M677" s="934"/>
      <c r="N677" s="929"/>
      <c r="O677" s="933" t="str">
        <f t="shared" si="21"/>
        <v/>
      </c>
      <c r="P677" s="929"/>
    </row>
    <row r="678" spans="1:16" hidden="1">
      <c r="A678" s="1974"/>
      <c r="B678" s="1974"/>
      <c r="C678" s="145" t="str">
        <f t="shared" si="20"/>
        <v/>
      </c>
      <c r="D678" s="189"/>
      <c r="E678" s="923"/>
      <c r="F678" s="923"/>
      <c r="G678" s="934"/>
      <c r="H678" s="934"/>
      <c r="I678" s="934"/>
      <c r="J678" s="934"/>
      <c r="K678" s="934"/>
      <c r="L678" s="934"/>
      <c r="M678" s="934"/>
      <c r="N678" s="929"/>
      <c r="O678" s="933" t="str">
        <f t="shared" si="21"/>
        <v/>
      </c>
      <c r="P678" s="929"/>
    </row>
    <row r="679" spans="1:16" hidden="1">
      <c r="A679" s="1974"/>
      <c r="B679" s="1974"/>
      <c r="C679" s="145" t="str">
        <f t="shared" si="20"/>
        <v/>
      </c>
      <c r="D679" s="189"/>
      <c r="E679" s="923"/>
      <c r="F679" s="923"/>
      <c r="G679" s="934"/>
      <c r="H679" s="934"/>
      <c r="I679" s="934"/>
      <c r="J679" s="934"/>
      <c r="K679" s="934"/>
      <c r="L679" s="934"/>
      <c r="M679" s="934"/>
      <c r="N679" s="929"/>
      <c r="O679" s="933" t="str">
        <f t="shared" si="21"/>
        <v/>
      </c>
      <c r="P679" s="929"/>
    </row>
    <row r="680" spans="1:16" hidden="1">
      <c r="A680" s="1974"/>
      <c r="B680" s="1974"/>
      <c r="C680" s="145" t="str">
        <f t="shared" si="20"/>
        <v/>
      </c>
      <c r="D680" s="189"/>
      <c r="E680" s="923"/>
      <c r="F680" s="923"/>
      <c r="G680" s="934"/>
      <c r="H680" s="934"/>
      <c r="I680" s="934"/>
      <c r="J680" s="934"/>
      <c r="K680" s="934"/>
      <c r="L680" s="934"/>
      <c r="M680" s="934"/>
      <c r="N680" s="929"/>
      <c r="O680" s="933" t="str">
        <f t="shared" si="21"/>
        <v/>
      </c>
      <c r="P680" s="929"/>
    </row>
    <row r="681" spans="1:16" hidden="1">
      <c r="A681" s="1974"/>
      <c r="B681" s="1974"/>
      <c r="C681" s="145" t="str">
        <f t="shared" si="20"/>
        <v/>
      </c>
      <c r="D681" s="189"/>
      <c r="E681" s="923"/>
      <c r="F681" s="923"/>
      <c r="G681" s="934"/>
      <c r="H681" s="934"/>
      <c r="I681" s="934"/>
      <c r="J681" s="934"/>
      <c r="K681" s="934"/>
      <c r="L681" s="934"/>
      <c r="M681" s="934"/>
      <c r="N681" s="929"/>
      <c r="O681" s="933" t="str">
        <f t="shared" si="21"/>
        <v/>
      </c>
      <c r="P681" s="929"/>
    </row>
    <row r="682" spans="1:16" hidden="1">
      <c r="A682" s="1974"/>
      <c r="B682" s="1974"/>
      <c r="C682" s="145" t="str">
        <f t="shared" si="20"/>
        <v/>
      </c>
      <c r="D682" s="189"/>
      <c r="E682" s="923"/>
      <c r="F682" s="923"/>
      <c r="G682" s="934"/>
      <c r="H682" s="934"/>
      <c r="I682" s="934"/>
      <c r="J682" s="934"/>
      <c r="K682" s="934"/>
      <c r="L682" s="934"/>
      <c r="M682" s="934"/>
      <c r="N682" s="929"/>
      <c r="O682" s="933" t="str">
        <f t="shared" si="21"/>
        <v/>
      </c>
      <c r="P682" s="929"/>
    </row>
    <row r="683" spans="1:16" hidden="1">
      <c r="A683" s="1974"/>
      <c r="B683" s="1974"/>
      <c r="C683" s="145" t="str">
        <f t="shared" si="20"/>
        <v/>
      </c>
      <c r="D683" s="189"/>
      <c r="E683" s="923"/>
      <c r="F683" s="923"/>
      <c r="G683" s="934"/>
      <c r="H683" s="934"/>
      <c r="I683" s="934"/>
      <c r="J683" s="934"/>
      <c r="K683" s="934"/>
      <c r="L683" s="934"/>
      <c r="M683" s="934"/>
      <c r="N683" s="929"/>
      <c r="O683" s="933" t="str">
        <f t="shared" si="21"/>
        <v/>
      </c>
      <c r="P683" s="929"/>
    </row>
    <row r="684" spans="1:16" hidden="1">
      <c r="A684" s="1974"/>
      <c r="B684" s="1974"/>
      <c r="C684" s="145" t="str">
        <f t="shared" si="20"/>
        <v/>
      </c>
      <c r="D684" s="189"/>
      <c r="E684" s="923"/>
      <c r="F684" s="923"/>
      <c r="G684" s="934"/>
      <c r="H684" s="934"/>
      <c r="I684" s="934"/>
      <c r="J684" s="934"/>
      <c r="K684" s="934"/>
      <c r="L684" s="934"/>
      <c r="M684" s="934"/>
      <c r="N684" s="929"/>
      <c r="O684" s="933" t="str">
        <f t="shared" si="21"/>
        <v/>
      </c>
      <c r="P684" s="929"/>
    </row>
    <row r="685" spans="1:16" hidden="1">
      <c r="A685" s="1974"/>
      <c r="B685" s="1974"/>
      <c r="C685" s="145" t="str">
        <f t="shared" si="20"/>
        <v/>
      </c>
      <c r="D685" s="189"/>
      <c r="E685" s="923"/>
      <c r="F685" s="923"/>
      <c r="G685" s="934"/>
      <c r="H685" s="934"/>
      <c r="I685" s="934"/>
      <c r="J685" s="934"/>
      <c r="K685" s="934"/>
      <c r="L685" s="934"/>
      <c r="M685" s="934"/>
      <c r="N685" s="929"/>
      <c r="O685" s="933" t="str">
        <f t="shared" si="21"/>
        <v/>
      </c>
      <c r="P685" s="929"/>
    </row>
    <row r="686" spans="1:16" hidden="1">
      <c r="A686" s="1974"/>
      <c r="B686" s="1974"/>
      <c r="C686" s="145" t="str">
        <f t="shared" si="20"/>
        <v/>
      </c>
      <c r="D686" s="189"/>
      <c r="E686" s="923"/>
      <c r="F686" s="923"/>
      <c r="G686" s="934"/>
      <c r="H686" s="934"/>
      <c r="I686" s="934"/>
      <c r="J686" s="934"/>
      <c r="K686" s="934"/>
      <c r="L686" s="934"/>
      <c r="M686" s="934"/>
      <c r="N686" s="929"/>
      <c r="O686" s="933" t="str">
        <f t="shared" si="21"/>
        <v/>
      </c>
      <c r="P686" s="929"/>
    </row>
    <row r="687" spans="1:16" hidden="1">
      <c r="A687" s="1974"/>
      <c r="B687" s="1974"/>
      <c r="C687" s="145" t="str">
        <f t="shared" si="20"/>
        <v/>
      </c>
      <c r="D687" s="189"/>
      <c r="E687" s="923"/>
      <c r="F687" s="923"/>
      <c r="G687" s="934"/>
      <c r="H687" s="934"/>
      <c r="I687" s="934"/>
      <c r="J687" s="934"/>
      <c r="K687" s="934"/>
      <c r="L687" s="934"/>
      <c r="M687" s="934"/>
      <c r="N687" s="929"/>
      <c r="O687" s="933" t="str">
        <f t="shared" si="21"/>
        <v/>
      </c>
      <c r="P687" s="929"/>
    </row>
    <row r="688" spans="1:16" hidden="1">
      <c r="A688" s="1974"/>
      <c r="B688" s="1974"/>
      <c r="C688" s="145" t="str">
        <f t="shared" si="20"/>
        <v/>
      </c>
      <c r="D688" s="189"/>
      <c r="E688" s="923"/>
      <c r="F688" s="923"/>
      <c r="G688" s="934"/>
      <c r="H688" s="934"/>
      <c r="I688" s="934"/>
      <c r="J688" s="934"/>
      <c r="K688" s="934"/>
      <c r="L688" s="934"/>
      <c r="M688" s="934"/>
      <c r="N688" s="929"/>
      <c r="O688" s="933" t="str">
        <f t="shared" si="21"/>
        <v/>
      </c>
      <c r="P688" s="929"/>
    </row>
    <row r="689" spans="1:16" hidden="1">
      <c r="A689" s="1974"/>
      <c r="B689" s="1974"/>
      <c r="C689" s="145" t="str">
        <f t="shared" si="20"/>
        <v/>
      </c>
      <c r="D689" s="189"/>
      <c r="E689" s="923"/>
      <c r="F689" s="923"/>
      <c r="G689" s="934"/>
      <c r="H689" s="934"/>
      <c r="I689" s="934"/>
      <c r="J689" s="934"/>
      <c r="K689" s="934"/>
      <c r="L689" s="934"/>
      <c r="M689" s="934"/>
      <c r="N689" s="929"/>
      <c r="O689" s="933" t="str">
        <f t="shared" si="21"/>
        <v/>
      </c>
      <c r="P689" s="929"/>
    </row>
    <row r="690" spans="1:16" hidden="1">
      <c r="A690" s="1974"/>
      <c r="B690" s="1974"/>
      <c r="C690" s="145" t="str">
        <f t="shared" si="20"/>
        <v/>
      </c>
      <c r="D690" s="189"/>
      <c r="E690" s="923"/>
      <c r="F690" s="923"/>
      <c r="G690" s="934"/>
      <c r="H690" s="934"/>
      <c r="I690" s="934"/>
      <c r="J690" s="934"/>
      <c r="K690" s="934"/>
      <c r="L690" s="934"/>
      <c r="M690" s="934"/>
      <c r="N690" s="929"/>
      <c r="O690" s="933" t="str">
        <f t="shared" si="21"/>
        <v/>
      </c>
      <c r="P690" s="929"/>
    </row>
    <row r="691" spans="1:16" hidden="1">
      <c r="A691" s="1974"/>
      <c r="B691" s="1974"/>
      <c r="C691" s="145" t="str">
        <f t="shared" si="20"/>
        <v/>
      </c>
      <c r="D691" s="189"/>
      <c r="E691" s="923"/>
      <c r="F691" s="923"/>
      <c r="G691" s="934"/>
      <c r="H691" s="934"/>
      <c r="I691" s="934"/>
      <c r="J691" s="934"/>
      <c r="K691" s="934"/>
      <c r="L691" s="934"/>
      <c r="M691" s="934"/>
      <c r="N691" s="929"/>
      <c r="O691" s="933" t="str">
        <f t="shared" si="21"/>
        <v/>
      </c>
      <c r="P691" s="929"/>
    </row>
    <row r="692" spans="1:16" hidden="1">
      <c r="A692" s="1974"/>
      <c r="B692" s="1974"/>
      <c r="C692" s="145" t="str">
        <f t="shared" si="20"/>
        <v/>
      </c>
      <c r="D692" s="189"/>
      <c r="E692" s="923"/>
      <c r="F692" s="923"/>
      <c r="G692" s="934"/>
      <c r="H692" s="934"/>
      <c r="I692" s="934"/>
      <c r="J692" s="934"/>
      <c r="K692" s="934"/>
      <c r="L692" s="934"/>
      <c r="M692" s="934"/>
      <c r="N692" s="929"/>
      <c r="O692" s="933" t="str">
        <f t="shared" si="21"/>
        <v/>
      </c>
      <c r="P692" s="929"/>
    </row>
    <row r="693" spans="1:16" hidden="1">
      <c r="A693" s="1974"/>
      <c r="B693" s="1974"/>
      <c r="C693" s="145" t="str">
        <f t="shared" si="20"/>
        <v/>
      </c>
      <c r="D693" s="189"/>
      <c r="E693" s="923"/>
      <c r="F693" s="923"/>
      <c r="G693" s="934"/>
      <c r="H693" s="934"/>
      <c r="I693" s="934"/>
      <c r="J693" s="934"/>
      <c r="K693" s="934"/>
      <c r="L693" s="934"/>
      <c r="M693" s="934"/>
      <c r="N693" s="929"/>
      <c r="O693" s="933" t="str">
        <f t="shared" si="21"/>
        <v/>
      </c>
      <c r="P693" s="929"/>
    </row>
    <row r="694" spans="1:16" hidden="1">
      <c r="A694" s="1974"/>
      <c r="B694" s="1974"/>
      <c r="C694" s="145" t="str">
        <f t="shared" si="20"/>
        <v/>
      </c>
      <c r="D694" s="189"/>
      <c r="E694" s="923"/>
      <c r="F694" s="923"/>
      <c r="G694" s="934"/>
      <c r="H694" s="934"/>
      <c r="I694" s="934"/>
      <c r="J694" s="934"/>
      <c r="K694" s="934"/>
      <c r="L694" s="934"/>
      <c r="M694" s="934"/>
      <c r="N694" s="929"/>
      <c r="O694" s="933" t="str">
        <f t="shared" si="21"/>
        <v/>
      </c>
      <c r="P694" s="929"/>
    </row>
    <row r="695" spans="1:16" hidden="1">
      <c r="A695" s="1974"/>
      <c r="B695" s="1974"/>
      <c r="C695" s="145" t="str">
        <f t="shared" si="20"/>
        <v/>
      </c>
      <c r="D695" s="189"/>
      <c r="E695" s="923"/>
      <c r="F695" s="923"/>
      <c r="G695" s="934"/>
      <c r="H695" s="934"/>
      <c r="I695" s="934"/>
      <c r="J695" s="934"/>
      <c r="K695" s="934"/>
      <c r="L695" s="934"/>
      <c r="M695" s="934"/>
      <c r="N695" s="929"/>
      <c r="O695" s="933" t="str">
        <f t="shared" si="21"/>
        <v/>
      </c>
      <c r="P695" s="929"/>
    </row>
    <row r="696" spans="1:16" hidden="1">
      <c r="A696" s="1974"/>
      <c r="B696" s="1974"/>
      <c r="C696" s="145" t="str">
        <f t="shared" si="20"/>
        <v/>
      </c>
      <c r="D696" s="189"/>
      <c r="E696" s="923"/>
      <c r="F696" s="923"/>
      <c r="G696" s="934"/>
      <c r="H696" s="934"/>
      <c r="I696" s="934"/>
      <c r="J696" s="934"/>
      <c r="K696" s="934"/>
      <c r="L696" s="934"/>
      <c r="M696" s="934"/>
      <c r="N696" s="929"/>
      <c r="O696" s="933" t="str">
        <f t="shared" si="21"/>
        <v/>
      </c>
      <c r="P696" s="929"/>
    </row>
    <row r="697" spans="1:16" hidden="1">
      <c r="A697" s="1974"/>
      <c r="B697" s="1974"/>
      <c r="C697" s="145" t="str">
        <f t="shared" si="20"/>
        <v/>
      </c>
      <c r="D697" s="189"/>
      <c r="E697" s="923"/>
      <c r="F697" s="923"/>
      <c r="G697" s="934"/>
      <c r="H697" s="934"/>
      <c r="I697" s="934"/>
      <c r="J697" s="934"/>
      <c r="K697" s="934"/>
      <c r="L697" s="934"/>
      <c r="M697" s="934"/>
      <c r="N697" s="929"/>
      <c r="O697" s="933" t="str">
        <f t="shared" si="21"/>
        <v/>
      </c>
      <c r="P697" s="929"/>
    </row>
    <row r="698" spans="1:16" hidden="1">
      <c r="A698" s="1974"/>
      <c r="B698" s="1974"/>
      <c r="C698" s="145" t="str">
        <f t="shared" si="20"/>
        <v/>
      </c>
      <c r="D698" s="189"/>
      <c r="E698" s="923"/>
      <c r="F698" s="923"/>
      <c r="G698" s="934"/>
      <c r="H698" s="934"/>
      <c r="I698" s="934"/>
      <c r="J698" s="934"/>
      <c r="K698" s="934"/>
      <c r="L698" s="934"/>
      <c r="M698" s="934"/>
      <c r="N698" s="929"/>
      <c r="O698" s="933" t="str">
        <f t="shared" si="21"/>
        <v/>
      </c>
      <c r="P698" s="929"/>
    </row>
    <row r="699" spans="1:16" hidden="1">
      <c r="A699" s="1974"/>
      <c r="B699" s="1974"/>
      <c r="C699" s="145" t="str">
        <f t="shared" si="20"/>
        <v/>
      </c>
      <c r="D699" s="189"/>
      <c r="E699" s="923"/>
      <c r="F699" s="923"/>
      <c r="G699" s="934"/>
      <c r="H699" s="934"/>
      <c r="I699" s="934"/>
      <c r="J699" s="934"/>
      <c r="K699" s="934"/>
      <c r="L699" s="934"/>
      <c r="M699" s="934"/>
      <c r="N699" s="929"/>
      <c r="O699" s="933" t="str">
        <f t="shared" si="21"/>
        <v/>
      </c>
      <c r="P699" s="929"/>
    </row>
    <row r="700" spans="1:16" hidden="1">
      <c r="A700" s="1974"/>
      <c r="B700" s="1974"/>
      <c r="C700" s="145" t="str">
        <f t="shared" si="20"/>
        <v/>
      </c>
      <c r="D700" s="189"/>
      <c r="E700" s="923"/>
      <c r="F700" s="923"/>
      <c r="G700" s="934"/>
      <c r="H700" s="934"/>
      <c r="I700" s="934"/>
      <c r="J700" s="934"/>
      <c r="K700" s="934"/>
      <c r="L700" s="934"/>
      <c r="M700" s="934"/>
      <c r="N700" s="929"/>
      <c r="O700" s="933" t="str">
        <f t="shared" si="21"/>
        <v/>
      </c>
      <c r="P700" s="929"/>
    </row>
    <row r="701" spans="1:16" hidden="1">
      <c r="A701" s="1974"/>
      <c r="B701" s="1974"/>
      <c r="C701" s="145" t="str">
        <f t="shared" si="20"/>
        <v/>
      </c>
      <c r="D701" s="189"/>
      <c r="E701" s="923"/>
      <c r="F701" s="923"/>
      <c r="G701" s="934"/>
      <c r="H701" s="934"/>
      <c r="I701" s="934"/>
      <c r="J701" s="934"/>
      <c r="K701" s="934"/>
      <c r="L701" s="934"/>
      <c r="M701" s="934"/>
      <c r="N701" s="929"/>
      <c r="O701" s="933" t="str">
        <f t="shared" si="21"/>
        <v/>
      </c>
      <c r="P701" s="929"/>
    </row>
    <row r="702" spans="1:16" hidden="1">
      <c r="A702" s="1974"/>
      <c r="B702" s="1974"/>
      <c r="C702" s="145" t="str">
        <f t="shared" si="20"/>
        <v/>
      </c>
      <c r="D702" s="189"/>
      <c r="E702" s="923"/>
      <c r="F702" s="923"/>
      <c r="G702" s="934"/>
      <c r="H702" s="934"/>
      <c r="I702" s="934"/>
      <c r="J702" s="934"/>
      <c r="K702" s="934"/>
      <c r="L702" s="934"/>
      <c r="M702" s="934"/>
      <c r="N702" s="929"/>
      <c r="O702" s="933" t="str">
        <f t="shared" si="21"/>
        <v/>
      </c>
      <c r="P702" s="929"/>
    </row>
    <row r="703" spans="1:16" hidden="1">
      <c r="A703" s="1974"/>
      <c r="B703" s="1974"/>
      <c r="C703" s="145" t="str">
        <f t="shared" si="20"/>
        <v/>
      </c>
      <c r="D703" s="189"/>
      <c r="E703" s="923"/>
      <c r="F703" s="923"/>
      <c r="G703" s="934"/>
      <c r="H703" s="934"/>
      <c r="I703" s="934"/>
      <c r="J703" s="934"/>
      <c r="K703" s="934"/>
      <c r="L703" s="934"/>
      <c r="M703" s="934"/>
      <c r="N703" s="929"/>
      <c r="O703" s="933" t="str">
        <f t="shared" si="21"/>
        <v/>
      </c>
      <c r="P703" s="929"/>
    </row>
    <row r="704" spans="1:16" hidden="1">
      <c r="A704" s="1974"/>
      <c r="B704" s="1974"/>
      <c r="C704" s="145" t="str">
        <f t="shared" si="20"/>
        <v/>
      </c>
      <c r="D704" s="186"/>
      <c r="E704" s="921"/>
      <c r="F704" s="921"/>
      <c r="G704" s="932"/>
      <c r="H704" s="932"/>
      <c r="I704" s="932"/>
      <c r="J704" s="932"/>
      <c r="K704" s="932"/>
      <c r="L704" s="932"/>
      <c r="M704" s="932"/>
      <c r="N704" s="929"/>
      <c r="O704" s="933" t="str">
        <f t="shared" si="21"/>
        <v/>
      </c>
      <c r="P704" s="929"/>
    </row>
    <row r="705" spans="1:16" hidden="1">
      <c r="A705" s="1974"/>
      <c r="B705" s="1974"/>
      <c r="C705" s="145" t="str">
        <f t="shared" si="20"/>
        <v/>
      </c>
      <c r="D705" s="186"/>
      <c r="E705" s="921"/>
      <c r="F705" s="921"/>
      <c r="G705" s="932"/>
      <c r="H705" s="932"/>
      <c r="I705" s="932"/>
      <c r="J705" s="932"/>
      <c r="K705" s="932"/>
      <c r="L705" s="932"/>
      <c r="M705" s="932"/>
      <c r="N705" s="929"/>
      <c r="O705" s="933" t="str">
        <f t="shared" si="21"/>
        <v/>
      </c>
      <c r="P705" s="929"/>
    </row>
    <row r="706" spans="1:16">
      <c r="A706" s="1969" t="s">
        <v>1055</v>
      </c>
      <c r="B706" s="1970"/>
      <c r="C706" s="145"/>
      <c r="D706" s="186"/>
      <c r="E706" s="921"/>
      <c r="F706" s="921"/>
      <c r="G706" s="932"/>
      <c r="H706" s="932"/>
      <c r="I706" s="932"/>
      <c r="J706" s="932"/>
      <c r="K706" s="932"/>
      <c r="L706" s="932"/>
      <c r="M706" s="932"/>
      <c r="N706" s="929"/>
      <c r="O706" s="929"/>
      <c r="P706" s="929"/>
    </row>
    <row r="707" spans="1:16">
      <c r="A707" s="1968" t="s">
        <v>1056</v>
      </c>
      <c r="B707" s="1968"/>
      <c r="C707" s="145"/>
      <c r="D707" s="186"/>
      <c r="E707" s="921"/>
      <c r="F707" s="921"/>
      <c r="G707" s="932"/>
      <c r="H707" s="932"/>
      <c r="I707" s="932"/>
      <c r="J707" s="932"/>
      <c r="K707" s="932"/>
      <c r="L707" s="932"/>
      <c r="M707" s="932"/>
      <c r="N707" s="929"/>
      <c r="O707" s="929"/>
      <c r="P707" s="929"/>
    </row>
    <row r="708" spans="1:16">
      <c r="A708" s="1969" t="s">
        <v>1057</v>
      </c>
      <c r="B708" s="1969"/>
      <c r="C708" s="145"/>
      <c r="D708" s="186"/>
      <c r="E708" s="921"/>
      <c r="F708" s="921"/>
      <c r="G708" s="932"/>
      <c r="H708" s="932"/>
      <c r="I708" s="932"/>
      <c r="J708" s="932"/>
      <c r="K708" s="932"/>
      <c r="L708" s="932"/>
      <c r="M708" s="932"/>
      <c r="N708" s="929"/>
      <c r="O708" s="929"/>
      <c r="P708" s="929"/>
    </row>
    <row r="709" spans="1:16">
      <c r="A709" s="1968" t="s">
        <v>1056</v>
      </c>
      <c r="B709" s="1968"/>
      <c r="C709" s="145"/>
      <c r="D709" s="186"/>
      <c r="E709" s="921"/>
      <c r="F709" s="921"/>
      <c r="G709" s="932"/>
      <c r="H709" s="932"/>
      <c r="I709" s="932"/>
      <c r="J709" s="932"/>
      <c r="K709" s="932"/>
      <c r="L709" s="932"/>
      <c r="M709" s="932"/>
      <c r="N709" s="929"/>
      <c r="O709" s="929"/>
      <c r="P709" s="929"/>
    </row>
    <row r="710" spans="1:16">
      <c r="A710" s="1969" t="s">
        <v>3843</v>
      </c>
      <c r="B710" s="1969"/>
      <c r="C710" s="145"/>
      <c r="D710" s="186"/>
      <c r="E710" s="921"/>
      <c r="F710" s="921"/>
      <c r="G710" s="932"/>
      <c r="H710" s="932"/>
      <c r="I710" s="932"/>
      <c r="J710" s="932"/>
      <c r="K710" s="932"/>
      <c r="L710" s="932"/>
      <c r="M710" s="932"/>
      <c r="N710" s="929"/>
      <c r="O710" s="929"/>
      <c r="P710" s="929"/>
    </row>
    <row r="711" spans="1:16">
      <c r="A711" s="1965"/>
      <c r="B711" s="1965"/>
      <c r="C711" s="145"/>
      <c r="D711" s="186"/>
      <c r="E711" s="921"/>
      <c r="F711" s="921"/>
      <c r="G711" s="932"/>
      <c r="H711" s="932"/>
      <c r="I711" s="932"/>
      <c r="J711" s="932"/>
      <c r="K711" s="932"/>
      <c r="L711" s="932"/>
      <c r="M711" s="932"/>
      <c r="N711" s="929"/>
      <c r="O711" s="929" t="str">
        <f t="shared" si="21"/>
        <v/>
      </c>
      <c r="P711" s="929"/>
    </row>
    <row r="712" spans="1:16">
      <c r="A712" s="1966"/>
      <c r="B712" s="1966"/>
      <c r="C712" s="145"/>
      <c r="D712" s="186"/>
      <c r="E712" s="921"/>
      <c r="F712" s="921"/>
      <c r="G712" s="932"/>
      <c r="H712" s="932"/>
      <c r="I712" s="932"/>
      <c r="J712" s="932"/>
      <c r="K712" s="932"/>
      <c r="L712" s="932"/>
      <c r="M712" s="932"/>
      <c r="N712" s="929"/>
      <c r="O712" s="929"/>
      <c r="P712" s="929"/>
    </row>
    <row r="713" spans="1:16">
      <c r="A713" s="1967"/>
      <c r="B713" s="1967"/>
      <c r="C713" s="145"/>
      <c r="D713" s="186"/>
      <c r="E713" s="921"/>
      <c r="F713" s="921"/>
      <c r="G713" s="932"/>
      <c r="H713" s="932"/>
      <c r="I713" s="932"/>
      <c r="J713" s="932"/>
      <c r="K713" s="932"/>
      <c r="L713" s="932"/>
      <c r="M713" s="932"/>
      <c r="N713" s="929"/>
      <c r="O713" s="929"/>
      <c r="P713" s="929"/>
    </row>
    <row r="714" spans="1:16">
      <c r="A714" s="906"/>
      <c r="B714" s="906" t="s">
        <v>261</v>
      </c>
      <c r="C714" s="145"/>
      <c r="D714" s="186"/>
      <c r="E714" s="921"/>
      <c r="F714" s="921"/>
      <c r="G714" s="932"/>
      <c r="H714" s="932"/>
      <c r="I714" s="932"/>
      <c r="J714" s="932"/>
      <c r="K714" s="932"/>
      <c r="L714" s="932"/>
      <c r="M714" s="932"/>
      <c r="N714" s="929"/>
      <c r="O714" s="929"/>
      <c r="P714" s="929"/>
    </row>
    <row r="715" spans="1:16">
      <c r="C715" s="145"/>
      <c r="D715" s="186"/>
      <c r="E715" s="921"/>
      <c r="F715" s="921"/>
      <c r="G715" s="932"/>
      <c r="H715" s="932"/>
      <c r="I715" s="932"/>
      <c r="J715" s="932"/>
      <c r="K715" s="932"/>
      <c r="L715" s="932"/>
      <c r="M715" s="932"/>
      <c r="N715" s="929"/>
      <c r="O715" s="929"/>
      <c r="P715" s="929"/>
    </row>
    <row r="716" spans="1:16">
      <c r="C716" s="145"/>
      <c r="D716" s="186"/>
      <c r="E716" s="921"/>
      <c r="F716" s="921"/>
      <c r="G716" s="921"/>
      <c r="H716" s="921"/>
      <c r="I716" s="921"/>
      <c r="J716" s="921"/>
      <c r="K716" s="921"/>
      <c r="L716" s="921"/>
      <c r="M716" s="921"/>
    </row>
    <row r="717" spans="1:16">
      <c r="C717" s="145"/>
      <c r="D717" s="186"/>
      <c r="E717" s="921"/>
      <c r="F717" s="921"/>
      <c r="G717" s="921"/>
      <c r="H717" s="921"/>
      <c r="I717" s="921"/>
      <c r="J717" s="921"/>
      <c r="K717" s="921"/>
      <c r="L717" s="921"/>
      <c r="M717" s="921"/>
    </row>
    <row r="718" spans="1:16">
      <c r="C718" s="145"/>
      <c r="D718" s="186"/>
      <c r="E718" s="921"/>
      <c r="F718" s="921"/>
      <c r="G718" s="921"/>
      <c r="H718" s="921"/>
      <c r="I718" s="921"/>
      <c r="J718" s="921"/>
      <c r="K718" s="921"/>
      <c r="L718" s="921"/>
      <c r="M718" s="921"/>
    </row>
    <row r="719" spans="1:16">
      <c r="C719" s="145"/>
      <c r="D719" s="186"/>
      <c r="E719" s="921"/>
      <c r="F719" s="921"/>
      <c r="G719" s="921"/>
      <c r="H719" s="921"/>
      <c r="I719" s="921"/>
      <c r="J719" s="921"/>
      <c r="K719" s="921"/>
      <c r="L719" s="921"/>
      <c r="M719" s="921"/>
    </row>
    <row r="720" spans="1:16">
      <c r="A720" s="906"/>
      <c r="B720" s="906" t="str">
        <f>CBGS1</f>
        <v>Trần Trọng Liêm</v>
      </c>
      <c r="C720" s="145"/>
      <c r="D720" s="186"/>
      <c r="E720" s="921"/>
      <c r="F720" s="921"/>
      <c r="G720" s="921"/>
      <c r="H720" s="921"/>
      <c r="I720" s="921"/>
      <c r="J720" s="921"/>
      <c r="K720" s="921"/>
      <c r="L720" s="921"/>
      <c r="M720" s="921"/>
    </row>
    <row r="721" spans="1:13">
      <c r="A721" s="186"/>
      <c r="B721" s="186"/>
      <c r="C721" s="188"/>
      <c r="D721" s="186"/>
      <c r="E721" s="921"/>
      <c r="F721" s="921"/>
      <c r="G721" s="921"/>
      <c r="H721" s="921"/>
      <c r="I721" s="921"/>
      <c r="J721" s="921"/>
      <c r="K721" s="921"/>
      <c r="L721" s="921"/>
      <c r="M721" s="921"/>
    </row>
  </sheetData>
  <mergeCells count="711">
    <mergeCell ref="A1:B1"/>
    <mergeCell ref="A2:B2"/>
    <mergeCell ref="A3:B3"/>
    <mergeCell ref="A4:B4"/>
    <mergeCell ref="A5:B5"/>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99:B399"/>
    <mergeCell ref="A400:B400"/>
    <mergeCell ref="A401:B401"/>
    <mergeCell ref="A402:B402"/>
    <mergeCell ref="A403:B403"/>
    <mergeCell ref="A404:B404"/>
    <mergeCell ref="A393:B393"/>
    <mergeCell ref="A394:B394"/>
    <mergeCell ref="A395:B395"/>
    <mergeCell ref="A396:B396"/>
    <mergeCell ref="A397:B397"/>
    <mergeCell ref="A398:B398"/>
    <mergeCell ref="A411:B411"/>
    <mergeCell ref="A412:B412"/>
    <mergeCell ref="A413:B413"/>
    <mergeCell ref="A414:B414"/>
    <mergeCell ref="A415:B415"/>
    <mergeCell ref="A416:B416"/>
    <mergeCell ref="A405:B405"/>
    <mergeCell ref="A406:B406"/>
    <mergeCell ref="A407:B407"/>
    <mergeCell ref="A408:B408"/>
    <mergeCell ref="A409:B409"/>
    <mergeCell ref="A410:B410"/>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35:B435"/>
    <mergeCell ref="A436:B436"/>
    <mergeCell ref="A437:B437"/>
    <mergeCell ref="A438:B438"/>
    <mergeCell ref="A439:B439"/>
    <mergeCell ref="A440:B440"/>
    <mergeCell ref="A429:B429"/>
    <mergeCell ref="A430:B430"/>
    <mergeCell ref="A431:B431"/>
    <mergeCell ref="A432:B432"/>
    <mergeCell ref="A433:B433"/>
    <mergeCell ref="A434:B434"/>
    <mergeCell ref="A447:B447"/>
    <mergeCell ref="A448:B448"/>
    <mergeCell ref="A449:B449"/>
    <mergeCell ref="A450:B450"/>
    <mergeCell ref="A451:B451"/>
    <mergeCell ref="A452:B452"/>
    <mergeCell ref="A441:B441"/>
    <mergeCell ref="A442:B442"/>
    <mergeCell ref="A443:B443"/>
    <mergeCell ref="A444:B444"/>
    <mergeCell ref="A445:B445"/>
    <mergeCell ref="A446:B446"/>
    <mergeCell ref="A459:B459"/>
    <mergeCell ref="A460:B460"/>
    <mergeCell ref="A461:B461"/>
    <mergeCell ref="A462:B462"/>
    <mergeCell ref="A463:B463"/>
    <mergeCell ref="A464:B464"/>
    <mergeCell ref="A453:B453"/>
    <mergeCell ref="A454:B454"/>
    <mergeCell ref="A455:B455"/>
    <mergeCell ref="A456:B456"/>
    <mergeCell ref="A457:B457"/>
    <mergeCell ref="A458:B458"/>
    <mergeCell ref="A471:B471"/>
    <mergeCell ref="A472:B472"/>
    <mergeCell ref="A473:B473"/>
    <mergeCell ref="A474:B474"/>
    <mergeCell ref="A475:B475"/>
    <mergeCell ref="A476:B476"/>
    <mergeCell ref="A465:B465"/>
    <mergeCell ref="A466:B466"/>
    <mergeCell ref="A467:B467"/>
    <mergeCell ref="A468:B468"/>
    <mergeCell ref="A469:B469"/>
    <mergeCell ref="A470:B470"/>
    <mergeCell ref="A483:B483"/>
    <mergeCell ref="A484:B484"/>
    <mergeCell ref="A485:B485"/>
    <mergeCell ref="A486:B486"/>
    <mergeCell ref="A487:B487"/>
    <mergeCell ref="A488:B488"/>
    <mergeCell ref="A477:B477"/>
    <mergeCell ref="A478:B478"/>
    <mergeCell ref="A479:B479"/>
    <mergeCell ref="A480:B480"/>
    <mergeCell ref="A481:B481"/>
    <mergeCell ref="A482:B482"/>
    <mergeCell ref="A495:B495"/>
    <mergeCell ref="A496:B496"/>
    <mergeCell ref="A497:B497"/>
    <mergeCell ref="A498:B498"/>
    <mergeCell ref="A499:B499"/>
    <mergeCell ref="A500:B500"/>
    <mergeCell ref="A489:B489"/>
    <mergeCell ref="A490:B490"/>
    <mergeCell ref="A491:B491"/>
    <mergeCell ref="A492:B492"/>
    <mergeCell ref="A493:B493"/>
    <mergeCell ref="A494:B494"/>
    <mergeCell ref="A507:B507"/>
    <mergeCell ref="A508:B508"/>
    <mergeCell ref="A509:B509"/>
    <mergeCell ref="A510:B510"/>
    <mergeCell ref="A511:B511"/>
    <mergeCell ref="A512:B512"/>
    <mergeCell ref="A501:B501"/>
    <mergeCell ref="A502:B502"/>
    <mergeCell ref="A503:B503"/>
    <mergeCell ref="A504:B504"/>
    <mergeCell ref="A505:B505"/>
    <mergeCell ref="A506:B506"/>
    <mergeCell ref="A519:B519"/>
    <mergeCell ref="A520:B520"/>
    <mergeCell ref="A521:B521"/>
    <mergeCell ref="A522:B522"/>
    <mergeCell ref="A523:B523"/>
    <mergeCell ref="A524:B524"/>
    <mergeCell ref="A513:B513"/>
    <mergeCell ref="A514:B514"/>
    <mergeCell ref="A515:B515"/>
    <mergeCell ref="A516:B516"/>
    <mergeCell ref="A517:B517"/>
    <mergeCell ref="A518:B518"/>
    <mergeCell ref="A531:B531"/>
    <mergeCell ref="A532:B532"/>
    <mergeCell ref="A533:B533"/>
    <mergeCell ref="A534:B534"/>
    <mergeCell ref="A535:B535"/>
    <mergeCell ref="A536:B536"/>
    <mergeCell ref="A525:B525"/>
    <mergeCell ref="A526:B526"/>
    <mergeCell ref="A527:B527"/>
    <mergeCell ref="A528:B528"/>
    <mergeCell ref="A529:B529"/>
    <mergeCell ref="A530:B530"/>
    <mergeCell ref="A543:B543"/>
    <mergeCell ref="A544:B544"/>
    <mergeCell ref="A545:B545"/>
    <mergeCell ref="A546:B546"/>
    <mergeCell ref="A547:B547"/>
    <mergeCell ref="A548:B548"/>
    <mergeCell ref="A537:B537"/>
    <mergeCell ref="A538:B538"/>
    <mergeCell ref="A539:B539"/>
    <mergeCell ref="A540:B540"/>
    <mergeCell ref="A541:B541"/>
    <mergeCell ref="A542:B542"/>
    <mergeCell ref="A555:B555"/>
    <mergeCell ref="A556:B556"/>
    <mergeCell ref="A557:B557"/>
    <mergeCell ref="A558:B558"/>
    <mergeCell ref="A559:B559"/>
    <mergeCell ref="A560:B560"/>
    <mergeCell ref="A549:B549"/>
    <mergeCell ref="A550:B550"/>
    <mergeCell ref="A551:B551"/>
    <mergeCell ref="A552:B552"/>
    <mergeCell ref="A553:B553"/>
    <mergeCell ref="A554:B554"/>
    <mergeCell ref="A567:B567"/>
    <mergeCell ref="A568:B568"/>
    <mergeCell ref="A569:B569"/>
    <mergeCell ref="A570:B570"/>
    <mergeCell ref="A571:B571"/>
    <mergeCell ref="A572:B572"/>
    <mergeCell ref="A561:B561"/>
    <mergeCell ref="A562:B562"/>
    <mergeCell ref="A563:B563"/>
    <mergeCell ref="A564:B564"/>
    <mergeCell ref="A565:B565"/>
    <mergeCell ref="A566:B566"/>
    <mergeCell ref="A579:B579"/>
    <mergeCell ref="A580:B580"/>
    <mergeCell ref="A581:B581"/>
    <mergeCell ref="A582:B582"/>
    <mergeCell ref="A583:B583"/>
    <mergeCell ref="A584:B584"/>
    <mergeCell ref="A573:B573"/>
    <mergeCell ref="A574:B574"/>
    <mergeCell ref="A575:B575"/>
    <mergeCell ref="A576:B576"/>
    <mergeCell ref="A577:B577"/>
    <mergeCell ref="A578:B578"/>
    <mergeCell ref="A591:B591"/>
    <mergeCell ref="A592:B592"/>
    <mergeCell ref="A593:B593"/>
    <mergeCell ref="A594:B594"/>
    <mergeCell ref="A595:B595"/>
    <mergeCell ref="A596:B596"/>
    <mergeCell ref="A585:B585"/>
    <mergeCell ref="A586:B586"/>
    <mergeCell ref="A587:B587"/>
    <mergeCell ref="A588:B588"/>
    <mergeCell ref="A589:B589"/>
    <mergeCell ref="A590:B590"/>
    <mergeCell ref="A603:B603"/>
    <mergeCell ref="A604:B604"/>
    <mergeCell ref="A605:B605"/>
    <mergeCell ref="A606:B606"/>
    <mergeCell ref="A607:B607"/>
    <mergeCell ref="A608:B608"/>
    <mergeCell ref="A597:B597"/>
    <mergeCell ref="A598:B598"/>
    <mergeCell ref="A599:B599"/>
    <mergeCell ref="A600:B600"/>
    <mergeCell ref="A601:B601"/>
    <mergeCell ref="A602:B602"/>
    <mergeCell ref="A615:B615"/>
    <mergeCell ref="A616:B616"/>
    <mergeCell ref="A617:B617"/>
    <mergeCell ref="A618:B618"/>
    <mergeCell ref="A619:B619"/>
    <mergeCell ref="A620:B620"/>
    <mergeCell ref="A609:B609"/>
    <mergeCell ref="A610:B610"/>
    <mergeCell ref="A611:B611"/>
    <mergeCell ref="A612:B612"/>
    <mergeCell ref="A613:B613"/>
    <mergeCell ref="A614:B614"/>
    <mergeCell ref="A627:B627"/>
    <mergeCell ref="A628:B628"/>
    <mergeCell ref="A629:B629"/>
    <mergeCell ref="A630:B630"/>
    <mergeCell ref="A631:B631"/>
    <mergeCell ref="A632:B632"/>
    <mergeCell ref="A621:B621"/>
    <mergeCell ref="A622:B622"/>
    <mergeCell ref="A623:B623"/>
    <mergeCell ref="A624:B624"/>
    <mergeCell ref="A625:B625"/>
    <mergeCell ref="A626:B626"/>
    <mergeCell ref="A639:B639"/>
    <mergeCell ref="A640:B640"/>
    <mergeCell ref="A641:B641"/>
    <mergeCell ref="A642:B642"/>
    <mergeCell ref="A643:B643"/>
    <mergeCell ref="A644:B644"/>
    <mergeCell ref="A633:B633"/>
    <mergeCell ref="A634:B634"/>
    <mergeCell ref="A635:B635"/>
    <mergeCell ref="A636:B636"/>
    <mergeCell ref="A637:B637"/>
    <mergeCell ref="A638:B638"/>
    <mergeCell ref="A651:B651"/>
    <mergeCell ref="A652:B652"/>
    <mergeCell ref="A653:B653"/>
    <mergeCell ref="A654:B654"/>
    <mergeCell ref="A655:B655"/>
    <mergeCell ref="A656:B656"/>
    <mergeCell ref="A645:B645"/>
    <mergeCell ref="A646:B646"/>
    <mergeCell ref="A647:B647"/>
    <mergeCell ref="A648:B648"/>
    <mergeCell ref="A649:B649"/>
    <mergeCell ref="A650:B650"/>
    <mergeCell ref="A663:B663"/>
    <mergeCell ref="A664:B664"/>
    <mergeCell ref="A665:B665"/>
    <mergeCell ref="A666:B666"/>
    <mergeCell ref="A667:B667"/>
    <mergeCell ref="A668:B668"/>
    <mergeCell ref="A657:B657"/>
    <mergeCell ref="A658:B658"/>
    <mergeCell ref="A659:B659"/>
    <mergeCell ref="A660:B660"/>
    <mergeCell ref="A661:B661"/>
    <mergeCell ref="A662:B662"/>
    <mergeCell ref="A675:B675"/>
    <mergeCell ref="A676:B676"/>
    <mergeCell ref="A677:B677"/>
    <mergeCell ref="A678:B678"/>
    <mergeCell ref="A679:B679"/>
    <mergeCell ref="A680:B680"/>
    <mergeCell ref="A669:B669"/>
    <mergeCell ref="A670:B670"/>
    <mergeCell ref="A671:B671"/>
    <mergeCell ref="A672:B672"/>
    <mergeCell ref="A673:B673"/>
    <mergeCell ref="A674:B674"/>
    <mergeCell ref="A687:B687"/>
    <mergeCell ref="A688:B688"/>
    <mergeCell ref="A689:B689"/>
    <mergeCell ref="A690:B690"/>
    <mergeCell ref="A691:B691"/>
    <mergeCell ref="A692:B692"/>
    <mergeCell ref="A681:B681"/>
    <mergeCell ref="A682:B682"/>
    <mergeCell ref="A683:B683"/>
    <mergeCell ref="A684:B684"/>
    <mergeCell ref="A685:B685"/>
    <mergeCell ref="A686:B686"/>
    <mergeCell ref="A699:B699"/>
    <mergeCell ref="A700:B700"/>
    <mergeCell ref="A701:B701"/>
    <mergeCell ref="A702:B702"/>
    <mergeCell ref="A703:B703"/>
    <mergeCell ref="A704:B704"/>
    <mergeCell ref="A693:B693"/>
    <mergeCell ref="A694:B694"/>
    <mergeCell ref="A695:B695"/>
    <mergeCell ref="A696:B696"/>
    <mergeCell ref="A697:B697"/>
    <mergeCell ref="A698:B698"/>
    <mergeCell ref="A711:B711"/>
    <mergeCell ref="A712:B712"/>
    <mergeCell ref="A713:B713"/>
    <mergeCell ref="A705:B705"/>
    <mergeCell ref="A706:B706"/>
    <mergeCell ref="A707:B707"/>
    <mergeCell ref="A708:B708"/>
    <mergeCell ref="A709:B709"/>
    <mergeCell ref="A710:B710"/>
  </mergeCells>
  <dataValidations count="5">
    <dataValidation allowBlank="1" showInputMessage="1" showErrorMessage="1" promptTitle="Hàng chứa" prompt="Dòng chứa thiết bị thi công" sqref="K1:L1" xr:uid="{00000000-0002-0000-4400-000000000000}"/>
    <dataValidation allowBlank="1" showInputMessage="1" showErrorMessage="1" promptTitle="Hàng chứa" prompt="Dòng chứa thời tiết thi cong" sqref="J1" xr:uid="{00000000-0002-0000-4400-000001000000}"/>
    <dataValidation allowBlank="1" showInputMessage="1" showErrorMessage="1" promptTitle="Hàng chứa" prompt="4. Tình hình công tác vệ sinh môi trường:" sqref="H1" xr:uid="{00000000-0002-0000-4400-000002000000}"/>
    <dataValidation allowBlank="1" showInputMessage="1" showErrorMessage="1" promptTitle="Hàng chứa" prompt="3. Nội công việc thi công trong ngày:" sqref="G1" xr:uid="{00000000-0002-0000-4400-000003000000}"/>
    <dataValidation allowBlank="1" showInputMessage="1" showErrorMessage="1" promptTitle="Hàng chứa" prompt="Dòng chứa ngày thi công" sqref="I1" xr:uid="{00000000-0002-0000-4400-000004000000}"/>
  </dataValidations>
  <pageMargins left="0.9055118110236221" right="0.51181102362204722" top="0.55118110236220474"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738305" r:id="rId4" name="Spinner 1">
              <controlPr defaultSize="0" autoPict="0" macro="[0]!ChaythuNKGS">
                <anchor moveWithCells="1" sizeWithCells="1">
                  <from>
                    <xdr:col>3</xdr:col>
                    <xdr:colOff>104775</xdr:colOff>
                    <xdr:row>1</xdr:row>
                    <xdr:rowOff>114300</xdr:rowOff>
                  </from>
                  <to>
                    <xdr:col>3</xdr:col>
                    <xdr:colOff>371475</xdr:colOff>
                    <xdr:row>3</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tabColor rgb="FFFF0000"/>
  </sheetPr>
  <dimension ref="A1:B851"/>
  <sheetViews>
    <sheetView topLeftCell="A417" workbookViewId="0">
      <selection activeCell="A475" sqref="A475"/>
    </sheetView>
  </sheetViews>
  <sheetFormatPr defaultRowHeight="16.5"/>
  <cols>
    <col min="2" max="2" width="40.6640625" customWidth="1"/>
  </cols>
  <sheetData>
    <row r="1" spans="1:2">
      <c r="A1" s="178" t="s">
        <v>2376</v>
      </c>
      <c r="B1" s="178" t="s">
        <v>2377</v>
      </c>
    </row>
    <row r="2" spans="1:2">
      <c r="A2" s="179" t="s">
        <v>2378</v>
      </c>
      <c r="B2" s="179" t="s">
        <v>3867</v>
      </c>
    </row>
    <row r="3" spans="1:2">
      <c r="A3" s="179" t="s">
        <v>2379</v>
      </c>
      <c r="B3" s="179" t="s">
        <v>3867</v>
      </c>
    </row>
    <row r="4" spans="1:2">
      <c r="A4" s="179" t="s">
        <v>1210</v>
      </c>
      <c r="B4" s="179" t="s">
        <v>3867</v>
      </c>
    </row>
    <row r="5" spans="1:2">
      <c r="A5" s="179" t="s">
        <v>1299</v>
      </c>
      <c r="B5" s="179" t="s">
        <v>3867</v>
      </c>
    </row>
    <row r="6" spans="1:2">
      <c r="A6" s="179" t="s">
        <v>2380</v>
      </c>
      <c r="B6" s="179" t="s">
        <v>3867</v>
      </c>
    </row>
    <row r="7" spans="1:2">
      <c r="A7" s="179" t="s">
        <v>1211</v>
      </c>
      <c r="B7" s="179" t="s">
        <v>3867</v>
      </c>
    </row>
    <row r="8" spans="1:2">
      <c r="A8" s="179" t="s">
        <v>2381</v>
      </c>
      <c r="B8" s="179" t="s">
        <v>3867</v>
      </c>
    </row>
    <row r="9" spans="1:2">
      <c r="A9" s="179" t="s">
        <v>2382</v>
      </c>
      <c r="B9" s="179" t="s">
        <v>3867</v>
      </c>
    </row>
    <row r="10" spans="1:2">
      <c r="A10" s="179" t="s">
        <v>1213</v>
      </c>
      <c r="B10" s="179" t="s">
        <v>3867</v>
      </c>
    </row>
    <row r="11" spans="1:2">
      <c r="A11" s="179" t="s">
        <v>1214</v>
      </c>
      <c r="B11" s="179" t="s">
        <v>3867</v>
      </c>
    </row>
    <row r="12" spans="1:2">
      <c r="A12" s="179" t="s">
        <v>2383</v>
      </c>
      <c r="B12" s="179" t="s">
        <v>3867</v>
      </c>
    </row>
    <row r="13" spans="1:2">
      <c r="A13" s="179" t="s">
        <v>1215</v>
      </c>
      <c r="B13" s="179" t="s">
        <v>3867</v>
      </c>
    </row>
    <row r="14" spans="1:2">
      <c r="A14" s="179" t="s">
        <v>2384</v>
      </c>
      <c r="B14" s="179" t="s">
        <v>3867</v>
      </c>
    </row>
    <row r="15" spans="1:2">
      <c r="A15" s="179" t="s">
        <v>2385</v>
      </c>
      <c r="B15" s="179" t="s">
        <v>3867</v>
      </c>
    </row>
    <row r="16" spans="1:2">
      <c r="A16" s="179" t="s">
        <v>1216</v>
      </c>
      <c r="B16" s="179" t="s">
        <v>3867</v>
      </c>
    </row>
    <row r="17" spans="1:2">
      <c r="A17" s="179" t="s">
        <v>2386</v>
      </c>
      <c r="B17" s="179" t="s">
        <v>3867</v>
      </c>
    </row>
    <row r="18" spans="1:2">
      <c r="A18" s="179" t="s">
        <v>2387</v>
      </c>
      <c r="B18" s="179" t="s">
        <v>3867</v>
      </c>
    </row>
    <row r="19" spans="1:2">
      <c r="A19" s="179" t="s">
        <v>2388</v>
      </c>
      <c r="B19" s="179" t="s">
        <v>3867</v>
      </c>
    </row>
    <row r="20" spans="1:2">
      <c r="A20" s="179" t="s">
        <v>2389</v>
      </c>
      <c r="B20" s="179" t="s">
        <v>3867</v>
      </c>
    </row>
    <row r="21" spans="1:2">
      <c r="A21" s="179" t="s">
        <v>2390</v>
      </c>
      <c r="B21" s="179" t="s">
        <v>3867</v>
      </c>
    </row>
    <row r="22" spans="1:2">
      <c r="A22" s="179" t="s">
        <v>2391</v>
      </c>
      <c r="B22" s="179" t="s">
        <v>3867</v>
      </c>
    </row>
    <row r="23" spans="1:2">
      <c r="A23" s="179" t="s">
        <v>2392</v>
      </c>
      <c r="B23" s="179" t="s">
        <v>3867</v>
      </c>
    </row>
    <row r="24" spans="1:2">
      <c r="A24" s="179" t="s">
        <v>2393</v>
      </c>
      <c r="B24" s="179" t="s">
        <v>3867</v>
      </c>
    </row>
    <row r="25" spans="1:2">
      <c r="A25" s="179" t="s">
        <v>2394</v>
      </c>
      <c r="B25" s="179" t="s">
        <v>3867</v>
      </c>
    </row>
    <row r="26" spans="1:2">
      <c r="A26" s="179" t="s">
        <v>2395</v>
      </c>
      <c r="B26" s="179" t="s">
        <v>3867</v>
      </c>
    </row>
    <row r="27" spans="1:2">
      <c r="A27" s="179" t="s">
        <v>2396</v>
      </c>
      <c r="B27" s="179" t="s">
        <v>3867</v>
      </c>
    </row>
    <row r="28" spans="1:2">
      <c r="A28" s="179" t="s">
        <v>2397</v>
      </c>
      <c r="B28" s="179" t="s">
        <v>3867</v>
      </c>
    </row>
    <row r="29" spans="1:2">
      <c r="A29" s="179" t="s">
        <v>2398</v>
      </c>
      <c r="B29" s="179" t="s">
        <v>3867</v>
      </c>
    </row>
    <row r="30" spans="1:2">
      <c r="A30" s="179" t="s">
        <v>1385</v>
      </c>
      <c r="B30" s="179" t="s">
        <v>3867</v>
      </c>
    </row>
    <row r="31" spans="1:2">
      <c r="A31" s="179" t="s">
        <v>1386</v>
      </c>
      <c r="B31" s="179" t="s">
        <v>3867</v>
      </c>
    </row>
    <row r="32" spans="1:2">
      <c r="A32" s="179" t="s">
        <v>1976</v>
      </c>
      <c r="B32" s="179" t="s">
        <v>3867</v>
      </c>
    </row>
    <row r="33" spans="1:2">
      <c r="A33" s="179" t="s">
        <v>1260</v>
      </c>
      <c r="B33" s="179" t="s">
        <v>3867</v>
      </c>
    </row>
    <row r="34" spans="1:2">
      <c r="A34" s="179" t="s">
        <v>1388</v>
      </c>
      <c r="B34" s="179" t="s">
        <v>3867</v>
      </c>
    </row>
    <row r="35" spans="1:2">
      <c r="A35" s="179" t="s">
        <v>1389</v>
      </c>
      <c r="B35" s="179" t="s">
        <v>3867</v>
      </c>
    </row>
    <row r="36" spans="1:2">
      <c r="A36" s="179" t="s">
        <v>1543</v>
      </c>
      <c r="B36" s="179" t="s">
        <v>3868</v>
      </c>
    </row>
    <row r="37" spans="1:2">
      <c r="A37" s="179" t="s">
        <v>1326</v>
      </c>
      <c r="B37" s="179" t="s">
        <v>3868</v>
      </c>
    </row>
    <row r="38" spans="1:2">
      <c r="A38" s="179" t="s">
        <v>1573</v>
      </c>
      <c r="B38" s="179" t="s">
        <v>3868</v>
      </c>
    </row>
    <row r="39" spans="1:2">
      <c r="A39" s="179" t="s">
        <v>1325</v>
      </c>
      <c r="B39" s="179" t="s">
        <v>3868</v>
      </c>
    </row>
    <row r="40" spans="1:2">
      <c r="A40" s="179" t="s">
        <v>2399</v>
      </c>
      <c r="B40" s="179" t="s">
        <v>3868</v>
      </c>
    </row>
    <row r="41" spans="1:2">
      <c r="A41" s="179" t="s">
        <v>1533</v>
      </c>
      <c r="B41" s="179" t="s">
        <v>3868</v>
      </c>
    </row>
    <row r="42" spans="1:2">
      <c r="A42" s="179" t="s">
        <v>2400</v>
      </c>
      <c r="B42" s="179" t="s">
        <v>3868</v>
      </c>
    </row>
    <row r="43" spans="1:2">
      <c r="A43" s="179" t="s">
        <v>2401</v>
      </c>
      <c r="B43" s="179" t="s">
        <v>3868</v>
      </c>
    </row>
    <row r="44" spans="1:2">
      <c r="A44" s="179" t="s">
        <v>2402</v>
      </c>
      <c r="B44" s="179" t="s">
        <v>3868</v>
      </c>
    </row>
    <row r="45" spans="1:2">
      <c r="A45" s="179" t="s">
        <v>2403</v>
      </c>
      <c r="B45" s="179" t="s">
        <v>2404</v>
      </c>
    </row>
    <row r="46" spans="1:2">
      <c r="A46" s="179" t="s">
        <v>2405</v>
      </c>
      <c r="B46" s="179" t="s">
        <v>2406</v>
      </c>
    </row>
    <row r="47" spans="1:2">
      <c r="A47" s="179" t="s">
        <v>2407</v>
      </c>
      <c r="B47" s="179" t="s">
        <v>2408</v>
      </c>
    </row>
    <row r="48" spans="1:2">
      <c r="A48" s="179" t="s">
        <v>2409</v>
      </c>
      <c r="B48" s="179" t="s">
        <v>2410</v>
      </c>
    </row>
    <row r="49" spans="1:2">
      <c r="A49" s="179" t="s">
        <v>1323</v>
      </c>
      <c r="B49" s="179" t="s">
        <v>2411</v>
      </c>
    </row>
    <row r="50" spans="1:2">
      <c r="A50" s="179" t="s">
        <v>2412</v>
      </c>
      <c r="B50" s="179" t="s">
        <v>2413</v>
      </c>
    </row>
    <row r="51" spans="1:2">
      <c r="A51" s="179" t="s">
        <v>2414</v>
      </c>
      <c r="B51" s="179" t="s">
        <v>2415</v>
      </c>
    </row>
    <row r="52" spans="1:2">
      <c r="A52" s="179" t="s">
        <v>2416</v>
      </c>
      <c r="B52" s="179" t="s">
        <v>3869</v>
      </c>
    </row>
    <row r="53" spans="1:2">
      <c r="A53" s="179" t="s">
        <v>2417</v>
      </c>
      <c r="B53" s="179" t="s">
        <v>3869</v>
      </c>
    </row>
    <row r="54" spans="1:2">
      <c r="A54" s="179" t="s">
        <v>1219</v>
      </c>
      <c r="B54" s="179" t="s">
        <v>3869</v>
      </c>
    </row>
    <row r="55" spans="1:2">
      <c r="A55" s="179" t="s">
        <v>2046</v>
      </c>
      <c r="B55" s="179" t="s">
        <v>3869</v>
      </c>
    </row>
    <row r="56" spans="1:2">
      <c r="A56" s="179" t="s">
        <v>1114</v>
      </c>
      <c r="B56" s="179" t="s">
        <v>3869</v>
      </c>
    </row>
    <row r="57" spans="1:2">
      <c r="A57" s="179" t="s">
        <v>2418</v>
      </c>
      <c r="B57" s="179" t="s">
        <v>3869</v>
      </c>
    </row>
    <row r="58" spans="1:2">
      <c r="A58" s="179" t="s">
        <v>1113</v>
      </c>
      <c r="B58" s="179" t="s">
        <v>3869</v>
      </c>
    </row>
    <row r="59" spans="1:2">
      <c r="A59" s="179" t="s">
        <v>2419</v>
      </c>
      <c r="B59" s="179" t="s">
        <v>3869</v>
      </c>
    </row>
    <row r="60" spans="1:2">
      <c r="A60" s="179" t="s">
        <v>1221</v>
      </c>
      <c r="B60" s="179" t="s">
        <v>3869</v>
      </c>
    </row>
    <row r="61" spans="1:2">
      <c r="A61" s="179" t="s">
        <v>1222</v>
      </c>
      <c r="B61" s="179" t="s">
        <v>3869</v>
      </c>
    </row>
    <row r="62" spans="1:2">
      <c r="A62" s="179" t="s">
        <v>2420</v>
      </c>
      <c r="B62" s="179" t="s">
        <v>3869</v>
      </c>
    </row>
    <row r="63" spans="1:2">
      <c r="A63" s="179" t="s">
        <v>1223</v>
      </c>
      <c r="B63" s="179" t="s">
        <v>3869</v>
      </c>
    </row>
    <row r="64" spans="1:2">
      <c r="A64" s="179" t="s">
        <v>2421</v>
      </c>
      <c r="B64" s="179" t="s">
        <v>2422</v>
      </c>
    </row>
    <row r="65" spans="1:2">
      <c r="A65" s="179" t="s">
        <v>2423</v>
      </c>
      <c r="B65" s="179" t="s">
        <v>2424</v>
      </c>
    </row>
    <row r="66" spans="1:2">
      <c r="A66" s="179" t="s">
        <v>2425</v>
      </c>
      <c r="B66" s="179" t="s">
        <v>2426</v>
      </c>
    </row>
    <row r="67" spans="1:2">
      <c r="A67" s="179" t="s">
        <v>2427</v>
      </c>
      <c r="B67" s="179" t="s">
        <v>2428</v>
      </c>
    </row>
    <row r="68" spans="1:2">
      <c r="A68" s="179" t="s">
        <v>2429</v>
      </c>
      <c r="B68" s="179" t="s">
        <v>2430</v>
      </c>
    </row>
    <row r="69" spans="1:2">
      <c r="A69" s="179" t="s">
        <v>2431</v>
      </c>
      <c r="B69" s="179" t="s">
        <v>2432</v>
      </c>
    </row>
    <row r="70" spans="1:2">
      <c r="A70" s="179" t="s">
        <v>2433</v>
      </c>
      <c r="B70" s="179" t="s">
        <v>2434</v>
      </c>
    </row>
    <row r="71" spans="1:2">
      <c r="A71" s="179" t="s">
        <v>1227</v>
      </c>
      <c r="B71" s="179" t="s">
        <v>2435</v>
      </c>
    </row>
    <row r="72" spans="1:2">
      <c r="A72" s="179" t="s">
        <v>2436</v>
      </c>
      <c r="B72" s="179" t="s">
        <v>2437</v>
      </c>
    </row>
    <row r="73" spans="1:2">
      <c r="A73" s="179" t="s">
        <v>1229</v>
      </c>
      <c r="B73" s="179" t="s">
        <v>2438</v>
      </c>
    </row>
    <row r="74" spans="1:2">
      <c r="A74" s="179" t="s">
        <v>2439</v>
      </c>
      <c r="B74" s="179" t="s">
        <v>2440</v>
      </c>
    </row>
    <row r="75" spans="1:2">
      <c r="A75" s="179" t="s">
        <v>2441</v>
      </c>
      <c r="B75" s="179" t="s">
        <v>3870</v>
      </c>
    </row>
    <row r="76" spans="1:2">
      <c r="A76" s="179" t="s">
        <v>2442</v>
      </c>
      <c r="B76" s="179" t="s">
        <v>3870</v>
      </c>
    </row>
    <row r="77" spans="1:2">
      <c r="A77" s="179" t="s">
        <v>1508</v>
      </c>
      <c r="B77" s="179" t="s">
        <v>3870</v>
      </c>
    </row>
    <row r="78" spans="1:2">
      <c r="A78" s="179" t="s">
        <v>2443</v>
      </c>
      <c r="B78" s="179" t="s">
        <v>3870</v>
      </c>
    </row>
    <row r="79" spans="1:2">
      <c r="A79" s="179" t="s">
        <v>2444</v>
      </c>
      <c r="B79" s="179" t="s">
        <v>3870</v>
      </c>
    </row>
    <row r="80" spans="1:2">
      <c r="A80" s="179" t="s">
        <v>2445</v>
      </c>
      <c r="B80" s="179" t="s">
        <v>2446</v>
      </c>
    </row>
    <row r="81" spans="1:2">
      <c r="A81" s="179" t="s">
        <v>1339</v>
      </c>
      <c r="B81" s="179" t="s">
        <v>3871</v>
      </c>
    </row>
    <row r="82" spans="1:2">
      <c r="A82" s="179" t="s">
        <v>2447</v>
      </c>
      <c r="B82" s="179" t="s">
        <v>3871</v>
      </c>
    </row>
    <row r="83" spans="1:2">
      <c r="A83" s="179" t="s">
        <v>2448</v>
      </c>
      <c r="B83" s="179" t="s">
        <v>3871</v>
      </c>
    </row>
    <row r="84" spans="1:2">
      <c r="A84" s="179" t="s">
        <v>2449</v>
      </c>
      <c r="B84" s="179" t="s">
        <v>3872</v>
      </c>
    </row>
    <row r="85" spans="1:2">
      <c r="A85" s="179" t="s">
        <v>2450</v>
      </c>
      <c r="B85" s="179" t="s">
        <v>3872</v>
      </c>
    </row>
    <row r="86" spans="1:2">
      <c r="A86" s="179" t="s">
        <v>2451</v>
      </c>
      <c r="B86" s="179" t="s">
        <v>3872</v>
      </c>
    </row>
    <row r="87" spans="1:2">
      <c r="A87" s="179" t="s">
        <v>2452</v>
      </c>
      <c r="B87" s="179" t="s">
        <v>3872</v>
      </c>
    </row>
    <row r="88" spans="1:2">
      <c r="A88" s="179" t="s">
        <v>2453</v>
      </c>
      <c r="B88" s="179" t="s">
        <v>3872</v>
      </c>
    </row>
    <row r="89" spans="1:2">
      <c r="A89" s="179" t="s">
        <v>1334</v>
      </c>
      <c r="B89" s="179" t="s">
        <v>3872</v>
      </c>
    </row>
    <row r="90" spans="1:2">
      <c r="A90" s="179" t="s">
        <v>1335</v>
      </c>
      <c r="B90" s="179" t="s">
        <v>3872</v>
      </c>
    </row>
    <row r="91" spans="1:2">
      <c r="A91" s="179" t="s">
        <v>2454</v>
      </c>
      <c r="B91" s="179" t="s">
        <v>3872</v>
      </c>
    </row>
    <row r="92" spans="1:2">
      <c r="A92" s="179" t="s">
        <v>1336</v>
      </c>
      <c r="B92" s="179" t="s">
        <v>3872</v>
      </c>
    </row>
    <row r="93" spans="1:2">
      <c r="A93" s="179" t="s">
        <v>2455</v>
      </c>
      <c r="B93" s="179" t="s">
        <v>3872</v>
      </c>
    </row>
    <row r="94" spans="1:2">
      <c r="A94" s="179" t="s">
        <v>2456</v>
      </c>
      <c r="B94" s="179" t="s">
        <v>3872</v>
      </c>
    </row>
    <row r="95" spans="1:2">
      <c r="A95" s="179" t="s">
        <v>1328</v>
      </c>
      <c r="B95" s="179" t="s">
        <v>3872</v>
      </c>
    </row>
    <row r="96" spans="1:2">
      <c r="A96" s="179" t="s">
        <v>1365</v>
      </c>
      <c r="B96" s="179" t="s">
        <v>3872</v>
      </c>
    </row>
    <row r="97" spans="1:2">
      <c r="A97" s="179" t="s">
        <v>2457</v>
      </c>
      <c r="B97" s="179" t="s">
        <v>3873</v>
      </c>
    </row>
    <row r="98" spans="1:2">
      <c r="A98" s="179" t="s">
        <v>2458</v>
      </c>
      <c r="B98" s="179" t="s">
        <v>3873</v>
      </c>
    </row>
    <row r="99" spans="1:2">
      <c r="A99" s="179" t="s">
        <v>1507</v>
      </c>
      <c r="B99" s="179" t="s">
        <v>3874</v>
      </c>
    </row>
    <row r="100" spans="1:2">
      <c r="A100" s="179" t="s">
        <v>1522</v>
      </c>
      <c r="B100" s="179" t="s">
        <v>3874</v>
      </c>
    </row>
    <row r="101" spans="1:2">
      <c r="A101" s="179" t="s">
        <v>2459</v>
      </c>
      <c r="B101" s="179" t="s">
        <v>3874</v>
      </c>
    </row>
    <row r="102" spans="1:2">
      <c r="A102" s="179" t="s">
        <v>2460</v>
      </c>
      <c r="B102" s="179" t="s">
        <v>3874</v>
      </c>
    </row>
    <row r="103" spans="1:2">
      <c r="A103" s="179" t="s">
        <v>2461</v>
      </c>
      <c r="B103" s="179" t="s">
        <v>3874</v>
      </c>
    </row>
    <row r="104" spans="1:2">
      <c r="A104" s="179" t="s">
        <v>2462</v>
      </c>
      <c r="B104" s="179" t="s">
        <v>3874</v>
      </c>
    </row>
    <row r="105" spans="1:2">
      <c r="A105" s="179" t="s">
        <v>1366</v>
      </c>
      <c r="B105" s="179" t="s">
        <v>3875</v>
      </c>
    </row>
    <row r="106" spans="1:2">
      <c r="A106" s="179" t="s">
        <v>2463</v>
      </c>
      <c r="B106" s="179" t="s">
        <v>3876</v>
      </c>
    </row>
    <row r="107" spans="1:2">
      <c r="A107" s="179" t="s">
        <v>1551</v>
      </c>
      <c r="B107" s="179" t="s">
        <v>3876</v>
      </c>
    </row>
    <row r="108" spans="1:2">
      <c r="A108" s="179" t="s">
        <v>2464</v>
      </c>
      <c r="B108" s="179" t="s">
        <v>3876</v>
      </c>
    </row>
    <row r="109" spans="1:2">
      <c r="A109" s="179" t="s">
        <v>2040</v>
      </c>
      <c r="B109" s="179" t="s">
        <v>3876</v>
      </c>
    </row>
    <row r="110" spans="1:2">
      <c r="A110" s="179" t="s">
        <v>2465</v>
      </c>
      <c r="B110" s="179" t="s">
        <v>3876</v>
      </c>
    </row>
    <row r="111" spans="1:2">
      <c r="A111" s="179" t="s">
        <v>1578</v>
      </c>
      <c r="B111" s="179" t="s">
        <v>3876</v>
      </c>
    </row>
    <row r="112" spans="1:2">
      <c r="A112" s="179" t="s">
        <v>2466</v>
      </c>
      <c r="B112" s="179" t="s">
        <v>3876</v>
      </c>
    </row>
    <row r="113" spans="1:2">
      <c r="A113" s="179" t="s">
        <v>2467</v>
      </c>
      <c r="B113" s="179" t="s">
        <v>3876</v>
      </c>
    </row>
    <row r="114" spans="1:2">
      <c r="A114" s="179" t="s">
        <v>2468</v>
      </c>
      <c r="B114" s="179" t="s">
        <v>3876</v>
      </c>
    </row>
    <row r="115" spans="1:2">
      <c r="A115" s="179" t="s">
        <v>2309</v>
      </c>
      <c r="B115" s="179" t="s">
        <v>3876</v>
      </c>
    </row>
    <row r="116" spans="1:2">
      <c r="A116" s="179" t="s">
        <v>1279</v>
      </c>
      <c r="B116" s="179" t="s">
        <v>3876</v>
      </c>
    </row>
    <row r="117" spans="1:2">
      <c r="A117" s="179" t="s">
        <v>2469</v>
      </c>
      <c r="B117" s="179" t="s">
        <v>3876</v>
      </c>
    </row>
    <row r="118" spans="1:2">
      <c r="A118" s="179" t="s">
        <v>2470</v>
      </c>
      <c r="B118" s="179" t="s">
        <v>3876</v>
      </c>
    </row>
    <row r="119" spans="1:2">
      <c r="A119" s="179" t="s">
        <v>2471</v>
      </c>
      <c r="B119" s="179" t="s">
        <v>3876</v>
      </c>
    </row>
    <row r="120" spans="1:2">
      <c r="A120" s="179" t="s">
        <v>1272</v>
      </c>
      <c r="B120" s="179" t="s">
        <v>3876</v>
      </c>
    </row>
    <row r="121" spans="1:2">
      <c r="A121" s="179" t="s">
        <v>2472</v>
      </c>
      <c r="B121" s="179" t="s">
        <v>3876</v>
      </c>
    </row>
    <row r="122" spans="1:2">
      <c r="A122" s="179" t="s">
        <v>1164</v>
      </c>
      <c r="B122" s="179" t="s">
        <v>3876</v>
      </c>
    </row>
    <row r="123" spans="1:2">
      <c r="A123" s="179" t="s">
        <v>2473</v>
      </c>
      <c r="B123" s="179" t="s">
        <v>3876</v>
      </c>
    </row>
    <row r="124" spans="1:2">
      <c r="A124" s="179" t="s">
        <v>1275</v>
      </c>
      <c r="B124" s="179" t="s">
        <v>3876</v>
      </c>
    </row>
    <row r="125" spans="1:2">
      <c r="A125" s="179" t="s">
        <v>1277</v>
      </c>
      <c r="B125" s="179" t="s">
        <v>3876</v>
      </c>
    </row>
    <row r="126" spans="1:2">
      <c r="A126" s="179" t="s">
        <v>1727</v>
      </c>
      <c r="B126" s="179" t="s">
        <v>3876</v>
      </c>
    </row>
    <row r="127" spans="1:2">
      <c r="A127" s="179" t="s">
        <v>2474</v>
      </c>
      <c r="B127" s="179" t="s">
        <v>3876</v>
      </c>
    </row>
    <row r="128" spans="1:2">
      <c r="A128" s="179" t="s">
        <v>1278</v>
      </c>
      <c r="B128" s="179" t="s">
        <v>3876</v>
      </c>
    </row>
    <row r="129" spans="1:2">
      <c r="A129" s="179" t="s">
        <v>2475</v>
      </c>
      <c r="B129" s="179" t="s">
        <v>3876</v>
      </c>
    </row>
    <row r="130" spans="1:2">
      <c r="A130" s="179" t="s">
        <v>2476</v>
      </c>
      <c r="B130" s="179" t="s">
        <v>3876</v>
      </c>
    </row>
    <row r="131" spans="1:2">
      <c r="A131" s="179" t="s">
        <v>2477</v>
      </c>
      <c r="B131" s="179" t="s">
        <v>3876</v>
      </c>
    </row>
    <row r="132" spans="1:2">
      <c r="A132" s="179" t="s">
        <v>2478</v>
      </c>
      <c r="B132" s="179" t="s">
        <v>3876</v>
      </c>
    </row>
    <row r="133" spans="1:2">
      <c r="A133" s="179" t="s">
        <v>2479</v>
      </c>
      <c r="B133" s="179" t="s">
        <v>3876</v>
      </c>
    </row>
    <row r="134" spans="1:2">
      <c r="A134" s="179" t="s">
        <v>2480</v>
      </c>
      <c r="B134" s="179" t="s">
        <v>3876</v>
      </c>
    </row>
    <row r="135" spans="1:2">
      <c r="A135" s="179" t="s">
        <v>2481</v>
      </c>
      <c r="B135" s="179" t="s">
        <v>3876</v>
      </c>
    </row>
    <row r="136" spans="1:2">
      <c r="A136" s="179" t="s">
        <v>2482</v>
      </c>
      <c r="B136" s="179" t="s">
        <v>3876</v>
      </c>
    </row>
    <row r="137" spans="1:2">
      <c r="A137" s="179" t="s">
        <v>2483</v>
      </c>
      <c r="B137" s="179" t="s">
        <v>3876</v>
      </c>
    </row>
    <row r="138" spans="1:2">
      <c r="A138" s="179" t="s">
        <v>2484</v>
      </c>
      <c r="B138" s="179" t="s">
        <v>3876</v>
      </c>
    </row>
    <row r="139" spans="1:2">
      <c r="A139" s="179" t="s">
        <v>2485</v>
      </c>
      <c r="B139" s="179" t="s">
        <v>3876</v>
      </c>
    </row>
    <row r="140" spans="1:2">
      <c r="A140" s="179" t="s">
        <v>2486</v>
      </c>
      <c r="B140" s="179" t="s">
        <v>3876</v>
      </c>
    </row>
    <row r="141" spans="1:2">
      <c r="A141" s="179" t="s">
        <v>2487</v>
      </c>
      <c r="B141" s="179" t="s">
        <v>2488</v>
      </c>
    </row>
    <row r="142" spans="1:2">
      <c r="A142" s="179" t="s">
        <v>1738</v>
      </c>
      <c r="B142" s="179" t="s">
        <v>2489</v>
      </c>
    </row>
    <row r="143" spans="1:2">
      <c r="A143" s="179" t="s">
        <v>2490</v>
      </c>
      <c r="B143" s="179" t="s">
        <v>2491</v>
      </c>
    </row>
    <row r="144" spans="1:2">
      <c r="A144" s="179" t="s">
        <v>2492</v>
      </c>
      <c r="B144" s="179" t="s">
        <v>2493</v>
      </c>
    </row>
    <row r="145" spans="1:2">
      <c r="A145" s="179" t="s">
        <v>1739</v>
      </c>
      <c r="B145" s="179" t="s">
        <v>2494</v>
      </c>
    </row>
    <row r="146" spans="1:2">
      <c r="A146" s="179" t="s">
        <v>1740</v>
      </c>
      <c r="B146" s="179" t="s">
        <v>2495</v>
      </c>
    </row>
    <row r="147" spans="1:2">
      <c r="A147" s="179" t="s">
        <v>2496</v>
      </c>
      <c r="B147" s="179" t="s">
        <v>3877</v>
      </c>
    </row>
    <row r="148" spans="1:2">
      <c r="A148" s="179" t="s">
        <v>1163</v>
      </c>
      <c r="B148" s="179" t="s">
        <v>3877</v>
      </c>
    </row>
    <row r="149" spans="1:2">
      <c r="A149" s="179" t="s">
        <v>2497</v>
      </c>
      <c r="B149" s="179" t="s">
        <v>3877</v>
      </c>
    </row>
    <row r="150" spans="1:2">
      <c r="A150" s="179" t="s">
        <v>2498</v>
      </c>
      <c r="B150" s="179" t="s">
        <v>3877</v>
      </c>
    </row>
    <row r="151" spans="1:2">
      <c r="A151" s="179" t="s">
        <v>1364</v>
      </c>
      <c r="B151" s="179" t="s">
        <v>3877</v>
      </c>
    </row>
    <row r="152" spans="1:2">
      <c r="A152" s="179" t="s">
        <v>2499</v>
      </c>
      <c r="B152" s="179" t="s">
        <v>3877</v>
      </c>
    </row>
    <row r="153" spans="1:2">
      <c r="A153" s="179" t="s">
        <v>2500</v>
      </c>
      <c r="B153" s="179" t="s">
        <v>2501</v>
      </c>
    </row>
    <row r="154" spans="1:2">
      <c r="A154" s="179" t="s">
        <v>2176</v>
      </c>
      <c r="B154" s="179" t="s">
        <v>2502</v>
      </c>
    </row>
    <row r="155" spans="1:2">
      <c r="A155" s="179" t="s">
        <v>2503</v>
      </c>
      <c r="B155" s="179" t="s">
        <v>2504</v>
      </c>
    </row>
    <row r="156" spans="1:2">
      <c r="A156" s="179" t="s">
        <v>2505</v>
      </c>
      <c r="B156" s="179" t="s">
        <v>2506</v>
      </c>
    </row>
    <row r="157" spans="1:2">
      <c r="A157" s="179" t="s">
        <v>2507</v>
      </c>
      <c r="B157" s="179" t="s">
        <v>2508</v>
      </c>
    </row>
    <row r="158" spans="1:2">
      <c r="A158" s="179" t="s">
        <v>2509</v>
      </c>
      <c r="B158" s="179" t="s">
        <v>2510</v>
      </c>
    </row>
    <row r="159" spans="1:2">
      <c r="A159" s="179" t="s">
        <v>2511</v>
      </c>
      <c r="B159" s="179" t="s">
        <v>2512</v>
      </c>
    </row>
    <row r="160" spans="1:2">
      <c r="A160" s="179" t="s">
        <v>2513</v>
      </c>
      <c r="B160" s="179" t="s">
        <v>2514</v>
      </c>
    </row>
    <row r="161" spans="1:2">
      <c r="A161" s="179" t="s">
        <v>2515</v>
      </c>
      <c r="B161" s="179" t="s">
        <v>2516</v>
      </c>
    </row>
    <row r="162" spans="1:2">
      <c r="A162" s="179" t="s">
        <v>2517</v>
      </c>
      <c r="B162" s="179" t="s">
        <v>2518</v>
      </c>
    </row>
    <row r="163" spans="1:2">
      <c r="A163" s="179" t="s">
        <v>2519</v>
      </c>
      <c r="B163" s="179" t="s">
        <v>2520</v>
      </c>
    </row>
    <row r="164" spans="1:2">
      <c r="A164" s="179" t="s">
        <v>2521</v>
      </c>
      <c r="B164" s="179" t="s">
        <v>2522</v>
      </c>
    </row>
    <row r="165" spans="1:2">
      <c r="A165" s="179" t="s">
        <v>2523</v>
      </c>
      <c r="B165" s="179" t="s">
        <v>2524</v>
      </c>
    </row>
    <row r="166" spans="1:2">
      <c r="A166" s="179" t="s">
        <v>2525</v>
      </c>
      <c r="B166" s="179" t="s">
        <v>2526</v>
      </c>
    </row>
    <row r="167" spans="1:2">
      <c r="A167" s="179" t="s">
        <v>2527</v>
      </c>
      <c r="B167" s="179" t="s">
        <v>2528</v>
      </c>
    </row>
    <row r="168" spans="1:2">
      <c r="A168" s="179" t="s">
        <v>2529</v>
      </c>
      <c r="B168" s="179" t="s">
        <v>2530</v>
      </c>
    </row>
    <row r="169" spans="1:2">
      <c r="A169" s="179" t="s">
        <v>2531</v>
      </c>
      <c r="B169" s="179" t="s">
        <v>2532</v>
      </c>
    </row>
    <row r="170" spans="1:2">
      <c r="A170" s="179" t="s">
        <v>2533</v>
      </c>
      <c r="B170" s="179" t="s">
        <v>2534</v>
      </c>
    </row>
    <row r="171" spans="1:2">
      <c r="A171" s="179" t="s">
        <v>2535</v>
      </c>
      <c r="B171" s="179" t="s">
        <v>2536</v>
      </c>
    </row>
    <row r="172" spans="1:2">
      <c r="A172" s="179" t="s">
        <v>2537</v>
      </c>
      <c r="B172" s="179" t="s">
        <v>2538</v>
      </c>
    </row>
    <row r="173" spans="1:2">
      <c r="A173" s="179" t="s">
        <v>2539</v>
      </c>
      <c r="B173" s="179" t="s">
        <v>2540</v>
      </c>
    </row>
    <row r="174" spans="1:2">
      <c r="A174" s="179" t="s">
        <v>2541</v>
      </c>
      <c r="B174" s="179" t="s">
        <v>2542</v>
      </c>
    </row>
    <row r="175" spans="1:2">
      <c r="A175" s="179" t="s">
        <v>2543</v>
      </c>
      <c r="B175" s="179" t="s">
        <v>2544</v>
      </c>
    </row>
    <row r="176" spans="1:2">
      <c r="A176" s="179" t="s">
        <v>2545</v>
      </c>
      <c r="B176" s="179" t="s">
        <v>2546</v>
      </c>
    </row>
    <row r="177" spans="1:2">
      <c r="A177" s="179" t="s">
        <v>2547</v>
      </c>
      <c r="B177" s="179" t="s">
        <v>2548</v>
      </c>
    </row>
    <row r="178" spans="1:2">
      <c r="A178" s="179" t="s">
        <v>2549</v>
      </c>
      <c r="B178" s="179" t="s">
        <v>2550</v>
      </c>
    </row>
    <row r="179" spans="1:2">
      <c r="A179" s="179" t="s">
        <v>2551</v>
      </c>
      <c r="B179" s="179" t="s">
        <v>2552</v>
      </c>
    </row>
    <row r="180" spans="1:2">
      <c r="A180" s="179" t="s">
        <v>2553</v>
      </c>
      <c r="B180" s="179" t="s">
        <v>2554</v>
      </c>
    </row>
    <row r="181" spans="1:2">
      <c r="A181" s="179" t="s">
        <v>2555</v>
      </c>
      <c r="B181" s="179" t="s">
        <v>2556</v>
      </c>
    </row>
    <row r="182" spans="1:2">
      <c r="A182" s="179" t="s">
        <v>2557</v>
      </c>
      <c r="B182" s="179" t="s">
        <v>2558</v>
      </c>
    </row>
    <row r="183" spans="1:2">
      <c r="A183" s="179" t="s">
        <v>2559</v>
      </c>
      <c r="B183" s="179" t="s">
        <v>2560</v>
      </c>
    </row>
    <row r="184" spans="1:2">
      <c r="A184" s="179" t="s">
        <v>2561</v>
      </c>
      <c r="B184" s="179" t="s">
        <v>2562</v>
      </c>
    </row>
    <row r="185" spans="1:2">
      <c r="A185" s="179" t="s">
        <v>2563</v>
      </c>
      <c r="B185" s="179" t="s">
        <v>2564</v>
      </c>
    </row>
    <row r="186" spans="1:2">
      <c r="A186" s="179" t="s">
        <v>2565</v>
      </c>
      <c r="B186" s="179" t="s">
        <v>2566</v>
      </c>
    </row>
    <row r="187" spans="1:2">
      <c r="A187" s="179" t="s">
        <v>2567</v>
      </c>
      <c r="B187" s="179" t="s">
        <v>2568</v>
      </c>
    </row>
    <row r="188" spans="1:2">
      <c r="A188" s="179" t="s">
        <v>2569</v>
      </c>
      <c r="B188" s="179" t="s">
        <v>2570</v>
      </c>
    </row>
    <row r="189" spans="1:2">
      <c r="A189" s="179" t="s">
        <v>2571</v>
      </c>
      <c r="B189" s="179" t="s">
        <v>2572</v>
      </c>
    </row>
    <row r="190" spans="1:2">
      <c r="A190" s="179" t="s">
        <v>1327</v>
      </c>
      <c r="B190" s="179" t="s">
        <v>2573</v>
      </c>
    </row>
    <row r="191" spans="1:2">
      <c r="A191" s="179" t="s">
        <v>1329</v>
      </c>
      <c r="B191" s="179" t="s">
        <v>2574</v>
      </c>
    </row>
    <row r="192" spans="1:2">
      <c r="A192" s="179" t="s">
        <v>1741</v>
      </c>
      <c r="B192" s="179" t="s">
        <v>2575</v>
      </c>
    </row>
    <row r="193" spans="1:2">
      <c r="A193" s="179" t="s">
        <v>2576</v>
      </c>
      <c r="B193" s="179" t="s">
        <v>2577</v>
      </c>
    </row>
    <row r="194" spans="1:2">
      <c r="A194" s="179" t="s">
        <v>1330</v>
      </c>
      <c r="B194" s="179" t="s">
        <v>2578</v>
      </c>
    </row>
    <row r="195" spans="1:2">
      <c r="A195" s="179" t="s">
        <v>2579</v>
      </c>
      <c r="B195" s="179" t="s">
        <v>2580</v>
      </c>
    </row>
    <row r="196" spans="1:2">
      <c r="A196" s="179" t="s">
        <v>2581</v>
      </c>
      <c r="B196" s="179" t="s">
        <v>2582</v>
      </c>
    </row>
    <row r="197" spans="1:2">
      <c r="A197" s="179" t="s">
        <v>2088</v>
      </c>
      <c r="B197" s="179" t="s">
        <v>2583</v>
      </c>
    </row>
    <row r="198" spans="1:2">
      <c r="A198" s="179" t="s">
        <v>2584</v>
      </c>
      <c r="B198" s="179" t="s">
        <v>2585</v>
      </c>
    </row>
    <row r="199" spans="1:2">
      <c r="A199" s="179" t="s">
        <v>2586</v>
      </c>
      <c r="B199" s="179" t="s">
        <v>2587</v>
      </c>
    </row>
    <row r="200" spans="1:2" ht="30">
      <c r="A200" s="179" t="s">
        <v>2588</v>
      </c>
      <c r="B200" s="179" t="s">
        <v>2589</v>
      </c>
    </row>
    <row r="201" spans="1:2">
      <c r="A201" s="179" t="s">
        <v>2590</v>
      </c>
      <c r="B201" s="179" t="s">
        <v>3854</v>
      </c>
    </row>
    <row r="202" spans="1:2">
      <c r="A202" s="179" t="s">
        <v>2591</v>
      </c>
      <c r="B202" s="179" t="s">
        <v>3854</v>
      </c>
    </row>
    <row r="203" spans="1:2">
      <c r="A203" s="179" t="s">
        <v>2592</v>
      </c>
      <c r="B203" s="179" t="s">
        <v>3854</v>
      </c>
    </row>
    <row r="204" spans="1:2">
      <c r="A204" s="179" t="s">
        <v>2044</v>
      </c>
      <c r="B204" s="179" t="s">
        <v>3854</v>
      </c>
    </row>
    <row r="205" spans="1:2">
      <c r="A205" s="179" t="s">
        <v>1692</v>
      </c>
      <c r="B205" s="179" t="s">
        <v>3854</v>
      </c>
    </row>
    <row r="206" spans="1:2">
      <c r="A206" s="179" t="s">
        <v>1796</v>
      </c>
      <c r="B206" s="179" t="s">
        <v>3854</v>
      </c>
    </row>
    <row r="207" spans="1:2">
      <c r="A207" s="179" t="s">
        <v>2593</v>
      </c>
      <c r="B207" s="179" t="s">
        <v>3854</v>
      </c>
    </row>
    <row r="208" spans="1:2">
      <c r="A208" s="179" t="s">
        <v>2594</v>
      </c>
      <c r="B208" s="179" t="s">
        <v>3854</v>
      </c>
    </row>
    <row r="209" spans="1:2">
      <c r="A209" s="179" t="s">
        <v>2595</v>
      </c>
      <c r="B209" s="179" t="s">
        <v>3854</v>
      </c>
    </row>
    <row r="210" spans="1:2">
      <c r="A210" s="179" t="s">
        <v>2596</v>
      </c>
      <c r="B210" s="179" t="s">
        <v>3854</v>
      </c>
    </row>
    <row r="211" spans="1:2">
      <c r="A211" s="179" t="s">
        <v>2597</v>
      </c>
      <c r="B211" s="179" t="s">
        <v>3854</v>
      </c>
    </row>
    <row r="212" spans="1:2">
      <c r="A212" s="179" t="s">
        <v>2598</v>
      </c>
      <c r="B212" s="179" t="s">
        <v>3854</v>
      </c>
    </row>
    <row r="213" spans="1:2">
      <c r="A213" s="179" t="s">
        <v>2599</v>
      </c>
      <c r="B213" s="179" t="s">
        <v>3854</v>
      </c>
    </row>
    <row r="214" spans="1:2">
      <c r="A214" s="179" t="s">
        <v>2600</v>
      </c>
      <c r="B214" s="179" t="s">
        <v>3854</v>
      </c>
    </row>
    <row r="215" spans="1:2">
      <c r="A215" s="179" t="s">
        <v>1157</v>
      </c>
      <c r="B215" s="179" t="s">
        <v>3854</v>
      </c>
    </row>
    <row r="216" spans="1:2">
      <c r="A216" s="179" t="s">
        <v>1176</v>
      </c>
      <c r="B216" s="179" t="s">
        <v>3854</v>
      </c>
    </row>
    <row r="217" spans="1:2">
      <c r="A217" s="179" t="s">
        <v>2601</v>
      </c>
      <c r="B217" s="179" t="s">
        <v>3854</v>
      </c>
    </row>
    <row r="218" spans="1:2">
      <c r="A218" s="179" t="s">
        <v>2602</v>
      </c>
      <c r="B218" s="179" t="s">
        <v>3854</v>
      </c>
    </row>
    <row r="219" spans="1:2">
      <c r="A219" s="179" t="s">
        <v>2603</v>
      </c>
      <c r="B219" s="179" t="s">
        <v>3854</v>
      </c>
    </row>
    <row r="220" spans="1:2">
      <c r="A220" s="179" t="s">
        <v>2604</v>
      </c>
      <c r="B220" s="179" t="s">
        <v>3854</v>
      </c>
    </row>
    <row r="221" spans="1:2">
      <c r="A221" s="179" t="s">
        <v>2605</v>
      </c>
      <c r="B221" s="179" t="s">
        <v>3854</v>
      </c>
    </row>
    <row r="222" spans="1:2">
      <c r="A222" s="179" t="s">
        <v>2606</v>
      </c>
      <c r="B222" s="179" t="s">
        <v>3854</v>
      </c>
    </row>
    <row r="223" spans="1:2">
      <c r="A223" s="179" t="s">
        <v>2607</v>
      </c>
      <c r="B223" s="179" t="s">
        <v>3854</v>
      </c>
    </row>
    <row r="224" spans="1:2">
      <c r="A224" s="179" t="s">
        <v>2608</v>
      </c>
      <c r="B224" s="179" t="s">
        <v>3854</v>
      </c>
    </row>
    <row r="225" spans="1:2">
      <c r="A225" s="179" t="s">
        <v>1454</v>
      </c>
      <c r="B225" s="179" t="s">
        <v>3854</v>
      </c>
    </row>
    <row r="226" spans="1:2">
      <c r="A226" s="179" t="s">
        <v>1266</v>
      </c>
      <c r="B226" s="179" t="s">
        <v>3854</v>
      </c>
    </row>
    <row r="227" spans="1:2">
      <c r="A227" s="179" t="s">
        <v>1416</v>
      </c>
      <c r="B227" s="179" t="s">
        <v>3854</v>
      </c>
    </row>
    <row r="228" spans="1:2">
      <c r="A228" s="179" t="s">
        <v>1483</v>
      </c>
      <c r="B228" s="179" t="s">
        <v>3854</v>
      </c>
    </row>
    <row r="229" spans="1:2">
      <c r="A229" s="179" t="s">
        <v>2609</v>
      </c>
      <c r="B229" s="179" t="s">
        <v>3854</v>
      </c>
    </row>
    <row r="230" spans="1:2">
      <c r="A230" s="179" t="s">
        <v>1298</v>
      </c>
      <c r="B230" s="179" t="s">
        <v>3854</v>
      </c>
    </row>
    <row r="231" spans="1:2">
      <c r="A231" s="179" t="s">
        <v>1466</v>
      </c>
      <c r="B231" s="179" t="s">
        <v>3854</v>
      </c>
    </row>
    <row r="232" spans="1:2">
      <c r="A232" s="179" t="s">
        <v>2610</v>
      </c>
      <c r="B232" s="179" t="s">
        <v>3854</v>
      </c>
    </row>
    <row r="233" spans="1:2">
      <c r="A233" s="179" t="s">
        <v>2611</v>
      </c>
      <c r="B233" s="179" t="s">
        <v>3854</v>
      </c>
    </row>
    <row r="234" spans="1:2">
      <c r="A234" s="179" t="s">
        <v>2612</v>
      </c>
      <c r="B234" s="179" t="s">
        <v>3854</v>
      </c>
    </row>
    <row r="235" spans="1:2">
      <c r="A235" s="179" t="s">
        <v>2613</v>
      </c>
      <c r="B235" s="179" t="s">
        <v>3854</v>
      </c>
    </row>
    <row r="236" spans="1:2">
      <c r="A236" s="179" t="s">
        <v>2614</v>
      </c>
      <c r="B236" s="179" t="s">
        <v>3854</v>
      </c>
    </row>
    <row r="237" spans="1:2">
      <c r="A237" s="179" t="s">
        <v>2615</v>
      </c>
      <c r="B237" s="179" t="s">
        <v>3854</v>
      </c>
    </row>
    <row r="238" spans="1:2">
      <c r="A238" s="179" t="s">
        <v>2616</v>
      </c>
      <c r="B238" s="179" t="s">
        <v>3854</v>
      </c>
    </row>
    <row r="239" spans="1:2">
      <c r="A239" s="179" t="s">
        <v>2617</v>
      </c>
      <c r="B239" s="179" t="s">
        <v>3854</v>
      </c>
    </row>
    <row r="240" spans="1:2">
      <c r="A240" s="179" t="s">
        <v>2618</v>
      </c>
      <c r="B240" s="179" t="s">
        <v>3854</v>
      </c>
    </row>
    <row r="241" spans="1:2">
      <c r="A241" s="179" t="s">
        <v>2619</v>
      </c>
      <c r="B241" s="179" t="s">
        <v>3854</v>
      </c>
    </row>
    <row r="242" spans="1:2">
      <c r="A242" s="179" t="s">
        <v>2620</v>
      </c>
      <c r="B242" s="179" t="s">
        <v>3854</v>
      </c>
    </row>
    <row r="243" spans="1:2">
      <c r="A243" s="179" t="s">
        <v>1610</v>
      </c>
      <c r="B243" s="179" t="s">
        <v>3854</v>
      </c>
    </row>
    <row r="244" spans="1:2">
      <c r="A244" s="179" t="s">
        <v>1841</v>
      </c>
      <c r="B244" s="179" t="s">
        <v>3854</v>
      </c>
    </row>
    <row r="245" spans="1:2">
      <c r="A245" s="179" t="s">
        <v>1611</v>
      </c>
      <c r="B245" s="179" t="s">
        <v>3854</v>
      </c>
    </row>
    <row r="246" spans="1:2">
      <c r="A246" s="179" t="s">
        <v>1696</v>
      </c>
      <c r="B246" s="179" t="s">
        <v>3854</v>
      </c>
    </row>
    <row r="247" spans="1:2">
      <c r="A247" s="179" t="s">
        <v>1743</v>
      </c>
      <c r="B247" s="179" t="s">
        <v>3854</v>
      </c>
    </row>
    <row r="248" spans="1:2">
      <c r="A248" s="179" t="s">
        <v>2621</v>
      </c>
      <c r="B248" s="179" t="s">
        <v>2622</v>
      </c>
    </row>
    <row r="249" spans="1:2">
      <c r="A249" s="179" t="s">
        <v>1270</v>
      </c>
      <c r="B249" s="179" t="s">
        <v>2623</v>
      </c>
    </row>
    <row r="250" spans="1:2">
      <c r="A250" s="179" t="s">
        <v>2160</v>
      </c>
      <c r="B250" s="179" t="s">
        <v>2624</v>
      </c>
    </row>
    <row r="251" spans="1:2">
      <c r="A251" s="179" t="s">
        <v>1803</v>
      </c>
      <c r="B251" s="179" t="s">
        <v>2625</v>
      </c>
    </row>
    <row r="252" spans="1:2">
      <c r="A252" s="179" t="s">
        <v>2626</v>
      </c>
      <c r="B252" s="179" t="s">
        <v>2627</v>
      </c>
    </row>
    <row r="253" spans="1:2">
      <c r="A253" s="179" t="s">
        <v>2628</v>
      </c>
      <c r="B253" s="179" t="s">
        <v>2629</v>
      </c>
    </row>
    <row r="254" spans="1:2">
      <c r="A254" s="179" t="s">
        <v>1800</v>
      </c>
      <c r="B254" s="179" t="s">
        <v>2630</v>
      </c>
    </row>
    <row r="255" spans="1:2">
      <c r="A255" s="179" t="s">
        <v>2631</v>
      </c>
      <c r="B255" s="179" t="s">
        <v>2632</v>
      </c>
    </row>
    <row r="256" spans="1:2">
      <c r="A256" s="179" t="s">
        <v>2633</v>
      </c>
      <c r="B256" s="179" t="s">
        <v>2634</v>
      </c>
    </row>
    <row r="257" spans="1:2">
      <c r="A257" s="179" t="s">
        <v>2635</v>
      </c>
      <c r="B257" s="179" t="s">
        <v>2636</v>
      </c>
    </row>
    <row r="258" spans="1:2">
      <c r="A258" s="179" t="s">
        <v>2637</v>
      </c>
      <c r="B258" s="179" t="s">
        <v>2638</v>
      </c>
    </row>
    <row r="259" spans="1:2">
      <c r="A259" s="179" t="s">
        <v>2639</v>
      </c>
      <c r="B259" s="179" t="s">
        <v>2640</v>
      </c>
    </row>
    <row r="260" spans="1:2">
      <c r="A260" s="179" t="s">
        <v>2641</v>
      </c>
      <c r="B260" s="179" t="s">
        <v>2642</v>
      </c>
    </row>
    <row r="261" spans="1:2">
      <c r="A261" s="179" t="s">
        <v>2643</v>
      </c>
      <c r="B261" s="179" t="s">
        <v>2644</v>
      </c>
    </row>
    <row r="262" spans="1:2">
      <c r="A262" s="179" t="s">
        <v>2645</v>
      </c>
      <c r="B262" s="179" t="s">
        <v>2646</v>
      </c>
    </row>
    <row r="263" spans="1:2">
      <c r="A263" s="179" t="s">
        <v>2647</v>
      </c>
      <c r="B263" s="179" t="s">
        <v>2648</v>
      </c>
    </row>
    <row r="264" spans="1:2">
      <c r="A264" s="179" t="s">
        <v>2649</v>
      </c>
      <c r="B264" s="179" t="s">
        <v>2650</v>
      </c>
    </row>
    <row r="265" spans="1:2">
      <c r="A265" s="179" t="s">
        <v>2651</v>
      </c>
      <c r="B265" s="179" t="s">
        <v>3855</v>
      </c>
    </row>
    <row r="266" spans="1:2">
      <c r="A266" s="179" t="s">
        <v>2652</v>
      </c>
      <c r="B266" s="179" t="s">
        <v>3855</v>
      </c>
    </row>
    <row r="267" spans="1:2">
      <c r="A267" s="179" t="s">
        <v>1608</v>
      </c>
      <c r="B267" s="179" t="s">
        <v>3855</v>
      </c>
    </row>
    <row r="268" spans="1:2">
      <c r="A268" s="179" t="s">
        <v>2653</v>
      </c>
      <c r="B268" s="179" t="s">
        <v>3855</v>
      </c>
    </row>
    <row r="269" spans="1:2">
      <c r="A269" s="179" t="s">
        <v>1697</v>
      </c>
      <c r="B269" s="179" t="s">
        <v>3855</v>
      </c>
    </row>
    <row r="270" spans="1:2">
      <c r="A270" s="179" t="s">
        <v>1609</v>
      </c>
      <c r="B270" s="179" t="s">
        <v>3855</v>
      </c>
    </row>
    <row r="271" spans="1:2">
      <c r="A271" s="179" t="s">
        <v>2654</v>
      </c>
      <c r="B271" s="179" t="s">
        <v>2655</v>
      </c>
    </row>
    <row r="272" spans="1:2">
      <c r="A272" s="179" t="s">
        <v>2656</v>
      </c>
      <c r="B272" s="179" t="s">
        <v>3856</v>
      </c>
    </row>
    <row r="273" spans="1:2">
      <c r="A273" s="179" t="s">
        <v>2657</v>
      </c>
      <c r="B273" s="179" t="s">
        <v>3856</v>
      </c>
    </row>
    <row r="274" spans="1:2">
      <c r="A274" s="179" t="s">
        <v>1565</v>
      </c>
      <c r="B274" s="179" t="s">
        <v>3856</v>
      </c>
    </row>
    <row r="275" spans="1:2">
      <c r="A275" s="179" t="s">
        <v>2658</v>
      </c>
      <c r="B275" s="179" t="s">
        <v>3856</v>
      </c>
    </row>
    <row r="276" spans="1:2">
      <c r="A276" s="179" t="s">
        <v>2659</v>
      </c>
      <c r="B276" s="179" t="s">
        <v>3856</v>
      </c>
    </row>
    <row r="277" spans="1:2">
      <c r="A277" s="179" t="s">
        <v>1348</v>
      </c>
      <c r="B277" s="179" t="s">
        <v>3856</v>
      </c>
    </row>
    <row r="278" spans="1:2">
      <c r="A278" s="179" t="s">
        <v>1787</v>
      </c>
      <c r="B278" s="179" t="s">
        <v>3856</v>
      </c>
    </row>
    <row r="279" spans="1:2">
      <c r="A279" s="179" t="s">
        <v>2660</v>
      </c>
      <c r="B279" s="179" t="s">
        <v>3856</v>
      </c>
    </row>
    <row r="280" spans="1:2">
      <c r="A280" s="179" t="s">
        <v>1179</v>
      </c>
      <c r="B280" s="179" t="s">
        <v>3856</v>
      </c>
    </row>
    <row r="281" spans="1:2">
      <c r="A281" s="179" t="s">
        <v>1746</v>
      </c>
      <c r="B281" s="179" t="s">
        <v>3857</v>
      </c>
    </row>
    <row r="282" spans="1:2">
      <c r="A282" s="179" t="s">
        <v>1669</v>
      </c>
      <c r="B282" s="179" t="s">
        <v>3857</v>
      </c>
    </row>
    <row r="283" spans="1:2">
      <c r="A283" s="179" t="s">
        <v>1771</v>
      </c>
      <c r="B283" s="179" t="s">
        <v>2661</v>
      </c>
    </row>
    <row r="284" spans="1:2">
      <c r="A284" s="179" t="s">
        <v>2662</v>
      </c>
      <c r="B284" s="179" t="s">
        <v>2663</v>
      </c>
    </row>
    <row r="285" spans="1:2">
      <c r="A285" s="179" t="s">
        <v>1779</v>
      </c>
      <c r="B285" s="179" t="s">
        <v>2664</v>
      </c>
    </row>
    <row r="286" spans="1:2">
      <c r="A286" s="179" t="s">
        <v>1790</v>
      </c>
      <c r="B286" s="179" t="s">
        <v>2665</v>
      </c>
    </row>
    <row r="287" spans="1:2">
      <c r="A287" s="179" t="s">
        <v>1780</v>
      </c>
      <c r="B287" s="179" t="s">
        <v>2666</v>
      </c>
    </row>
    <row r="288" spans="1:2">
      <c r="A288" s="179" t="s">
        <v>2667</v>
      </c>
      <c r="B288" s="179" t="s">
        <v>2668</v>
      </c>
    </row>
    <row r="289" spans="1:2">
      <c r="A289" s="179" t="s">
        <v>1775</v>
      </c>
      <c r="B289" s="179" t="s">
        <v>2669</v>
      </c>
    </row>
    <row r="290" spans="1:2">
      <c r="A290" s="179" t="s">
        <v>1751</v>
      </c>
      <c r="B290" s="179" t="s">
        <v>2670</v>
      </c>
    </row>
    <row r="291" spans="1:2">
      <c r="A291" s="179" t="s">
        <v>1752</v>
      </c>
      <c r="B291" s="179" t="s">
        <v>2671</v>
      </c>
    </row>
    <row r="292" spans="1:2">
      <c r="A292" s="179" t="s">
        <v>2672</v>
      </c>
      <c r="B292" s="179" t="s">
        <v>2673</v>
      </c>
    </row>
    <row r="293" spans="1:2">
      <c r="A293" s="179" t="s">
        <v>2674</v>
      </c>
      <c r="B293" s="179" t="s">
        <v>2675</v>
      </c>
    </row>
    <row r="294" spans="1:2">
      <c r="A294" s="179" t="s">
        <v>2676</v>
      </c>
      <c r="B294" s="179" t="s">
        <v>2677</v>
      </c>
    </row>
    <row r="295" spans="1:2">
      <c r="A295" s="179" t="s">
        <v>2678</v>
      </c>
      <c r="B295" s="179" t="s">
        <v>2679</v>
      </c>
    </row>
    <row r="296" spans="1:2">
      <c r="A296" s="179" t="s">
        <v>2680</v>
      </c>
      <c r="B296" s="179" t="s">
        <v>2681</v>
      </c>
    </row>
    <row r="297" spans="1:2">
      <c r="A297" s="179" t="s">
        <v>2682</v>
      </c>
      <c r="B297" s="179" t="s">
        <v>2683</v>
      </c>
    </row>
    <row r="298" spans="1:2">
      <c r="A298" s="179" t="s">
        <v>1708</v>
      </c>
      <c r="B298" s="179" t="s">
        <v>2684</v>
      </c>
    </row>
    <row r="299" spans="1:2">
      <c r="A299" s="179" t="s">
        <v>2685</v>
      </c>
      <c r="B299" s="179" t="s">
        <v>3858</v>
      </c>
    </row>
    <row r="300" spans="1:2">
      <c r="A300" s="179" t="s">
        <v>2686</v>
      </c>
      <c r="B300" s="179" t="s">
        <v>3858</v>
      </c>
    </row>
    <row r="301" spans="1:2">
      <c r="A301" s="179" t="s">
        <v>2687</v>
      </c>
      <c r="B301" s="179" t="s">
        <v>3858</v>
      </c>
    </row>
    <row r="302" spans="1:2">
      <c r="A302" s="179" t="s">
        <v>1673</v>
      </c>
      <c r="B302" s="179" t="s">
        <v>3858</v>
      </c>
    </row>
    <row r="303" spans="1:2">
      <c r="A303" s="179" t="s">
        <v>2688</v>
      </c>
      <c r="B303" s="179" t="s">
        <v>3858</v>
      </c>
    </row>
    <row r="304" spans="1:2">
      <c r="A304" s="179" t="s">
        <v>1683</v>
      </c>
      <c r="B304" s="179" t="s">
        <v>3858</v>
      </c>
    </row>
    <row r="305" spans="1:2">
      <c r="A305" s="179" t="s">
        <v>1968</v>
      </c>
      <c r="B305" s="179" t="s">
        <v>3858</v>
      </c>
    </row>
    <row r="306" spans="1:2">
      <c r="A306" s="179" t="s">
        <v>2689</v>
      </c>
      <c r="B306" s="179" t="s">
        <v>3858</v>
      </c>
    </row>
    <row r="307" spans="1:2">
      <c r="A307" s="179" t="s">
        <v>2690</v>
      </c>
      <c r="B307" s="179" t="s">
        <v>3858</v>
      </c>
    </row>
    <row r="308" spans="1:2">
      <c r="A308" s="179" t="s">
        <v>1602</v>
      </c>
      <c r="B308" s="179" t="s">
        <v>3859</v>
      </c>
    </row>
    <row r="309" spans="1:2">
      <c r="A309" s="179" t="s">
        <v>2691</v>
      </c>
      <c r="B309" s="179" t="s">
        <v>2692</v>
      </c>
    </row>
    <row r="310" spans="1:2">
      <c r="A310" s="179" t="s">
        <v>1734</v>
      </c>
      <c r="B310" s="179" t="s">
        <v>2693</v>
      </c>
    </row>
    <row r="311" spans="1:2">
      <c r="A311" s="179" t="s">
        <v>1735</v>
      </c>
      <c r="B311" s="179" t="s">
        <v>2694</v>
      </c>
    </row>
    <row r="312" spans="1:2">
      <c r="A312" s="179" t="s">
        <v>1989</v>
      </c>
      <c r="B312" s="179" t="s">
        <v>2695</v>
      </c>
    </row>
    <row r="313" spans="1:2">
      <c r="A313" s="179" t="s">
        <v>1687</v>
      </c>
      <c r="B313" s="179" t="s">
        <v>2696</v>
      </c>
    </row>
    <row r="314" spans="1:2">
      <c r="A314" s="179" t="s">
        <v>1785</v>
      </c>
      <c r="B314" s="179" t="s">
        <v>2697</v>
      </c>
    </row>
    <row r="315" spans="1:2">
      <c r="A315" s="179" t="s">
        <v>1710</v>
      </c>
      <c r="B315" s="179" t="s">
        <v>2698</v>
      </c>
    </row>
    <row r="316" spans="1:2">
      <c r="A316" s="179" t="s">
        <v>2699</v>
      </c>
      <c r="B316" s="179" t="s">
        <v>2700</v>
      </c>
    </row>
    <row r="317" spans="1:2">
      <c r="A317" s="179" t="s">
        <v>1701</v>
      </c>
      <c r="B317" s="179" t="s">
        <v>2701</v>
      </c>
    </row>
    <row r="318" spans="1:2">
      <c r="A318" s="179" t="s">
        <v>2702</v>
      </c>
      <c r="B318" s="179" t="s">
        <v>2703</v>
      </c>
    </row>
    <row r="319" spans="1:2">
      <c r="A319" s="179" t="s">
        <v>1707</v>
      </c>
      <c r="B319" s="179" t="s">
        <v>2704</v>
      </c>
    </row>
    <row r="320" spans="1:2">
      <c r="A320" s="179" t="s">
        <v>2047</v>
      </c>
      <c r="B320" s="179" t="s">
        <v>2705</v>
      </c>
    </row>
    <row r="321" spans="1:2">
      <c r="A321" s="179" t="s">
        <v>1990</v>
      </c>
      <c r="B321" s="179" t="s">
        <v>2706</v>
      </c>
    </row>
    <row r="322" spans="1:2">
      <c r="A322" s="179" t="s">
        <v>2707</v>
      </c>
      <c r="B322" s="179" t="s">
        <v>2708</v>
      </c>
    </row>
    <row r="323" spans="1:2">
      <c r="A323" s="179" t="s">
        <v>2709</v>
      </c>
      <c r="B323" s="179" t="s">
        <v>2710</v>
      </c>
    </row>
    <row r="324" spans="1:2">
      <c r="A324" s="179" t="s">
        <v>2711</v>
      </c>
      <c r="B324" s="179" t="s">
        <v>2712</v>
      </c>
    </row>
    <row r="325" spans="1:2">
      <c r="A325" s="179" t="s">
        <v>2713</v>
      </c>
      <c r="B325" s="179" t="s">
        <v>2714</v>
      </c>
    </row>
    <row r="326" spans="1:2">
      <c r="A326" s="179" t="s">
        <v>2715</v>
      </c>
      <c r="B326" s="179" t="s">
        <v>2716</v>
      </c>
    </row>
    <row r="327" spans="1:2">
      <c r="A327" s="179" t="s">
        <v>1433</v>
      </c>
      <c r="B327" s="179" t="s">
        <v>2717</v>
      </c>
    </row>
    <row r="328" spans="1:2">
      <c r="A328" s="179" t="s">
        <v>1406</v>
      </c>
      <c r="B328" s="179" t="s">
        <v>2718</v>
      </c>
    </row>
    <row r="329" spans="1:2">
      <c r="A329" s="179" t="s">
        <v>2719</v>
      </c>
      <c r="B329" s="179" t="s">
        <v>2720</v>
      </c>
    </row>
    <row r="330" spans="1:2">
      <c r="A330" s="179" t="s">
        <v>1411</v>
      </c>
      <c r="B330" s="179" t="s">
        <v>2721</v>
      </c>
    </row>
    <row r="331" spans="1:2">
      <c r="A331" s="179" t="s">
        <v>2722</v>
      </c>
      <c r="B331" s="179" t="s">
        <v>2723</v>
      </c>
    </row>
    <row r="332" spans="1:2">
      <c r="A332" s="179" t="s">
        <v>2724</v>
      </c>
      <c r="B332" s="179" t="s">
        <v>2725</v>
      </c>
    </row>
    <row r="333" spans="1:2">
      <c r="A333" s="179" t="s">
        <v>1750</v>
      </c>
      <c r="B333" s="179" t="s">
        <v>2726</v>
      </c>
    </row>
    <row r="334" spans="1:2">
      <c r="A334" s="179" t="s">
        <v>2727</v>
      </c>
      <c r="B334" s="179" t="s">
        <v>2728</v>
      </c>
    </row>
    <row r="335" spans="1:2">
      <c r="A335" s="179" t="s">
        <v>1749</v>
      </c>
      <c r="B335" s="179" t="s">
        <v>2729</v>
      </c>
    </row>
    <row r="336" spans="1:2">
      <c r="A336" s="179" t="s">
        <v>2730</v>
      </c>
      <c r="B336" s="179" t="s">
        <v>2731</v>
      </c>
    </row>
    <row r="337" spans="1:2">
      <c r="A337" s="179" t="s">
        <v>2732</v>
      </c>
      <c r="B337" s="179" t="s">
        <v>2733</v>
      </c>
    </row>
    <row r="338" spans="1:2">
      <c r="A338" s="179" t="s">
        <v>2734</v>
      </c>
      <c r="B338" s="179" t="s">
        <v>2735</v>
      </c>
    </row>
    <row r="339" spans="1:2">
      <c r="A339" s="179" t="s">
        <v>2736</v>
      </c>
      <c r="B339" s="179" t="s">
        <v>2737</v>
      </c>
    </row>
    <row r="340" spans="1:2">
      <c r="A340" s="179" t="s">
        <v>2738</v>
      </c>
      <c r="B340" s="179" t="s">
        <v>2739</v>
      </c>
    </row>
    <row r="341" spans="1:2">
      <c r="A341" s="179" t="s">
        <v>2740</v>
      </c>
      <c r="B341" s="179" t="s">
        <v>2741</v>
      </c>
    </row>
    <row r="342" spans="1:2">
      <c r="A342" s="179" t="s">
        <v>2742</v>
      </c>
      <c r="B342" s="179" t="s">
        <v>2743</v>
      </c>
    </row>
    <row r="343" spans="1:2">
      <c r="A343" s="179" t="s">
        <v>2744</v>
      </c>
      <c r="B343" s="179" t="s">
        <v>2745</v>
      </c>
    </row>
    <row r="344" spans="1:2">
      <c r="A344" s="179" t="s">
        <v>2746</v>
      </c>
      <c r="B344" s="179" t="s">
        <v>2747</v>
      </c>
    </row>
    <row r="345" spans="1:2">
      <c r="A345" s="179" t="s">
        <v>2748</v>
      </c>
      <c r="B345" s="179" t="s">
        <v>2749</v>
      </c>
    </row>
    <row r="346" spans="1:2">
      <c r="A346" s="179" t="s">
        <v>2750</v>
      </c>
      <c r="B346" s="179" t="s">
        <v>2751</v>
      </c>
    </row>
    <row r="347" spans="1:2">
      <c r="A347" s="179" t="s">
        <v>2752</v>
      </c>
      <c r="B347" s="179" t="s">
        <v>2753</v>
      </c>
    </row>
    <row r="348" spans="1:2">
      <c r="A348" s="179" t="s">
        <v>1733</v>
      </c>
      <c r="B348" s="179" t="s">
        <v>2754</v>
      </c>
    </row>
    <row r="349" spans="1:2">
      <c r="A349" s="179" t="s">
        <v>2755</v>
      </c>
      <c r="B349" s="179" t="s">
        <v>2756</v>
      </c>
    </row>
    <row r="350" spans="1:2">
      <c r="A350" s="179" t="s">
        <v>2757</v>
      </c>
      <c r="B350" s="179" t="s">
        <v>2758</v>
      </c>
    </row>
    <row r="351" spans="1:2">
      <c r="A351" s="179" t="s">
        <v>1512</v>
      </c>
      <c r="B351" s="179" t="s">
        <v>2759</v>
      </c>
    </row>
    <row r="352" spans="1:2">
      <c r="A352" s="179" t="s">
        <v>1513</v>
      </c>
      <c r="B352" s="179" t="s">
        <v>2760</v>
      </c>
    </row>
    <row r="353" spans="1:2">
      <c r="A353" s="179" t="s">
        <v>1511</v>
      </c>
      <c r="B353" s="179" t="s">
        <v>2761</v>
      </c>
    </row>
    <row r="354" spans="1:2">
      <c r="A354" s="179" t="s">
        <v>2762</v>
      </c>
      <c r="B354" s="179" t="s">
        <v>2763</v>
      </c>
    </row>
    <row r="355" spans="1:2">
      <c r="A355" s="179" t="s">
        <v>2764</v>
      </c>
      <c r="B355" s="179" t="s">
        <v>2765</v>
      </c>
    </row>
    <row r="356" spans="1:2">
      <c r="A356" s="179" t="s">
        <v>1967</v>
      </c>
      <c r="B356" s="179" t="s">
        <v>2766</v>
      </c>
    </row>
    <row r="357" spans="1:2">
      <c r="A357" s="179" t="s">
        <v>1966</v>
      </c>
      <c r="B357" s="179" t="s">
        <v>2767</v>
      </c>
    </row>
    <row r="358" spans="1:2">
      <c r="A358" s="179" t="s">
        <v>1711</v>
      </c>
      <c r="B358" s="179" t="s">
        <v>2768</v>
      </c>
    </row>
    <row r="359" spans="1:2">
      <c r="A359" s="179" t="s">
        <v>2769</v>
      </c>
      <c r="B359" s="179" t="s">
        <v>3860</v>
      </c>
    </row>
    <row r="360" spans="1:2">
      <c r="A360" s="179" t="s">
        <v>2770</v>
      </c>
      <c r="B360" s="179" t="s">
        <v>3860</v>
      </c>
    </row>
    <row r="361" spans="1:2">
      <c r="A361" s="179" t="s">
        <v>2771</v>
      </c>
      <c r="B361" s="179" t="s">
        <v>3860</v>
      </c>
    </row>
    <row r="362" spans="1:2">
      <c r="A362" s="179" t="s">
        <v>1674</v>
      </c>
      <c r="B362" s="179" t="s">
        <v>3860</v>
      </c>
    </row>
    <row r="363" spans="1:2">
      <c r="A363" s="179" t="s">
        <v>2772</v>
      </c>
      <c r="B363" s="179" t="s">
        <v>3860</v>
      </c>
    </row>
    <row r="364" spans="1:2">
      <c r="A364" s="179" t="s">
        <v>2773</v>
      </c>
      <c r="B364" s="179" t="s">
        <v>3860</v>
      </c>
    </row>
    <row r="365" spans="1:2">
      <c r="A365" s="179" t="s">
        <v>2774</v>
      </c>
      <c r="B365" s="179" t="s">
        <v>3860</v>
      </c>
    </row>
    <row r="366" spans="1:2">
      <c r="A366" s="179" t="s">
        <v>2775</v>
      </c>
      <c r="B366" s="179" t="s">
        <v>3860</v>
      </c>
    </row>
    <row r="367" spans="1:2">
      <c r="A367" s="179" t="s">
        <v>1675</v>
      </c>
      <c r="B367" s="179" t="s">
        <v>3860</v>
      </c>
    </row>
    <row r="368" spans="1:2">
      <c r="A368" s="179" t="s">
        <v>2776</v>
      </c>
      <c r="B368" s="179" t="s">
        <v>3860</v>
      </c>
    </row>
    <row r="369" spans="1:2">
      <c r="A369" s="179" t="s">
        <v>1723</v>
      </c>
      <c r="B369" s="179" t="s">
        <v>3860</v>
      </c>
    </row>
    <row r="370" spans="1:2">
      <c r="A370" s="179" t="s">
        <v>2777</v>
      </c>
      <c r="B370" s="179" t="s">
        <v>2778</v>
      </c>
    </row>
    <row r="371" spans="1:2">
      <c r="A371" s="179" t="s">
        <v>2779</v>
      </c>
      <c r="B371" s="179" t="s">
        <v>2780</v>
      </c>
    </row>
    <row r="372" spans="1:2">
      <c r="A372" s="179" t="s">
        <v>2781</v>
      </c>
      <c r="B372" s="179" t="s">
        <v>2782</v>
      </c>
    </row>
    <row r="373" spans="1:2">
      <c r="A373" s="179" t="s">
        <v>2783</v>
      </c>
      <c r="B373" s="179" t="s">
        <v>2784</v>
      </c>
    </row>
    <row r="374" spans="1:2">
      <c r="A374" s="179" t="s">
        <v>2785</v>
      </c>
      <c r="B374" s="179" t="s">
        <v>2786</v>
      </c>
    </row>
    <row r="375" spans="1:2">
      <c r="A375" s="179" t="s">
        <v>2787</v>
      </c>
      <c r="B375" s="179" t="s">
        <v>2788</v>
      </c>
    </row>
    <row r="376" spans="1:2">
      <c r="A376" s="179" t="s">
        <v>2789</v>
      </c>
      <c r="B376" s="179" t="s">
        <v>2790</v>
      </c>
    </row>
    <row r="377" spans="1:2">
      <c r="A377" s="179" t="s">
        <v>2791</v>
      </c>
      <c r="B377" s="179" t="s">
        <v>2792</v>
      </c>
    </row>
    <row r="378" spans="1:2">
      <c r="A378" s="179" t="s">
        <v>2793</v>
      </c>
      <c r="B378" s="179" t="s">
        <v>2794</v>
      </c>
    </row>
    <row r="379" spans="1:2" ht="30">
      <c r="A379" s="179" t="s">
        <v>1542</v>
      </c>
      <c r="B379" s="179" t="s">
        <v>2795</v>
      </c>
    </row>
    <row r="380" spans="1:2" ht="30">
      <c r="A380" s="179" t="s">
        <v>2796</v>
      </c>
      <c r="B380" s="179" t="s">
        <v>2797</v>
      </c>
    </row>
    <row r="381" spans="1:2" ht="30">
      <c r="A381" s="179" t="s">
        <v>2798</v>
      </c>
      <c r="B381" s="179" t="s">
        <v>2799</v>
      </c>
    </row>
    <row r="382" spans="1:2" ht="30">
      <c r="A382" s="179" t="s">
        <v>2800</v>
      </c>
      <c r="B382" s="179" t="s">
        <v>2801</v>
      </c>
    </row>
    <row r="383" spans="1:2" ht="30">
      <c r="A383" s="179" t="s">
        <v>1544</v>
      </c>
      <c r="B383" s="179" t="s">
        <v>2802</v>
      </c>
    </row>
    <row r="384" spans="1:2" ht="30">
      <c r="A384" s="179" t="s">
        <v>1572</v>
      </c>
      <c r="B384" s="179" t="s">
        <v>2803</v>
      </c>
    </row>
    <row r="385" spans="1:2">
      <c r="A385" s="179" t="s">
        <v>1529</v>
      </c>
      <c r="B385" s="179" t="s">
        <v>2804</v>
      </c>
    </row>
    <row r="386" spans="1:2">
      <c r="A386" s="179" t="s">
        <v>2805</v>
      </c>
      <c r="B386" s="179" t="s">
        <v>2806</v>
      </c>
    </row>
    <row r="387" spans="1:2">
      <c r="A387" s="179" t="s">
        <v>1529</v>
      </c>
      <c r="B387" s="179" t="s">
        <v>2807</v>
      </c>
    </row>
    <row r="388" spans="1:2">
      <c r="A388" s="179" t="s">
        <v>2808</v>
      </c>
      <c r="B388" s="179" t="s">
        <v>2809</v>
      </c>
    </row>
    <row r="389" spans="1:2" ht="30">
      <c r="A389" s="179" t="s">
        <v>1526</v>
      </c>
      <c r="B389" s="179" t="s">
        <v>2810</v>
      </c>
    </row>
    <row r="390" spans="1:2">
      <c r="A390" s="179" t="s">
        <v>1534</v>
      </c>
      <c r="B390" s="179" t="s">
        <v>2811</v>
      </c>
    </row>
    <row r="391" spans="1:2">
      <c r="A391" s="179" t="s">
        <v>1162</v>
      </c>
      <c r="B391" s="179" t="s">
        <v>2812</v>
      </c>
    </row>
    <row r="392" spans="1:2">
      <c r="A392" s="179" t="s">
        <v>1915</v>
      </c>
      <c r="B392" s="179" t="s">
        <v>2813</v>
      </c>
    </row>
    <row r="393" spans="1:2">
      <c r="A393" s="179" t="s">
        <v>1916</v>
      </c>
      <c r="B393" s="179" t="s">
        <v>2814</v>
      </c>
    </row>
    <row r="394" spans="1:2">
      <c r="A394" s="179" t="s">
        <v>1530</v>
      </c>
      <c r="B394" s="179" t="s">
        <v>2815</v>
      </c>
    </row>
    <row r="395" spans="1:2">
      <c r="A395" s="179" t="s">
        <v>1986</v>
      </c>
      <c r="B395" s="179" t="s">
        <v>2816</v>
      </c>
    </row>
    <row r="396" spans="1:2">
      <c r="A396" s="179" t="s">
        <v>2159</v>
      </c>
      <c r="B396" s="179" t="s">
        <v>2817</v>
      </c>
    </row>
    <row r="397" spans="1:2">
      <c r="A397" s="179" t="s">
        <v>2818</v>
      </c>
      <c r="B397" s="179" t="s">
        <v>2819</v>
      </c>
    </row>
    <row r="398" spans="1:2">
      <c r="A398" s="179" t="s">
        <v>2820</v>
      </c>
      <c r="B398" s="179" t="s">
        <v>2821</v>
      </c>
    </row>
    <row r="399" spans="1:2">
      <c r="A399" s="179" t="s">
        <v>1449</v>
      </c>
      <c r="B399" s="179" t="s">
        <v>2822</v>
      </c>
    </row>
    <row r="400" spans="1:2">
      <c r="A400" s="179" t="s">
        <v>2823</v>
      </c>
      <c r="B400" s="179" t="s">
        <v>2824</v>
      </c>
    </row>
    <row r="401" spans="1:2">
      <c r="A401" s="179" t="s">
        <v>2122</v>
      </c>
      <c r="B401" s="179" t="s">
        <v>2825</v>
      </c>
    </row>
    <row r="402" spans="1:2">
      <c r="A402" s="179" t="s">
        <v>2826</v>
      </c>
      <c r="B402" s="179" t="s">
        <v>2827</v>
      </c>
    </row>
    <row r="403" spans="1:2">
      <c r="A403" s="179" t="s">
        <v>2828</v>
      </c>
      <c r="B403" s="179" t="s">
        <v>2829</v>
      </c>
    </row>
    <row r="404" spans="1:2">
      <c r="A404" s="179" t="s">
        <v>2830</v>
      </c>
      <c r="B404" s="179" t="s">
        <v>2831</v>
      </c>
    </row>
    <row r="405" spans="1:2">
      <c r="A405" s="179" t="s">
        <v>2832</v>
      </c>
      <c r="B405" s="179" t="s">
        <v>2833</v>
      </c>
    </row>
    <row r="406" spans="1:2">
      <c r="A406" s="179" t="s">
        <v>2834</v>
      </c>
      <c r="B406" s="179" t="s">
        <v>2835</v>
      </c>
    </row>
    <row r="407" spans="1:2">
      <c r="A407" s="179" t="s">
        <v>1268</v>
      </c>
      <c r="B407" s="179" t="s">
        <v>2836</v>
      </c>
    </row>
    <row r="408" spans="1:2">
      <c r="A408" s="179" t="s">
        <v>1401</v>
      </c>
      <c r="B408" s="179" t="s">
        <v>2837</v>
      </c>
    </row>
    <row r="409" spans="1:2">
      <c r="A409" s="179" t="s">
        <v>2838</v>
      </c>
      <c r="B409" s="179" t="s">
        <v>2839</v>
      </c>
    </row>
    <row r="410" spans="1:2">
      <c r="A410" s="179" t="s">
        <v>2840</v>
      </c>
      <c r="B410" s="179" t="s">
        <v>2841</v>
      </c>
    </row>
    <row r="411" spans="1:2">
      <c r="A411" s="179" t="s">
        <v>2842</v>
      </c>
      <c r="B411" s="179" t="s">
        <v>2843</v>
      </c>
    </row>
    <row r="412" spans="1:2">
      <c r="A412" s="179" t="s">
        <v>2844</v>
      </c>
      <c r="B412" s="179" t="s">
        <v>2845</v>
      </c>
    </row>
    <row r="413" spans="1:2">
      <c r="A413" s="179" t="s">
        <v>2846</v>
      </c>
      <c r="B413" s="179" t="s">
        <v>2847</v>
      </c>
    </row>
    <row r="414" spans="1:2">
      <c r="A414" s="179" t="s">
        <v>2848</v>
      </c>
      <c r="B414" s="179" t="s">
        <v>2849</v>
      </c>
    </row>
    <row r="415" spans="1:2">
      <c r="A415" s="179" t="s">
        <v>1267</v>
      </c>
      <c r="B415" s="179" t="s">
        <v>2850</v>
      </c>
    </row>
    <row r="416" spans="1:2">
      <c r="A416" s="179" t="s">
        <v>2851</v>
      </c>
      <c r="B416" s="179" t="s">
        <v>2852</v>
      </c>
    </row>
    <row r="417" spans="1:2">
      <c r="A417" s="179" t="s">
        <v>2853</v>
      </c>
      <c r="B417" s="179" t="s">
        <v>2854</v>
      </c>
    </row>
    <row r="418" spans="1:2">
      <c r="A418" s="179" t="s">
        <v>1688</v>
      </c>
      <c r="B418" s="179" t="s">
        <v>2855</v>
      </c>
    </row>
    <row r="419" spans="1:2">
      <c r="A419" s="179" t="s">
        <v>2856</v>
      </c>
      <c r="B419" s="179" t="s">
        <v>2857</v>
      </c>
    </row>
    <row r="420" spans="1:2">
      <c r="A420" s="179" t="s">
        <v>2858</v>
      </c>
      <c r="B420" s="179" t="s">
        <v>2859</v>
      </c>
    </row>
    <row r="421" spans="1:2">
      <c r="A421" s="179" t="s">
        <v>2860</v>
      </c>
      <c r="B421" s="179" t="s">
        <v>2861</v>
      </c>
    </row>
    <row r="422" spans="1:2">
      <c r="A422" s="179" t="s">
        <v>2862</v>
      </c>
      <c r="B422" s="179" t="s">
        <v>2863</v>
      </c>
    </row>
    <row r="423" spans="1:2">
      <c r="A423" s="179" t="s">
        <v>2864</v>
      </c>
      <c r="B423" s="179" t="s">
        <v>2865</v>
      </c>
    </row>
    <row r="424" spans="1:2">
      <c r="A424" s="179" t="s">
        <v>1963</v>
      </c>
      <c r="B424" s="179" t="s">
        <v>2866</v>
      </c>
    </row>
    <row r="425" spans="1:2">
      <c r="A425" s="179" t="s">
        <v>2280</v>
      </c>
      <c r="B425" s="179" t="s">
        <v>2867</v>
      </c>
    </row>
    <row r="426" spans="1:2">
      <c r="A426" s="179" t="s">
        <v>2868</v>
      </c>
      <c r="B426" s="179" t="s">
        <v>2869</v>
      </c>
    </row>
    <row r="427" spans="1:2">
      <c r="A427" s="179" t="s">
        <v>2870</v>
      </c>
      <c r="B427" s="179" t="s">
        <v>2871</v>
      </c>
    </row>
    <row r="428" spans="1:2">
      <c r="A428" s="179" t="s">
        <v>2872</v>
      </c>
      <c r="B428" s="179" t="s">
        <v>2873</v>
      </c>
    </row>
    <row r="429" spans="1:2">
      <c r="A429" s="179" t="s">
        <v>2874</v>
      </c>
      <c r="B429" s="179" t="s">
        <v>2875</v>
      </c>
    </row>
    <row r="430" spans="1:2">
      <c r="A430" s="179" t="s">
        <v>2876</v>
      </c>
      <c r="B430" s="179" t="s">
        <v>2877</v>
      </c>
    </row>
    <row r="431" spans="1:2">
      <c r="A431" s="179" t="s">
        <v>2878</v>
      </c>
      <c r="B431" s="179" t="s">
        <v>2879</v>
      </c>
    </row>
    <row r="432" spans="1:2">
      <c r="A432" s="179" t="s">
        <v>2880</v>
      </c>
      <c r="B432" s="179" t="s">
        <v>2881</v>
      </c>
    </row>
    <row r="433" spans="1:2">
      <c r="A433" s="179" t="s">
        <v>2882</v>
      </c>
      <c r="B433" s="179" t="s">
        <v>2883</v>
      </c>
    </row>
    <row r="434" spans="1:2">
      <c r="A434" s="179" t="s">
        <v>2884</v>
      </c>
      <c r="B434" s="179" t="s">
        <v>2885</v>
      </c>
    </row>
    <row r="435" spans="1:2">
      <c r="A435" s="179" t="s">
        <v>2886</v>
      </c>
      <c r="B435" s="179" t="s">
        <v>2887</v>
      </c>
    </row>
    <row r="436" spans="1:2">
      <c r="A436" s="179" t="s">
        <v>2888</v>
      </c>
      <c r="B436" s="179" t="s">
        <v>2889</v>
      </c>
    </row>
    <row r="437" spans="1:2">
      <c r="A437" s="179" t="s">
        <v>2890</v>
      </c>
      <c r="B437" s="179" t="s">
        <v>2891</v>
      </c>
    </row>
    <row r="438" spans="1:2">
      <c r="A438" s="179" t="s">
        <v>2892</v>
      </c>
      <c r="B438" s="179" t="s">
        <v>2893</v>
      </c>
    </row>
    <row r="439" spans="1:2">
      <c r="A439" s="179" t="s">
        <v>2894</v>
      </c>
      <c r="B439" s="179" t="s">
        <v>2895</v>
      </c>
    </row>
    <row r="440" spans="1:2">
      <c r="A440" s="179" t="s">
        <v>2896</v>
      </c>
      <c r="B440" s="179" t="s">
        <v>2897</v>
      </c>
    </row>
    <row r="441" spans="1:2" ht="30">
      <c r="A441" s="179" t="s">
        <v>2898</v>
      </c>
      <c r="B441" s="179" t="s">
        <v>2899</v>
      </c>
    </row>
    <row r="442" spans="1:2">
      <c r="A442" s="179" t="s">
        <v>2900</v>
      </c>
      <c r="B442" s="179" t="s">
        <v>2901</v>
      </c>
    </row>
    <row r="443" spans="1:2">
      <c r="A443" s="179" t="s">
        <v>2902</v>
      </c>
      <c r="B443" s="179" t="s">
        <v>2903</v>
      </c>
    </row>
    <row r="444" spans="1:2">
      <c r="A444" s="179" t="s">
        <v>2106</v>
      </c>
      <c r="B444" s="179" t="s">
        <v>2904</v>
      </c>
    </row>
    <row r="445" spans="1:2" ht="30">
      <c r="A445" s="179" t="s">
        <v>2346</v>
      </c>
      <c r="B445" s="179" t="s">
        <v>2905</v>
      </c>
    </row>
    <row r="446" spans="1:2">
      <c r="A446" s="179" t="s">
        <v>2906</v>
      </c>
      <c r="B446" s="179" t="s">
        <v>3861</v>
      </c>
    </row>
    <row r="447" spans="1:2">
      <c r="A447" s="179" t="s">
        <v>2907</v>
      </c>
      <c r="B447" s="179" t="s">
        <v>3861</v>
      </c>
    </row>
    <row r="448" spans="1:2">
      <c r="A448" s="179" t="s">
        <v>2908</v>
      </c>
      <c r="B448" s="179" t="s">
        <v>3861</v>
      </c>
    </row>
    <row r="449" spans="1:2">
      <c r="A449" s="179" t="s">
        <v>2909</v>
      </c>
      <c r="B449" s="179" t="s">
        <v>3861</v>
      </c>
    </row>
    <row r="450" spans="1:2">
      <c r="A450" s="179" t="s">
        <v>2910</v>
      </c>
      <c r="B450" s="179" t="s">
        <v>3861</v>
      </c>
    </row>
    <row r="451" spans="1:2">
      <c r="A451" s="179" t="s">
        <v>2911</v>
      </c>
      <c r="B451" s="179" t="s">
        <v>3861</v>
      </c>
    </row>
    <row r="452" spans="1:2">
      <c r="A452" s="179" t="s">
        <v>1954</v>
      </c>
      <c r="B452" s="179" t="s">
        <v>3861</v>
      </c>
    </row>
    <row r="453" spans="1:2">
      <c r="A453" s="179" t="s">
        <v>2912</v>
      </c>
      <c r="B453" s="179" t="s">
        <v>3861</v>
      </c>
    </row>
    <row r="454" spans="1:2">
      <c r="A454" s="179" t="s">
        <v>2913</v>
      </c>
      <c r="B454" s="179" t="s">
        <v>3861</v>
      </c>
    </row>
    <row r="455" spans="1:2">
      <c r="A455" s="179" t="s">
        <v>1347</v>
      </c>
      <c r="B455" s="179" t="s">
        <v>3861</v>
      </c>
    </row>
    <row r="456" spans="1:2">
      <c r="A456" s="179" t="s">
        <v>2914</v>
      </c>
      <c r="B456" s="179" t="s">
        <v>3861</v>
      </c>
    </row>
    <row r="457" spans="1:2">
      <c r="A457" s="179" t="s">
        <v>1351</v>
      </c>
      <c r="B457" s="179" t="s">
        <v>3861</v>
      </c>
    </row>
    <row r="458" spans="1:2">
      <c r="A458" s="179" t="s">
        <v>2915</v>
      </c>
      <c r="B458" s="179" t="s">
        <v>3861</v>
      </c>
    </row>
    <row r="459" spans="1:2">
      <c r="A459" s="179" t="s">
        <v>2916</v>
      </c>
      <c r="B459" s="179" t="s">
        <v>3861</v>
      </c>
    </row>
    <row r="460" spans="1:2">
      <c r="A460" s="179" t="s">
        <v>2917</v>
      </c>
      <c r="B460" s="179" t="s">
        <v>3862</v>
      </c>
    </row>
    <row r="461" spans="1:2">
      <c r="A461" s="179" t="s">
        <v>2918</v>
      </c>
      <c r="B461" s="179" t="s">
        <v>3862</v>
      </c>
    </row>
    <row r="462" spans="1:2">
      <c r="A462" s="179" t="s">
        <v>2919</v>
      </c>
      <c r="B462" s="179" t="s">
        <v>3862</v>
      </c>
    </row>
    <row r="463" spans="1:2">
      <c r="A463" s="179" t="s">
        <v>2920</v>
      </c>
      <c r="B463" s="179" t="s">
        <v>3862</v>
      </c>
    </row>
    <row r="464" spans="1:2">
      <c r="A464" s="179" t="s">
        <v>2921</v>
      </c>
      <c r="B464" s="179" t="s">
        <v>3862</v>
      </c>
    </row>
    <row r="465" spans="1:2">
      <c r="A465" s="179" t="s">
        <v>2922</v>
      </c>
      <c r="B465" s="179" t="s">
        <v>3862</v>
      </c>
    </row>
    <row r="466" spans="1:2">
      <c r="A466" s="179" t="s">
        <v>2923</v>
      </c>
      <c r="B466" s="179" t="s">
        <v>3862</v>
      </c>
    </row>
    <row r="467" spans="1:2">
      <c r="A467" s="179" t="s">
        <v>2924</v>
      </c>
      <c r="B467" s="179" t="s">
        <v>3862</v>
      </c>
    </row>
    <row r="468" spans="1:2">
      <c r="A468" s="179" t="s">
        <v>2925</v>
      </c>
      <c r="B468" s="179" t="s">
        <v>3862</v>
      </c>
    </row>
    <row r="469" spans="1:2">
      <c r="A469" s="179" t="s">
        <v>2926</v>
      </c>
      <c r="B469" s="179" t="s">
        <v>3862</v>
      </c>
    </row>
    <row r="470" spans="1:2">
      <c r="A470" s="179" t="s">
        <v>2927</v>
      </c>
      <c r="B470" s="179" t="s">
        <v>3862</v>
      </c>
    </row>
    <row r="471" spans="1:2">
      <c r="A471" s="179" t="s">
        <v>2928</v>
      </c>
      <c r="B471" s="179" t="s">
        <v>3862</v>
      </c>
    </row>
    <row r="472" spans="1:2">
      <c r="A472" s="179" t="s">
        <v>2929</v>
      </c>
      <c r="B472" s="179" t="s">
        <v>3862</v>
      </c>
    </row>
    <row r="473" spans="1:2">
      <c r="A473" s="179" t="s">
        <v>1815</v>
      </c>
      <c r="B473" s="179" t="s">
        <v>3862</v>
      </c>
    </row>
    <row r="474" spans="1:2">
      <c r="A474" s="179" t="s">
        <v>2930</v>
      </c>
      <c r="B474" s="179" t="s">
        <v>3862</v>
      </c>
    </row>
    <row r="475" spans="1:2">
      <c r="A475" s="179" t="s">
        <v>1145</v>
      </c>
      <c r="B475" s="179" t="s">
        <v>3862</v>
      </c>
    </row>
    <row r="476" spans="1:2">
      <c r="A476" s="179" t="s">
        <v>1165</v>
      </c>
      <c r="B476" s="179" t="s">
        <v>3862</v>
      </c>
    </row>
    <row r="477" spans="1:2">
      <c r="A477" s="179" t="s">
        <v>1985</v>
      </c>
      <c r="B477" s="179" t="s">
        <v>3862</v>
      </c>
    </row>
    <row r="478" spans="1:2">
      <c r="A478" s="179" t="s">
        <v>1300</v>
      </c>
      <c r="B478" s="179" t="s">
        <v>3862</v>
      </c>
    </row>
    <row r="479" spans="1:2">
      <c r="A479" s="179" t="s">
        <v>1291</v>
      </c>
      <c r="B479" s="179" t="s">
        <v>3862</v>
      </c>
    </row>
    <row r="480" spans="1:2">
      <c r="A480" s="179" t="s">
        <v>1265</v>
      </c>
      <c r="B480" s="179" t="s">
        <v>3862</v>
      </c>
    </row>
    <row r="481" spans="1:2">
      <c r="A481" s="179" t="s">
        <v>2931</v>
      </c>
      <c r="B481" s="179" t="s">
        <v>3862</v>
      </c>
    </row>
    <row r="482" spans="1:2">
      <c r="A482" s="179" t="s">
        <v>2932</v>
      </c>
      <c r="B482" s="179" t="s">
        <v>3862</v>
      </c>
    </row>
    <row r="483" spans="1:2">
      <c r="A483" s="179" t="s">
        <v>2933</v>
      </c>
      <c r="B483" s="179" t="s">
        <v>3862</v>
      </c>
    </row>
    <row r="484" spans="1:2">
      <c r="A484" s="179" t="s">
        <v>2934</v>
      </c>
      <c r="B484" s="179" t="s">
        <v>3862</v>
      </c>
    </row>
    <row r="485" spans="1:2">
      <c r="A485" s="179" t="s">
        <v>2935</v>
      </c>
      <c r="B485" s="179" t="s">
        <v>3862</v>
      </c>
    </row>
    <row r="486" spans="1:2">
      <c r="A486" s="179" t="s">
        <v>2936</v>
      </c>
      <c r="B486" s="179" t="s">
        <v>3862</v>
      </c>
    </row>
    <row r="487" spans="1:2">
      <c r="A487" s="179" t="s">
        <v>2937</v>
      </c>
      <c r="B487" s="179" t="s">
        <v>3862</v>
      </c>
    </row>
    <row r="488" spans="1:2">
      <c r="A488" s="179" t="s">
        <v>2938</v>
      </c>
      <c r="B488" s="179" t="s">
        <v>3862</v>
      </c>
    </row>
    <row r="489" spans="1:2">
      <c r="A489" s="179" t="s">
        <v>2939</v>
      </c>
      <c r="B489" s="179" t="s">
        <v>3862</v>
      </c>
    </row>
    <row r="490" spans="1:2">
      <c r="A490" s="179" t="s">
        <v>2288</v>
      </c>
      <c r="B490" s="179" t="s">
        <v>3862</v>
      </c>
    </row>
    <row r="491" spans="1:2">
      <c r="A491" s="179" t="s">
        <v>2940</v>
      </c>
      <c r="B491" s="179" t="s">
        <v>3863</v>
      </c>
    </row>
    <row r="492" spans="1:2">
      <c r="A492" s="179" t="s">
        <v>2941</v>
      </c>
      <c r="B492" s="179" t="s">
        <v>3863</v>
      </c>
    </row>
    <row r="493" spans="1:2">
      <c r="A493" s="179" t="s">
        <v>2942</v>
      </c>
      <c r="B493" s="179" t="s">
        <v>3863</v>
      </c>
    </row>
    <row r="494" spans="1:2">
      <c r="A494" s="179" t="s">
        <v>2943</v>
      </c>
      <c r="B494" s="179" t="s">
        <v>3863</v>
      </c>
    </row>
    <row r="495" spans="1:2">
      <c r="A495" s="179" t="s">
        <v>2163</v>
      </c>
      <c r="B495" s="179" t="s">
        <v>3863</v>
      </c>
    </row>
    <row r="496" spans="1:2">
      <c r="A496" s="179" t="s">
        <v>2944</v>
      </c>
      <c r="B496" s="179" t="s">
        <v>3863</v>
      </c>
    </row>
    <row r="497" spans="1:2">
      <c r="A497" s="179" t="s">
        <v>2017</v>
      </c>
      <c r="B497" s="179" t="s">
        <v>3863</v>
      </c>
    </row>
    <row r="498" spans="1:2">
      <c r="A498" s="179" t="s">
        <v>1147</v>
      </c>
      <c r="B498" s="179" t="s">
        <v>3863</v>
      </c>
    </row>
    <row r="499" spans="1:2">
      <c r="A499" s="179" t="s">
        <v>2945</v>
      </c>
      <c r="B499" s="179" t="s">
        <v>3863</v>
      </c>
    </row>
    <row r="500" spans="1:2">
      <c r="A500" s="179" t="s">
        <v>2946</v>
      </c>
      <c r="B500" s="179" t="s">
        <v>3863</v>
      </c>
    </row>
    <row r="501" spans="1:2">
      <c r="A501" s="179" t="s">
        <v>2947</v>
      </c>
      <c r="B501" s="179" t="s">
        <v>3863</v>
      </c>
    </row>
    <row r="502" spans="1:2">
      <c r="A502" s="179" t="s">
        <v>2948</v>
      </c>
      <c r="B502" s="179" t="s">
        <v>3863</v>
      </c>
    </row>
    <row r="503" spans="1:2">
      <c r="A503" s="179" t="s">
        <v>2949</v>
      </c>
      <c r="B503" s="179" t="s">
        <v>3863</v>
      </c>
    </row>
    <row r="504" spans="1:2">
      <c r="A504" s="179" t="s">
        <v>2950</v>
      </c>
      <c r="B504" s="179" t="s">
        <v>3863</v>
      </c>
    </row>
    <row r="505" spans="1:2">
      <c r="A505" s="179" t="s">
        <v>2951</v>
      </c>
      <c r="B505" s="179" t="s">
        <v>3863</v>
      </c>
    </row>
    <row r="506" spans="1:2">
      <c r="A506" s="179" t="s">
        <v>2952</v>
      </c>
      <c r="B506" s="179" t="s">
        <v>3863</v>
      </c>
    </row>
    <row r="507" spans="1:2">
      <c r="A507" s="179" t="s">
        <v>2953</v>
      </c>
      <c r="B507" s="179" t="s">
        <v>3863</v>
      </c>
    </row>
    <row r="508" spans="1:2">
      <c r="A508" s="179" t="s">
        <v>2102</v>
      </c>
      <c r="B508" s="179" t="s">
        <v>3863</v>
      </c>
    </row>
    <row r="509" spans="1:2">
      <c r="A509" s="179" t="s">
        <v>2954</v>
      </c>
      <c r="B509" s="179" t="s">
        <v>3863</v>
      </c>
    </row>
    <row r="510" spans="1:2">
      <c r="A510" s="179" t="s">
        <v>1924</v>
      </c>
      <c r="B510" s="179" t="s">
        <v>2955</v>
      </c>
    </row>
    <row r="511" spans="1:2">
      <c r="A511" s="179" t="s">
        <v>1938</v>
      </c>
      <c r="B511" s="179" t="s">
        <v>2956</v>
      </c>
    </row>
    <row r="512" spans="1:2">
      <c r="A512" s="179" t="s">
        <v>1812</v>
      </c>
      <c r="B512" s="179" t="s">
        <v>3864</v>
      </c>
    </row>
    <row r="513" spans="1:2">
      <c r="A513" s="179" t="s">
        <v>1596</v>
      </c>
      <c r="B513" s="179" t="s">
        <v>3864</v>
      </c>
    </row>
    <row r="514" spans="1:2">
      <c r="A514" s="179" t="s">
        <v>1772</v>
      </c>
      <c r="B514" s="179" t="s">
        <v>3864</v>
      </c>
    </row>
    <row r="515" spans="1:2">
      <c r="A515" s="179" t="s">
        <v>1576</v>
      </c>
      <c r="B515" s="179" t="s">
        <v>3865</v>
      </c>
    </row>
    <row r="516" spans="1:2">
      <c r="A516" s="179" t="s">
        <v>1776</v>
      </c>
      <c r="B516" s="179" t="s">
        <v>3865</v>
      </c>
    </row>
    <row r="517" spans="1:2">
      <c r="A517" s="179" t="s">
        <v>2111</v>
      </c>
      <c r="B517" s="179" t="s">
        <v>3866</v>
      </c>
    </row>
    <row r="518" spans="1:2">
      <c r="A518" s="179" t="s">
        <v>2083</v>
      </c>
      <c r="B518" s="179" t="s">
        <v>3866</v>
      </c>
    </row>
    <row r="519" spans="1:2">
      <c r="A519" s="179" t="s">
        <v>2957</v>
      </c>
      <c r="B519" s="179" t="s">
        <v>3866</v>
      </c>
    </row>
    <row r="520" spans="1:2">
      <c r="A520" s="179" t="s">
        <v>2958</v>
      </c>
      <c r="B520" s="179" t="s">
        <v>3866</v>
      </c>
    </row>
    <row r="521" spans="1:2">
      <c r="A521" s="179" t="s">
        <v>1151</v>
      </c>
      <c r="B521" s="179" t="s">
        <v>3866</v>
      </c>
    </row>
    <row r="522" spans="1:2">
      <c r="A522" s="179" t="s">
        <v>1668</v>
      </c>
      <c r="B522" s="179" t="s">
        <v>2959</v>
      </c>
    </row>
    <row r="523" spans="1:2">
      <c r="A523" s="179" t="s">
        <v>2960</v>
      </c>
      <c r="B523" s="179" t="s">
        <v>2961</v>
      </c>
    </row>
    <row r="524" spans="1:2">
      <c r="A524" s="179" t="s">
        <v>1982</v>
      </c>
      <c r="B524" s="179" t="s">
        <v>2962</v>
      </c>
    </row>
    <row r="525" spans="1:2">
      <c r="A525" s="179" t="s">
        <v>1956</v>
      </c>
      <c r="B525" s="179" t="s">
        <v>2963</v>
      </c>
    </row>
    <row r="526" spans="1:2" ht="30">
      <c r="A526" s="179" t="s">
        <v>2964</v>
      </c>
      <c r="B526" s="179" t="s">
        <v>2965</v>
      </c>
    </row>
    <row r="527" spans="1:2" ht="30">
      <c r="A527" s="179" t="s">
        <v>1143</v>
      </c>
      <c r="B527" s="179" t="s">
        <v>2966</v>
      </c>
    </row>
    <row r="528" spans="1:2">
      <c r="A528" s="179" t="s">
        <v>1597</v>
      </c>
      <c r="B528" s="179" t="s">
        <v>2967</v>
      </c>
    </row>
    <row r="529" spans="1:2">
      <c r="A529" s="179" t="s">
        <v>1861</v>
      </c>
      <c r="B529" s="179" t="s">
        <v>3879</v>
      </c>
    </row>
    <row r="530" spans="1:2">
      <c r="A530" s="179" t="s">
        <v>2968</v>
      </c>
      <c r="B530" s="179" t="s">
        <v>2969</v>
      </c>
    </row>
    <row r="531" spans="1:2">
      <c r="A531" s="179" t="s">
        <v>1810</v>
      </c>
      <c r="B531" s="179" t="s">
        <v>2970</v>
      </c>
    </row>
    <row r="532" spans="1:2">
      <c r="A532" s="179" t="s">
        <v>1832</v>
      </c>
      <c r="B532" s="179" t="s">
        <v>2971</v>
      </c>
    </row>
    <row r="533" spans="1:2">
      <c r="A533" s="179" t="s">
        <v>1834</v>
      </c>
      <c r="B533" s="179" t="s">
        <v>2972</v>
      </c>
    </row>
    <row r="534" spans="1:2">
      <c r="A534" s="179" t="s">
        <v>1564</v>
      </c>
      <c r="B534" s="179" t="s">
        <v>2973</v>
      </c>
    </row>
    <row r="535" spans="1:2">
      <c r="A535" s="179" t="s">
        <v>1730</v>
      </c>
      <c r="B535" s="179" t="s">
        <v>3878</v>
      </c>
    </row>
    <row r="536" spans="1:2">
      <c r="A536" s="179" t="s">
        <v>2974</v>
      </c>
      <c r="B536" s="179" t="s">
        <v>2975</v>
      </c>
    </row>
    <row r="537" spans="1:2">
      <c r="A537" s="179" t="s">
        <v>1829</v>
      </c>
      <c r="B537" s="179" t="s">
        <v>2976</v>
      </c>
    </row>
    <row r="538" spans="1:2">
      <c r="A538" s="179" t="s">
        <v>2977</v>
      </c>
      <c r="B538" s="179" t="s">
        <v>2978</v>
      </c>
    </row>
    <row r="539" spans="1:2">
      <c r="A539" s="179" t="s">
        <v>1830</v>
      </c>
      <c r="B539" s="179" t="s">
        <v>2979</v>
      </c>
    </row>
    <row r="540" spans="1:2">
      <c r="A540" s="179" t="s">
        <v>1809</v>
      </c>
      <c r="B540" s="179" t="s">
        <v>2980</v>
      </c>
    </row>
    <row r="541" spans="1:2">
      <c r="A541" s="179" t="s">
        <v>1831</v>
      </c>
      <c r="B541" s="179" t="s">
        <v>2981</v>
      </c>
    </row>
    <row r="542" spans="1:2">
      <c r="A542" s="179" t="s">
        <v>2059</v>
      </c>
      <c r="B542" s="179" t="s">
        <v>2982</v>
      </c>
    </row>
    <row r="543" spans="1:2">
      <c r="A543" s="179" t="s">
        <v>1577</v>
      </c>
      <c r="B543" s="179" t="s">
        <v>2983</v>
      </c>
    </row>
    <row r="544" spans="1:2">
      <c r="A544" s="179" t="s">
        <v>1788</v>
      </c>
      <c r="B544" s="179" t="s">
        <v>2984</v>
      </c>
    </row>
    <row r="545" spans="1:2">
      <c r="A545" s="179" t="s">
        <v>2052</v>
      </c>
      <c r="B545" s="179" t="s">
        <v>2985</v>
      </c>
    </row>
    <row r="546" spans="1:2">
      <c r="A546" s="179" t="s">
        <v>2986</v>
      </c>
      <c r="B546" s="179" t="s">
        <v>2987</v>
      </c>
    </row>
    <row r="547" spans="1:2">
      <c r="A547" s="179" t="s">
        <v>2988</v>
      </c>
      <c r="B547" s="179" t="s">
        <v>2989</v>
      </c>
    </row>
    <row r="548" spans="1:2" ht="30">
      <c r="A548" s="179" t="s">
        <v>2990</v>
      </c>
      <c r="B548" s="179" t="s">
        <v>2991</v>
      </c>
    </row>
    <row r="549" spans="1:2" ht="30">
      <c r="A549" s="179" t="s">
        <v>1290</v>
      </c>
      <c r="B549" s="179" t="s">
        <v>2992</v>
      </c>
    </row>
    <row r="550" spans="1:2" ht="30">
      <c r="A550" s="179" t="s">
        <v>2993</v>
      </c>
      <c r="B550" s="179" t="s">
        <v>2994</v>
      </c>
    </row>
    <row r="551" spans="1:2">
      <c r="A551" s="179" t="s">
        <v>2995</v>
      </c>
      <c r="B551" s="179" t="s">
        <v>2996</v>
      </c>
    </row>
    <row r="552" spans="1:2" ht="30">
      <c r="A552" s="179" t="s">
        <v>2997</v>
      </c>
      <c r="B552" s="179" t="s">
        <v>2998</v>
      </c>
    </row>
    <row r="553" spans="1:2" ht="30">
      <c r="A553" s="179" t="s">
        <v>1294</v>
      </c>
      <c r="B553" s="179" t="s">
        <v>2999</v>
      </c>
    </row>
    <row r="554" spans="1:2" ht="30">
      <c r="A554" s="179" t="s">
        <v>3000</v>
      </c>
      <c r="B554" s="179" t="s">
        <v>3001</v>
      </c>
    </row>
    <row r="555" spans="1:2">
      <c r="A555" s="179" t="s">
        <v>3002</v>
      </c>
      <c r="B555" s="179" t="s">
        <v>3003</v>
      </c>
    </row>
    <row r="556" spans="1:2" ht="30">
      <c r="A556" s="179" t="s">
        <v>3004</v>
      </c>
      <c r="B556" s="179" t="s">
        <v>3005</v>
      </c>
    </row>
    <row r="557" spans="1:2" ht="30">
      <c r="A557" s="179" t="s">
        <v>1292</v>
      </c>
      <c r="B557" s="179" t="s">
        <v>3006</v>
      </c>
    </row>
    <row r="558" spans="1:2" ht="30">
      <c r="A558" s="179" t="s">
        <v>3007</v>
      </c>
      <c r="B558" s="179" t="s">
        <v>3008</v>
      </c>
    </row>
    <row r="559" spans="1:2" ht="30">
      <c r="A559" s="179" t="s">
        <v>3009</v>
      </c>
      <c r="B559" s="179" t="s">
        <v>3010</v>
      </c>
    </row>
    <row r="560" spans="1:2" ht="30">
      <c r="A560" s="179" t="s">
        <v>3011</v>
      </c>
      <c r="B560" s="179" t="s">
        <v>3012</v>
      </c>
    </row>
    <row r="561" spans="1:2" ht="30">
      <c r="A561" s="179" t="s">
        <v>3013</v>
      </c>
      <c r="B561" s="179" t="s">
        <v>3014</v>
      </c>
    </row>
    <row r="562" spans="1:2" ht="30">
      <c r="A562" s="179" t="s">
        <v>1972</v>
      </c>
      <c r="B562" s="179" t="s">
        <v>3015</v>
      </c>
    </row>
    <row r="563" spans="1:2" ht="30">
      <c r="A563" s="179" t="s">
        <v>3016</v>
      </c>
      <c r="B563" s="179" t="s">
        <v>3017</v>
      </c>
    </row>
    <row r="564" spans="1:2" ht="30">
      <c r="A564" s="179" t="s">
        <v>3018</v>
      </c>
      <c r="B564" s="179" t="s">
        <v>3019</v>
      </c>
    </row>
    <row r="565" spans="1:2" ht="30">
      <c r="A565" s="179" t="s">
        <v>1316</v>
      </c>
      <c r="B565" s="179" t="s">
        <v>3020</v>
      </c>
    </row>
    <row r="566" spans="1:2" ht="30">
      <c r="A566" s="179" t="s">
        <v>3021</v>
      </c>
      <c r="B566" s="179" t="s">
        <v>3022</v>
      </c>
    </row>
    <row r="567" spans="1:2">
      <c r="A567" s="179" t="s">
        <v>3023</v>
      </c>
      <c r="B567" s="179" t="s">
        <v>3024</v>
      </c>
    </row>
    <row r="568" spans="1:2" ht="30">
      <c r="A568" s="179" t="s">
        <v>3025</v>
      </c>
      <c r="B568" s="179" t="s">
        <v>3026</v>
      </c>
    </row>
    <row r="569" spans="1:2">
      <c r="A569" s="179" t="s">
        <v>1318</v>
      </c>
      <c r="B569" s="179" t="s">
        <v>3027</v>
      </c>
    </row>
    <row r="570" spans="1:2" ht="30">
      <c r="A570" s="179" t="s">
        <v>1494</v>
      </c>
      <c r="B570" s="179" t="s">
        <v>3028</v>
      </c>
    </row>
    <row r="571" spans="1:2" ht="30">
      <c r="A571" s="179" t="s">
        <v>2120</v>
      </c>
      <c r="B571" s="179" t="s">
        <v>3029</v>
      </c>
    </row>
    <row r="572" spans="1:2" ht="30">
      <c r="A572" s="179" t="s">
        <v>2131</v>
      </c>
      <c r="B572" s="179" t="s">
        <v>3030</v>
      </c>
    </row>
    <row r="573" spans="1:2">
      <c r="A573" s="179" t="s">
        <v>1500</v>
      </c>
      <c r="B573" s="179" t="s">
        <v>3031</v>
      </c>
    </row>
    <row r="574" spans="1:2" ht="30">
      <c r="A574" s="179" t="s">
        <v>1501</v>
      </c>
      <c r="B574" s="179" t="s">
        <v>3032</v>
      </c>
    </row>
    <row r="575" spans="1:2" ht="30">
      <c r="A575" s="179" t="s">
        <v>3033</v>
      </c>
      <c r="B575" s="179" t="s">
        <v>3034</v>
      </c>
    </row>
    <row r="576" spans="1:2">
      <c r="A576" s="179" t="s">
        <v>1413</v>
      </c>
      <c r="B576" s="179" t="s">
        <v>3035</v>
      </c>
    </row>
    <row r="577" spans="1:2">
      <c r="A577" s="179" t="s">
        <v>3036</v>
      </c>
      <c r="B577" s="179" t="s">
        <v>3037</v>
      </c>
    </row>
    <row r="578" spans="1:2">
      <c r="A578" s="179" t="s">
        <v>3038</v>
      </c>
      <c r="B578" s="179" t="s">
        <v>3039</v>
      </c>
    </row>
    <row r="579" spans="1:2">
      <c r="A579" s="179" t="s">
        <v>1448</v>
      </c>
      <c r="B579" s="179" t="s">
        <v>3040</v>
      </c>
    </row>
    <row r="580" spans="1:2">
      <c r="A580" s="179" t="s">
        <v>3041</v>
      </c>
      <c r="B580" s="179" t="s">
        <v>3042</v>
      </c>
    </row>
    <row r="581" spans="1:2">
      <c r="A581" s="179" t="s">
        <v>1400</v>
      </c>
      <c r="B581" s="179" t="s">
        <v>3043</v>
      </c>
    </row>
    <row r="582" spans="1:2">
      <c r="A582" s="179" t="s">
        <v>1421</v>
      </c>
      <c r="B582" s="179" t="s">
        <v>3044</v>
      </c>
    </row>
    <row r="583" spans="1:2" ht="30">
      <c r="A583" s="179" t="s">
        <v>1415</v>
      </c>
      <c r="B583" s="179" t="s">
        <v>3045</v>
      </c>
    </row>
    <row r="584" spans="1:2" ht="30">
      <c r="A584" s="179" t="s">
        <v>1438</v>
      </c>
      <c r="B584" s="179" t="s">
        <v>3046</v>
      </c>
    </row>
    <row r="585" spans="1:2" ht="30">
      <c r="A585" s="179" t="s">
        <v>1418</v>
      </c>
      <c r="B585" s="179" t="s">
        <v>3047</v>
      </c>
    </row>
    <row r="586" spans="1:2">
      <c r="A586" s="179" t="s">
        <v>3048</v>
      </c>
      <c r="B586" s="179" t="s">
        <v>3049</v>
      </c>
    </row>
    <row r="587" spans="1:2">
      <c r="A587" s="179" t="s">
        <v>3050</v>
      </c>
      <c r="B587" s="179" t="s">
        <v>3051</v>
      </c>
    </row>
    <row r="588" spans="1:2">
      <c r="A588" s="179" t="s">
        <v>3052</v>
      </c>
      <c r="B588" s="179" t="s">
        <v>3053</v>
      </c>
    </row>
    <row r="589" spans="1:2">
      <c r="A589" s="179" t="s">
        <v>1453</v>
      </c>
      <c r="B589" s="179" t="s">
        <v>3054</v>
      </c>
    </row>
    <row r="590" spans="1:2">
      <c r="A590" s="179" t="s">
        <v>1457</v>
      </c>
      <c r="B590" s="179" t="s">
        <v>3055</v>
      </c>
    </row>
    <row r="591" spans="1:2">
      <c r="A591" s="179" t="s">
        <v>1476</v>
      </c>
      <c r="B591" s="179" t="s">
        <v>3056</v>
      </c>
    </row>
    <row r="592" spans="1:2">
      <c r="A592" s="179" t="s">
        <v>1472</v>
      </c>
      <c r="B592" s="179" t="s">
        <v>3057</v>
      </c>
    </row>
    <row r="593" spans="1:2">
      <c r="A593" s="179" t="s">
        <v>1947</v>
      </c>
      <c r="B593" s="179" t="s">
        <v>3058</v>
      </c>
    </row>
    <row r="594" spans="1:2">
      <c r="A594" s="179" t="s">
        <v>1465</v>
      </c>
      <c r="B594" s="179" t="s">
        <v>3059</v>
      </c>
    </row>
    <row r="595" spans="1:2">
      <c r="A595" s="179" t="s">
        <v>1482</v>
      </c>
      <c r="B595" s="179" t="s">
        <v>3060</v>
      </c>
    </row>
    <row r="596" spans="1:2">
      <c r="A596" s="179" t="s">
        <v>3061</v>
      </c>
      <c r="B596" s="179" t="s">
        <v>3062</v>
      </c>
    </row>
    <row r="597" spans="1:2">
      <c r="A597" s="179" t="s">
        <v>1489</v>
      </c>
      <c r="B597" s="179" t="s">
        <v>3063</v>
      </c>
    </row>
    <row r="598" spans="1:2">
      <c r="A598" s="179" t="s">
        <v>1468</v>
      </c>
      <c r="B598" s="179" t="s">
        <v>3064</v>
      </c>
    </row>
    <row r="599" spans="1:2">
      <c r="A599" s="179" t="s">
        <v>1485</v>
      </c>
      <c r="B599" s="179" t="s">
        <v>3065</v>
      </c>
    </row>
    <row r="600" spans="1:2">
      <c r="A600" s="179" t="s">
        <v>1488</v>
      </c>
      <c r="B600" s="179" t="s">
        <v>3066</v>
      </c>
    </row>
    <row r="601" spans="1:2">
      <c r="A601" s="179" t="s">
        <v>1491</v>
      </c>
      <c r="B601" s="179" t="s">
        <v>3067</v>
      </c>
    </row>
    <row r="602" spans="1:2">
      <c r="A602" s="179" t="s">
        <v>3068</v>
      </c>
      <c r="B602" s="179" t="s">
        <v>3069</v>
      </c>
    </row>
    <row r="603" spans="1:2">
      <c r="A603" s="179" t="s">
        <v>1492</v>
      </c>
      <c r="B603" s="179" t="s">
        <v>3070</v>
      </c>
    </row>
    <row r="604" spans="1:2">
      <c r="A604" s="179" t="s">
        <v>3071</v>
      </c>
      <c r="B604" s="179" t="s">
        <v>3072</v>
      </c>
    </row>
    <row r="605" spans="1:2">
      <c r="A605" s="179" t="s">
        <v>1158</v>
      </c>
      <c r="B605" s="179" t="s">
        <v>3073</v>
      </c>
    </row>
    <row r="606" spans="1:2">
      <c r="A606" s="179" t="s">
        <v>1375</v>
      </c>
      <c r="B606" s="179" t="s">
        <v>3074</v>
      </c>
    </row>
    <row r="607" spans="1:2">
      <c r="A607" s="179" t="s">
        <v>1387</v>
      </c>
      <c r="B607" s="179" t="s">
        <v>3075</v>
      </c>
    </row>
    <row r="608" spans="1:2">
      <c r="A608" s="179" t="s">
        <v>1185</v>
      </c>
      <c r="B608" s="179" t="s">
        <v>3076</v>
      </c>
    </row>
    <row r="609" spans="1:2">
      <c r="A609" s="179" t="s">
        <v>1439</v>
      </c>
      <c r="B609" s="179" t="s">
        <v>3077</v>
      </c>
    </row>
    <row r="610" spans="1:2">
      <c r="A610" s="179" t="s">
        <v>1392</v>
      </c>
      <c r="B610" s="179" t="s">
        <v>3078</v>
      </c>
    </row>
    <row r="611" spans="1:2">
      <c r="A611" s="179" t="s">
        <v>3079</v>
      </c>
      <c r="B611" s="179" t="s">
        <v>3080</v>
      </c>
    </row>
    <row r="612" spans="1:2">
      <c r="A612" s="179" t="s">
        <v>3081</v>
      </c>
      <c r="B612" s="179" t="s">
        <v>3082</v>
      </c>
    </row>
    <row r="613" spans="1:2">
      <c r="A613" s="179" t="s">
        <v>3083</v>
      </c>
      <c r="B613" s="179" t="s">
        <v>3084</v>
      </c>
    </row>
    <row r="614" spans="1:2">
      <c r="A614" s="179" t="s">
        <v>3085</v>
      </c>
      <c r="B614" s="179" t="s">
        <v>3086</v>
      </c>
    </row>
    <row r="615" spans="1:2">
      <c r="A615" s="179" t="s">
        <v>1422</v>
      </c>
      <c r="B615" s="179" t="s">
        <v>3087</v>
      </c>
    </row>
    <row r="616" spans="1:2">
      <c r="A616" s="179" t="s">
        <v>1183</v>
      </c>
      <c r="B616" s="179" t="s">
        <v>3088</v>
      </c>
    </row>
    <row r="617" spans="1:2">
      <c r="A617" s="179" t="s">
        <v>1354</v>
      </c>
      <c r="B617" s="179" t="s">
        <v>3089</v>
      </c>
    </row>
    <row r="618" spans="1:2">
      <c r="A618" s="179" t="s">
        <v>3090</v>
      </c>
      <c r="B618" s="179" t="s">
        <v>3091</v>
      </c>
    </row>
    <row r="619" spans="1:2">
      <c r="A619" s="179" t="s">
        <v>1346</v>
      </c>
      <c r="B619" s="179" t="s">
        <v>3092</v>
      </c>
    </row>
    <row r="620" spans="1:2">
      <c r="A620" s="179" t="s">
        <v>1332</v>
      </c>
      <c r="B620" s="179" t="s">
        <v>3093</v>
      </c>
    </row>
    <row r="621" spans="1:2">
      <c r="A621" s="179" t="s">
        <v>1355</v>
      </c>
      <c r="B621" s="179" t="s">
        <v>3094</v>
      </c>
    </row>
    <row r="622" spans="1:2">
      <c r="A622" s="179" t="s">
        <v>1383</v>
      </c>
      <c r="B622" s="179" t="s">
        <v>3095</v>
      </c>
    </row>
    <row r="623" spans="1:2">
      <c r="A623" s="179" t="s">
        <v>3096</v>
      </c>
      <c r="B623" s="179" t="s">
        <v>3097</v>
      </c>
    </row>
    <row r="624" spans="1:2">
      <c r="A624" s="179" t="s">
        <v>3098</v>
      </c>
      <c r="B624" s="179" t="s">
        <v>3099</v>
      </c>
    </row>
    <row r="625" spans="1:2">
      <c r="A625" s="179" t="s">
        <v>1186</v>
      </c>
      <c r="B625" s="179" t="s">
        <v>3100</v>
      </c>
    </row>
    <row r="626" spans="1:2">
      <c r="A626" s="179" t="s">
        <v>3101</v>
      </c>
      <c r="B626" s="179" t="s">
        <v>3102</v>
      </c>
    </row>
    <row r="627" spans="1:2">
      <c r="A627" s="179" t="s">
        <v>3103</v>
      </c>
      <c r="B627" s="179" t="s">
        <v>3104</v>
      </c>
    </row>
    <row r="628" spans="1:2">
      <c r="A628" s="179" t="s">
        <v>3105</v>
      </c>
      <c r="B628" s="179" t="s">
        <v>3106</v>
      </c>
    </row>
    <row r="629" spans="1:2">
      <c r="A629" s="179" t="s">
        <v>3107</v>
      </c>
      <c r="B629" s="179" t="s">
        <v>3108</v>
      </c>
    </row>
    <row r="630" spans="1:2">
      <c r="A630" s="179" t="s">
        <v>3109</v>
      </c>
      <c r="B630" s="179" t="s">
        <v>3110</v>
      </c>
    </row>
    <row r="631" spans="1:2">
      <c r="A631" s="179" t="s">
        <v>3111</v>
      </c>
      <c r="B631" s="179" t="s">
        <v>3112</v>
      </c>
    </row>
    <row r="632" spans="1:2">
      <c r="A632" s="179" t="s">
        <v>3113</v>
      </c>
      <c r="B632" s="179" t="s">
        <v>3114</v>
      </c>
    </row>
    <row r="633" spans="1:2">
      <c r="A633" s="179" t="s">
        <v>3115</v>
      </c>
      <c r="B633" s="179" t="s">
        <v>3116</v>
      </c>
    </row>
    <row r="634" spans="1:2">
      <c r="A634" s="179" t="s">
        <v>3117</v>
      </c>
      <c r="B634" s="179" t="s">
        <v>3118</v>
      </c>
    </row>
    <row r="635" spans="1:2">
      <c r="A635" s="179" t="s">
        <v>3119</v>
      </c>
      <c r="B635" s="179" t="s">
        <v>3120</v>
      </c>
    </row>
    <row r="636" spans="1:2">
      <c r="A636" s="179" t="s">
        <v>3121</v>
      </c>
      <c r="B636" s="179" t="s">
        <v>3122</v>
      </c>
    </row>
    <row r="637" spans="1:2">
      <c r="A637" s="179" t="s">
        <v>1356</v>
      </c>
      <c r="B637" s="179" t="s">
        <v>3123</v>
      </c>
    </row>
    <row r="638" spans="1:2">
      <c r="A638" s="179" t="s">
        <v>3124</v>
      </c>
      <c r="B638" s="179" t="s">
        <v>3125</v>
      </c>
    </row>
    <row r="639" spans="1:2">
      <c r="A639" s="179" t="s">
        <v>3126</v>
      </c>
      <c r="B639" s="179" t="s">
        <v>3127</v>
      </c>
    </row>
    <row r="640" spans="1:2" ht="30">
      <c r="A640" s="179" t="s">
        <v>3128</v>
      </c>
      <c r="B640" s="179" t="s">
        <v>3129</v>
      </c>
    </row>
    <row r="641" spans="1:2" ht="30">
      <c r="A641" s="179" t="s">
        <v>1496</v>
      </c>
      <c r="B641" s="179" t="s">
        <v>3130</v>
      </c>
    </row>
    <row r="642" spans="1:2" ht="30">
      <c r="A642" s="179" t="s">
        <v>1159</v>
      </c>
      <c r="B642" s="179" t="s">
        <v>3131</v>
      </c>
    </row>
    <row r="643" spans="1:2" ht="30">
      <c r="A643" s="179" t="s">
        <v>1345</v>
      </c>
      <c r="B643" s="179" t="s">
        <v>3132</v>
      </c>
    </row>
    <row r="644" spans="1:2" ht="30">
      <c r="A644" s="179" t="s">
        <v>1382</v>
      </c>
      <c r="B644" s="179" t="s">
        <v>3133</v>
      </c>
    </row>
    <row r="645" spans="1:2" ht="30">
      <c r="A645" s="179" t="s">
        <v>1391</v>
      </c>
      <c r="B645" s="179" t="s">
        <v>3134</v>
      </c>
    </row>
    <row r="646" spans="1:2">
      <c r="A646" s="179" t="s">
        <v>3135</v>
      </c>
      <c r="B646" s="179" t="s">
        <v>3136</v>
      </c>
    </row>
    <row r="647" spans="1:2">
      <c r="A647" s="179" t="s">
        <v>3137</v>
      </c>
      <c r="B647" s="179" t="s">
        <v>3138</v>
      </c>
    </row>
    <row r="648" spans="1:2">
      <c r="A648" s="179" t="s">
        <v>3139</v>
      </c>
      <c r="B648" s="179" t="s">
        <v>3140</v>
      </c>
    </row>
    <row r="649" spans="1:2">
      <c r="A649" s="179" t="s">
        <v>3141</v>
      </c>
      <c r="B649" s="179" t="s">
        <v>3142</v>
      </c>
    </row>
    <row r="650" spans="1:2">
      <c r="A650" s="179" t="s">
        <v>3143</v>
      </c>
      <c r="B650" s="179" t="s">
        <v>3144</v>
      </c>
    </row>
    <row r="651" spans="1:2">
      <c r="A651" s="179" t="s">
        <v>3145</v>
      </c>
      <c r="B651" s="179" t="s">
        <v>3146</v>
      </c>
    </row>
    <row r="652" spans="1:2">
      <c r="A652" s="179" t="s">
        <v>3147</v>
      </c>
      <c r="B652" s="179" t="s">
        <v>3148</v>
      </c>
    </row>
    <row r="653" spans="1:2">
      <c r="A653" s="179" t="s">
        <v>3149</v>
      </c>
      <c r="B653" s="179" t="s">
        <v>3150</v>
      </c>
    </row>
    <row r="654" spans="1:2">
      <c r="A654" s="179" t="s">
        <v>3151</v>
      </c>
      <c r="B654" s="179" t="s">
        <v>3152</v>
      </c>
    </row>
    <row r="655" spans="1:2">
      <c r="A655" s="179" t="s">
        <v>1377</v>
      </c>
      <c r="B655" s="179" t="s">
        <v>3153</v>
      </c>
    </row>
    <row r="656" spans="1:2">
      <c r="A656" s="179" t="s">
        <v>1374</v>
      </c>
      <c r="B656" s="179" t="s">
        <v>3154</v>
      </c>
    </row>
    <row r="657" spans="1:2">
      <c r="A657" s="179" t="s">
        <v>3155</v>
      </c>
      <c r="B657" s="179" t="s">
        <v>3156</v>
      </c>
    </row>
    <row r="658" spans="1:2">
      <c r="A658" s="179" t="s">
        <v>3157</v>
      </c>
      <c r="B658" s="179" t="s">
        <v>3158</v>
      </c>
    </row>
    <row r="659" spans="1:2">
      <c r="A659" s="179" t="s">
        <v>1368</v>
      </c>
      <c r="B659" s="179" t="s">
        <v>3159</v>
      </c>
    </row>
    <row r="660" spans="1:2">
      <c r="A660" s="179" t="s">
        <v>3160</v>
      </c>
      <c r="B660" s="179" t="s">
        <v>3161</v>
      </c>
    </row>
    <row r="661" spans="1:2">
      <c r="A661" s="179" t="s">
        <v>1344</v>
      </c>
      <c r="B661" s="179" t="s">
        <v>3162</v>
      </c>
    </row>
    <row r="662" spans="1:2">
      <c r="A662" s="179" t="s">
        <v>1349</v>
      </c>
      <c r="B662" s="179" t="s">
        <v>3163</v>
      </c>
    </row>
    <row r="663" spans="1:2">
      <c r="A663" s="179" t="s">
        <v>1380</v>
      </c>
      <c r="B663" s="179" t="s">
        <v>3164</v>
      </c>
    </row>
    <row r="664" spans="1:2">
      <c r="A664" s="179" t="s">
        <v>1381</v>
      </c>
      <c r="B664" s="179" t="s">
        <v>3165</v>
      </c>
    </row>
    <row r="665" spans="1:2" ht="30">
      <c r="A665" s="179" t="s">
        <v>1390</v>
      </c>
      <c r="B665" s="179" t="s">
        <v>3166</v>
      </c>
    </row>
    <row r="666" spans="1:2">
      <c r="A666" s="179" t="s">
        <v>3167</v>
      </c>
      <c r="B666" s="179" t="s">
        <v>3168</v>
      </c>
    </row>
    <row r="667" spans="1:2">
      <c r="A667" s="179" t="s">
        <v>3169</v>
      </c>
      <c r="B667" s="179" t="s">
        <v>3170</v>
      </c>
    </row>
    <row r="668" spans="1:2">
      <c r="A668" s="179" t="s">
        <v>1248</v>
      </c>
      <c r="B668" s="179" t="s">
        <v>3171</v>
      </c>
    </row>
    <row r="669" spans="1:2">
      <c r="A669" s="179" t="s">
        <v>2105</v>
      </c>
      <c r="B669" s="179" t="s">
        <v>3172</v>
      </c>
    </row>
    <row r="670" spans="1:2">
      <c r="A670" s="179" t="s">
        <v>2165</v>
      </c>
      <c r="B670" s="179" t="s">
        <v>3173</v>
      </c>
    </row>
    <row r="671" spans="1:2">
      <c r="A671" s="179" t="s">
        <v>1504</v>
      </c>
      <c r="B671" s="179" t="s">
        <v>3174</v>
      </c>
    </row>
    <row r="672" spans="1:2">
      <c r="A672" s="179" t="s">
        <v>2171</v>
      </c>
      <c r="B672" s="179" t="s">
        <v>3175</v>
      </c>
    </row>
    <row r="673" spans="1:2">
      <c r="A673" s="179" t="s">
        <v>2343</v>
      </c>
      <c r="B673" s="179" t="s">
        <v>3176</v>
      </c>
    </row>
    <row r="674" spans="1:2">
      <c r="A674" s="179" t="s">
        <v>2162</v>
      </c>
      <c r="B674" s="179" t="s">
        <v>3177</v>
      </c>
    </row>
    <row r="675" spans="1:2">
      <c r="A675" s="179" t="s">
        <v>2158</v>
      </c>
      <c r="B675" s="179" t="s">
        <v>3178</v>
      </c>
    </row>
    <row r="676" spans="1:2">
      <c r="A676" s="179" t="s">
        <v>2161</v>
      </c>
      <c r="B676" s="179" t="s">
        <v>3179</v>
      </c>
    </row>
    <row r="677" spans="1:2">
      <c r="A677" s="179" t="s">
        <v>2193</v>
      </c>
      <c r="B677" s="179" t="s">
        <v>3180</v>
      </c>
    </row>
    <row r="678" spans="1:2">
      <c r="A678" s="179" t="s">
        <v>2333</v>
      </c>
      <c r="B678" s="179" t="s">
        <v>3181</v>
      </c>
    </row>
    <row r="679" spans="1:2">
      <c r="A679" s="179" t="s">
        <v>3182</v>
      </c>
      <c r="B679" s="179" t="s">
        <v>3183</v>
      </c>
    </row>
    <row r="680" spans="1:2">
      <c r="A680" s="179" t="s">
        <v>2332</v>
      </c>
      <c r="B680" s="179" t="s">
        <v>3184</v>
      </c>
    </row>
    <row r="681" spans="1:2">
      <c r="A681" s="179" t="s">
        <v>2337</v>
      </c>
      <c r="B681" s="179" t="s">
        <v>3185</v>
      </c>
    </row>
    <row r="682" spans="1:2">
      <c r="A682" s="179" t="s">
        <v>2340</v>
      </c>
      <c r="B682" s="179" t="s">
        <v>3186</v>
      </c>
    </row>
    <row r="683" spans="1:2">
      <c r="A683" s="179" t="s">
        <v>2164</v>
      </c>
      <c r="B683" s="179" t="s">
        <v>3187</v>
      </c>
    </row>
    <row r="684" spans="1:2">
      <c r="A684" s="179" t="s">
        <v>2277</v>
      </c>
      <c r="B684" s="179" t="s">
        <v>3188</v>
      </c>
    </row>
    <row r="685" spans="1:2">
      <c r="A685" s="179" t="s">
        <v>3189</v>
      </c>
      <c r="B685" s="179" t="s">
        <v>3190</v>
      </c>
    </row>
    <row r="686" spans="1:2">
      <c r="A686" s="179" t="s">
        <v>3191</v>
      </c>
      <c r="B686" s="179" t="s">
        <v>3192</v>
      </c>
    </row>
    <row r="687" spans="1:2">
      <c r="A687" s="179" t="s">
        <v>2303</v>
      </c>
      <c r="B687" s="179" t="s">
        <v>3193</v>
      </c>
    </row>
    <row r="688" spans="1:2">
      <c r="A688" s="179" t="s">
        <v>2305</v>
      </c>
      <c r="B688" s="179" t="s">
        <v>3194</v>
      </c>
    </row>
    <row r="689" spans="1:2">
      <c r="A689" s="179" t="s">
        <v>2200</v>
      </c>
      <c r="B689" s="179" t="s">
        <v>3195</v>
      </c>
    </row>
    <row r="690" spans="1:2">
      <c r="A690" s="179" t="s">
        <v>2201</v>
      </c>
      <c r="B690" s="179" t="s">
        <v>3196</v>
      </c>
    </row>
    <row r="691" spans="1:2">
      <c r="A691" s="179" t="s">
        <v>2202</v>
      </c>
      <c r="B691" s="179" t="s">
        <v>3197</v>
      </c>
    </row>
    <row r="692" spans="1:2">
      <c r="A692" s="179" t="s">
        <v>2208</v>
      </c>
      <c r="B692" s="179" t="s">
        <v>3198</v>
      </c>
    </row>
    <row r="693" spans="1:2">
      <c r="A693" s="179" t="s">
        <v>2245</v>
      </c>
      <c r="B693" s="179" t="s">
        <v>3199</v>
      </c>
    </row>
    <row r="694" spans="1:2">
      <c r="A694" s="179" t="s">
        <v>2213</v>
      </c>
      <c r="B694" s="179" t="s">
        <v>3200</v>
      </c>
    </row>
    <row r="695" spans="1:2">
      <c r="A695" s="179" t="s">
        <v>2214</v>
      </c>
      <c r="B695" s="179" t="s">
        <v>3201</v>
      </c>
    </row>
    <row r="696" spans="1:2">
      <c r="A696" s="179" t="s">
        <v>3202</v>
      </c>
      <c r="B696" s="179" t="s">
        <v>3203</v>
      </c>
    </row>
    <row r="697" spans="1:2">
      <c r="A697" s="179" t="s">
        <v>3204</v>
      </c>
      <c r="B697" s="179" t="s">
        <v>3205</v>
      </c>
    </row>
    <row r="698" spans="1:2">
      <c r="A698" s="179" t="s">
        <v>3206</v>
      </c>
      <c r="B698" s="179" t="s">
        <v>3207</v>
      </c>
    </row>
    <row r="699" spans="1:2">
      <c r="A699" s="179" t="s">
        <v>3208</v>
      </c>
      <c r="B699" s="179" t="s">
        <v>3209</v>
      </c>
    </row>
    <row r="700" spans="1:2">
      <c r="A700" s="179" t="s">
        <v>2199</v>
      </c>
      <c r="B700" s="179" t="s">
        <v>3210</v>
      </c>
    </row>
    <row r="701" spans="1:2">
      <c r="A701" s="179" t="s">
        <v>2269</v>
      </c>
      <c r="B701" s="179" t="s">
        <v>3211</v>
      </c>
    </row>
    <row r="702" spans="1:2">
      <c r="A702" s="179" t="s">
        <v>3212</v>
      </c>
      <c r="B702" s="179" t="s">
        <v>3213</v>
      </c>
    </row>
    <row r="703" spans="1:2">
      <c r="A703" s="179" t="s">
        <v>2308</v>
      </c>
      <c r="B703" s="179" t="s">
        <v>3214</v>
      </c>
    </row>
    <row r="704" spans="1:2">
      <c r="A704" s="179" t="s">
        <v>2298</v>
      </c>
      <c r="B704" s="179" t="s">
        <v>3215</v>
      </c>
    </row>
    <row r="705" spans="1:2">
      <c r="A705" s="179" t="s">
        <v>3216</v>
      </c>
      <c r="B705" s="179" t="s">
        <v>3217</v>
      </c>
    </row>
    <row r="706" spans="1:2">
      <c r="A706" s="179" t="s">
        <v>3218</v>
      </c>
      <c r="B706" s="179" t="s">
        <v>3219</v>
      </c>
    </row>
    <row r="707" spans="1:2">
      <c r="A707" s="179" t="s">
        <v>3220</v>
      </c>
      <c r="B707" s="179" t="s">
        <v>3221</v>
      </c>
    </row>
    <row r="708" spans="1:2">
      <c r="A708" s="179" t="s">
        <v>3222</v>
      </c>
      <c r="B708" s="179" t="s">
        <v>3223</v>
      </c>
    </row>
    <row r="709" spans="1:2">
      <c r="A709" s="179" t="s">
        <v>2293</v>
      </c>
      <c r="B709" s="179" t="s">
        <v>3224</v>
      </c>
    </row>
    <row r="710" spans="1:2">
      <c r="A710" s="179" t="s">
        <v>3225</v>
      </c>
      <c r="B710" s="179" t="s">
        <v>3226</v>
      </c>
    </row>
    <row r="711" spans="1:2">
      <c r="A711" s="179" t="s">
        <v>2296</v>
      </c>
      <c r="B711" s="179" t="s">
        <v>3227</v>
      </c>
    </row>
    <row r="712" spans="1:2">
      <c r="A712" s="179" t="s">
        <v>2301</v>
      </c>
      <c r="B712" s="179" t="s">
        <v>3228</v>
      </c>
    </row>
    <row r="713" spans="1:2">
      <c r="A713" s="179" t="s">
        <v>3229</v>
      </c>
      <c r="B713" s="179" t="s">
        <v>3230</v>
      </c>
    </row>
    <row r="714" spans="1:2">
      <c r="A714" s="179" t="s">
        <v>3231</v>
      </c>
      <c r="B714" s="179" t="s">
        <v>3232</v>
      </c>
    </row>
    <row r="715" spans="1:2">
      <c r="A715" s="179" t="s">
        <v>2272</v>
      </c>
      <c r="B715" s="179" t="s">
        <v>3233</v>
      </c>
    </row>
    <row r="716" spans="1:2">
      <c r="A716" s="179" t="s">
        <v>2251</v>
      </c>
      <c r="B716" s="179" t="s">
        <v>3234</v>
      </c>
    </row>
    <row r="717" spans="1:2">
      <c r="A717" s="179" t="s">
        <v>2328</v>
      </c>
      <c r="B717" s="179" t="s">
        <v>3235</v>
      </c>
    </row>
    <row r="718" spans="1:2">
      <c r="A718" s="179" t="s">
        <v>3236</v>
      </c>
      <c r="B718" s="179" t="s">
        <v>3237</v>
      </c>
    </row>
    <row r="719" spans="1:2">
      <c r="A719" s="179" t="s">
        <v>2256</v>
      </c>
      <c r="B719" s="179" t="s">
        <v>3238</v>
      </c>
    </row>
    <row r="720" spans="1:2">
      <c r="A720" s="179" t="s">
        <v>2252</v>
      </c>
      <c r="B720" s="179" t="s">
        <v>3239</v>
      </c>
    </row>
    <row r="721" spans="1:2">
      <c r="A721" s="179" t="s">
        <v>2316</v>
      </c>
      <c r="B721" s="179" t="s">
        <v>3240</v>
      </c>
    </row>
    <row r="722" spans="1:2">
      <c r="A722" s="179" t="s">
        <v>3241</v>
      </c>
      <c r="B722" s="179" t="s">
        <v>3242</v>
      </c>
    </row>
    <row r="723" spans="1:2">
      <c r="A723" s="179" t="s">
        <v>2250</v>
      </c>
      <c r="B723" s="179" t="s">
        <v>3243</v>
      </c>
    </row>
    <row r="724" spans="1:2">
      <c r="A724" s="179" t="s">
        <v>3244</v>
      </c>
      <c r="B724" s="179" t="s">
        <v>3245</v>
      </c>
    </row>
    <row r="725" spans="1:2">
      <c r="A725" s="179" t="s">
        <v>2247</v>
      </c>
      <c r="B725" s="179" t="s">
        <v>3246</v>
      </c>
    </row>
    <row r="726" spans="1:2">
      <c r="A726" s="179" t="s">
        <v>2246</v>
      </c>
      <c r="B726" s="179" t="s">
        <v>3247</v>
      </c>
    </row>
    <row r="727" spans="1:2">
      <c r="A727" s="179" t="s">
        <v>2249</v>
      </c>
      <c r="B727" s="179" t="s">
        <v>3248</v>
      </c>
    </row>
    <row r="728" spans="1:2">
      <c r="A728" s="179" t="s">
        <v>2263</v>
      </c>
      <c r="B728" s="179" t="s">
        <v>3249</v>
      </c>
    </row>
    <row r="729" spans="1:2">
      <c r="A729" s="179" t="s">
        <v>3250</v>
      </c>
      <c r="B729" s="179" t="s">
        <v>3251</v>
      </c>
    </row>
    <row r="730" spans="1:2">
      <c r="A730" s="179" t="s">
        <v>3252</v>
      </c>
      <c r="B730" s="179" t="s">
        <v>3253</v>
      </c>
    </row>
    <row r="731" spans="1:2">
      <c r="A731" s="179" t="s">
        <v>2274</v>
      </c>
      <c r="B731" s="179" t="s">
        <v>3254</v>
      </c>
    </row>
    <row r="732" spans="1:2">
      <c r="A732" s="179" t="s">
        <v>2261</v>
      </c>
      <c r="B732" s="179" t="s">
        <v>3255</v>
      </c>
    </row>
    <row r="733" spans="1:2">
      <c r="A733" s="179" t="s">
        <v>2260</v>
      </c>
      <c r="B733" s="179" t="s">
        <v>3256</v>
      </c>
    </row>
    <row r="734" spans="1:2">
      <c r="A734" s="179" t="s">
        <v>2253</v>
      </c>
      <c r="B734" s="179" t="s">
        <v>3257</v>
      </c>
    </row>
    <row r="735" spans="1:2">
      <c r="A735" s="179" t="s">
        <v>2248</v>
      </c>
      <c r="B735" s="179" t="s">
        <v>3258</v>
      </c>
    </row>
    <row r="736" spans="1:2">
      <c r="A736" s="179" t="s">
        <v>2264</v>
      </c>
      <c r="B736" s="179" t="s">
        <v>3259</v>
      </c>
    </row>
    <row r="737" spans="1:2">
      <c r="A737" s="179" t="s">
        <v>2320</v>
      </c>
      <c r="B737" s="179" t="s">
        <v>3260</v>
      </c>
    </row>
    <row r="738" spans="1:2">
      <c r="A738" s="179" t="s">
        <v>2324</v>
      </c>
      <c r="B738" s="179" t="s">
        <v>3261</v>
      </c>
    </row>
    <row r="739" spans="1:2">
      <c r="A739" s="179" t="s">
        <v>3262</v>
      </c>
      <c r="B739" s="179" t="s">
        <v>3263</v>
      </c>
    </row>
    <row r="740" spans="1:2">
      <c r="A740" s="179" t="s">
        <v>2323</v>
      </c>
      <c r="B740" s="179" t="s">
        <v>3264</v>
      </c>
    </row>
    <row r="741" spans="1:2">
      <c r="A741" s="179" t="s">
        <v>2268</v>
      </c>
      <c r="B741" s="179" t="s">
        <v>3265</v>
      </c>
    </row>
    <row r="742" spans="1:2">
      <c r="A742" s="179" t="s">
        <v>2262</v>
      </c>
      <c r="B742" s="179" t="s">
        <v>3266</v>
      </c>
    </row>
    <row r="743" spans="1:2">
      <c r="A743" s="179" t="s">
        <v>2347</v>
      </c>
      <c r="B743" s="179" t="s">
        <v>3267</v>
      </c>
    </row>
    <row r="744" spans="1:2">
      <c r="A744" s="179" t="s">
        <v>2329</v>
      </c>
      <c r="B744" s="179" t="s">
        <v>3268</v>
      </c>
    </row>
    <row r="745" spans="1:2">
      <c r="A745" s="179" t="s">
        <v>3269</v>
      </c>
      <c r="B745" s="179" t="s">
        <v>3270</v>
      </c>
    </row>
    <row r="746" spans="1:2">
      <c r="A746" s="179" t="s">
        <v>3271</v>
      </c>
      <c r="B746" s="179" t="s">
        <v>3272</v>
      </c>
    </row>
    <row r="747" spans="1:2">
      <c r="A747" s="179" t="s">
        <v>3273</v>
      </c>
      <c r="B747" s="179" t="s">
        <v>3274</v>
      </c>
    </row>
    <row r="748" spans="1:2">
      <c r="A748" s="179" t="s">
        <v>3275</v>
      </c>
      <c r="B748" s="179" t="s">
        <v>3276</v>
      </c>
    </row>
    <row r="749" spans="1:2">
      <c r="A749" s="179" t="s">
        <v>3277</v>
      </c>
      <c r="B749" s="179" t="s">
        <v>3278</v>
      </c>
    </row>
    <row r="750" spans="1:2">
      <c r="A750" s="179" t="s">
        <v>3279</v>
      </c>
      <c r="B750" s="179" t="s">
        <v>3280</v>
      </c>
    </row>
    <row r="751" spans="1:2">
      <c r="A751" s="179" t="s">
        <v>3281</v>
      </c>
      <c r="B751" s="179" t="s">
        <v>3282</v>
      </c>
    </row>
    <row r="752" spans="1:2">
      <c r="A752" s="179" t="s">
        <v>3283</v>
      </c>
      <c r="B752" s="179" t="s">
        <v>3284</v>
      </c>
    </row>
    <row r="753" spans="1:2">
      <c r="A753" s="179" t="s">
        <v>3285</v>
      </c>
      <c r="B753" s="179" t="s">
        <v>3286</v>
      </c>
    </row>
    <row r="754" spans="1:2">
      <c r="A754" s="179" t="s">
        <v>2265</v>
      </c>
      <c r="B754" s="179" t="s">
        <v>3287</v>
      </c>
    </row>
    <row r="755" spans="1:2">
      <c r="A755" s="179" t="s">
        <v>2254</v>
      </c>
      <c r="B755" s="179" t="s">
        <v>3288</v>
      </c>
    </row>
    <row r="756" spans="1:2">
      <c r="A756" s="179" t="s">
        <v>2315</v>
      </c>
      <c r="B756" s="179" t="s">
        <v>3289</v>
      </c>
    </row>
    <row r="757" spans="1:2">
      <c r="A757" s="179" t="s">
        <v>3290</v>
      </c>
      <c r="B757" s="179" t="s">
        <v>3291</v>
      </c>
    </row>
    <row r="758" spans="1:2">
      <c r="A758" s="179" t="s">
        <v>3292</v>
      </c>
      <c r="B758" s="179" t="s">
        <v>3293</v>
      </c>
    </row>
    <row r="759" spans="1:2" ht="30">
      <c r="A759" s="179" t="s">
        <v>3294</v>
      </c>
      <c r="B759" s="179" t="s">
        <v>3295</v>
      </c>
    </row>
    <row r="760" spans="1:2">
      <c r="A760" s="179" t="s">
        <v>3296</v>
      </c>
      <c r="B760" s="179" t="s">
        <v>3297</v>
      </c>
    </row>
    <row r="761" spans="1:2">
      <c r="A761" s="179" t="s">
        <v>3298</v>
      </c>
      <c r="B761" s="179" t="s">
        <v>3299</v>
      </c>
    </row>
    <row r="762" spans="1:2">
      <c r="A762" s="179" t="s">
        <v>3300</v>
      </c>
      <c r="B762" s="179" t="s">
        <v>3301</v>
      </c>
    </row>
    <row r="763" spans="1:2">
      <c r="A763" s="179" t="s">
        <v>3302</v>
      </c>
      <c r="B763" s="179" t="s">
        <v>3303</v>
      </c>
    </row>
    <row r="764" spans="1:2">
      <c r="A764" s="179" t="s">
        <v>3304</v>
      </c>
      <c r="B764" s="179" t="s">
        <v>3305</v>
      </c>
    </row>
    <row r="765" spans="1:2">
      <c r="A765" s="179" t="s">
        <v>3306</v>
      </c>
      <c r="B765" s="179" t="s">
        <v>3307</v>
      </c>
    </row>
    <row r="766" spans="1:2">
      <c r="A766" s="179" t="s">
        <v>3308</v>
      </c>
      <c r="B766" s="179" t="s">
        <v>3309</v>
      </c>
    </row>
    <row r="767" spans="1:2">
      <c r="A767" s="179" t="s">
        <v>2325</v>
      </c>
      <c r="B767" s="179" t="s">
        <v>3310</v>
      </c>
    </row>
    <row r="768" spans="1:2">
      <c r="A768" s="179" t="s">
        <v>2318</v>
      </c>
      <c r="B768" s="179" t="s">
        <v>3311</v>
      </c>
    </row>
    <row r="769" spans="1:2">
      <c r="A769" s="179" t="s">
        <v>2317</v>
      </c>
      <c r="B769" s="179" t="s">
        <v>3312</v>
      </c>
    </row>
    <row r="770" spans="1:2">
      <c r="A770" s="179" t="s">
        <v>3313</v>
      </c>
      <c r="B770" s="179" t="s">
        <v>3314</v>
      </c>
    </row>
    <row r="771" spans="1:2">
      <c r="A771" s="179" t="s">
        <v>3315</v>
      </c>
      <c r="B771" s="179" t="s">
        <v>3316</v>
      </c>
    </row>
    <row r="772" spans="1:2">
      <c r="A772" s="179" t="s">
        <v>3317</v>
      </c>
      <c r="B772" s="179" t="s">
        <v>3318</v>
      </c>
    </row>
    <row r="773" spans="1:2">
      <c r="A773" s="179" t="s">
        <v>3319</v>
      </c>
      <c r="B773" s="179" t="s">
        <v>3320</v>
      </c>
    </row>
    <row r="774" spans="1:2">
      <c r="A774" s="179" t="s">
        <v>3321</v>
      </c>
      <c r="B774" s="179" t="s">
        <v>3322</v>
      </c>
    </row>
    <row r="775" spans="1:2">
      <c r="A775" s="179" t="s">
        <v>3323</v>
      </c>
      <c r="B775" s="179" t="s">
        <v>3324</v>
      </c>
    </row>
    <row r="776" spans="1:2">
      <c r="A776" s="179" t="s">
        <v>3325</v>
      </c>
      <c r="B776" s="179" t="s">
        <v>3326</v>
      </c>
    </row>
    <row r="777" spans="1:2">
      <c r="A777" s="179" t="s">
        <v>3327</v>
      </c>
      <c r="B777" s="179" t="s">
        <v>3328</v>
      </c>
    </row>
    <row r="778" spans="1:2">
      <c r="A778" s="179" t="s">
        <v>3329</v>
      </c>
      <c r="B778" s="179" t="s">
        <v>3330</v>
      </c>
    </row>
    <row r="779" spans="1:2">
      <c r="A779" s="179" t="s">
        <v>3331</v>
      </c>
      <c r="B779" s="179" t="s">
        <v>3332</v>
      </c>
    </row>
    <row r="780" spans="1:2">
      <c r="A780" s="179" t="s">
        <v>3333</v>
      </c>
      <c r="B780" s="179" t="s">
        <v>3334</v>
      </c>
    </row>
    <row r="781" spans="1:2">
      <c r="A781" s="179" t="s">
        <v>3335</v>
      </c>
      <c r="B781" s="179" t="s">
        <v>3336</v>
      </c>
    </row>
    <row r="782" spans="1:2">
      <c r="A782" s="179" t="s">
        <v>3337</v>
      </c>
      <c r="B782" s="179" t="s">
        <v>3338</v>
      </c>
    </row>
    <row r="783" spans="1:2">
      <c r="A783" s="179" t="s">
        <v>3339</v>
      </c>
      <c r="B783" s="179" t="s">
        <v>3340</v>
      </c>
    </row>
    <row r="784" spans="1:2" ht="30">
      <c r="A784" s="179" t="s">
        <v>3341</v>
      </c>
      <c r="B784" s="179" t="s">
        <v>3342</v>
      </c>
    </row>
    <row r="785" spans="1:2">
      <c r="A785" s="179" t="s">
        <v>3343</v>
      </c>
      <c r="B785" s="179" t="s">
        <v>3344</v>
      </c>
    </row>
    <row r="786" spans="1:2">
      <c r="A786" s="179" t="s">
        <v>3345</v>
      </c>
      <c r="B786" s="179" t="s">
        <v>3346</v>
      </c>
    </row>
    <row r="787" spans="1:2" ht="30">
      <c r="A787" s="179" t="s">
        <v>3347</v>
      </c>
      <c r="B787" s="179" t="s">
        <v>3348</v>
      </c>
    </row>
    <row r="788" spans="1:2">
      <c r="A788" s="179" t="s">
        <v>3349</v>
      </c>
      <c r="B788" s="179" t="s">
        <v>3350</v>
      </c>
    </row>
    <row r="789" spans="1:2">
      <c r="A789" s="179" t="s">
        <v>3351</v>
      </c>
      <c r="B789" s="179" t="s">
        <v>3352</v>
      </c>
    </row>
    <row r="790" spans="1:2">
      <c r="A790" s="179" t="s">
        <v>3353</v>
      </c>
      <c r="B790" s="179" t="s">
        <v>3354</v>
      </c>
    </row>
    <row r="791" spans="1:2">
      <c r="A791" s="179" t="s">
        <v>3355</v>
      </c>
      <c r="B791" s="179" t="s">
        <v>3356</v>
      </c>
    </row>
    <row r="792" spans="1:2">
      <c r="A792" s="179" t="s">
        <v>3357</v>
      </c>
      <c r="B792" s="179" t="s">
        <v>3358</v>
      </c>
    </row>
    <row r="793" spans="1:2">
      <c r="A793" s="179" t="s">
        <v>3359</v>
      </c>
      <c r="B793" s="179" t="s">
        <v>3360</v>
      </c>
    </row>
    <row r="794" spans="1:2" ht="30">
      <c r="A794" s="179" t="s">
        <v>3361</v>
      </c>
      <c r="B794" s="179" t="s">
        <v>3362</v>
      </c>
    </row>
    <row r="795" spans="1:2">
      <c r="A795" s="179" t="s">
        <v>3363</v>
      </c>
      <c r="B795" s="179" t="s">
        <v>3364</v>
      </c>
    </row>
    <row r="796" spans="1:2">
      <c r="A796" s="179" t="s">
        <v>2227</v>
      </c>
      <c r="B796" s="179" t="s">
        <v>3365</v>
      </c>
    </row>
    <row r="797" spans="1:2">
      <c r="A797" s="179" t="s">
        <v>2229</v>
      </c>
      <c r="B797" s="179" t="s">
        <v>3366</v>
      </c>
    </row>
    <row r="798" spans="1:2">
      <c r="A798" s="179" t="s">
        <v>2228</v>
      </c>
      <c r="B798" s="179" t="s">
        <v>3367</v>
      </c>
    </row>
    <row r="799" spans="1:2">
      <c r="A799" s="179" t="s">
        <v>3368</v>
      </c>
      <c r="B799" s="179" t="s">
        <v>3369</v>
      </c>
    </row>
    <row r="800" spans="1:2">
      <c r="A800" s="179" t="s">
        <v>3370</v>
      </c>
      <c r="B800" s="179" t="s">
        <v>3371</v>
      </c>
    </row>
    <row r="801" spans="1:2">
      <c r="A801" s="179" t="s">
        <v>3372</v>
      </c>
      <c r="B801" s="179" t="s">
        <v>3373</v>
      </c>
    </row>
    <row r="802" spans="1:2">
      <c r="A802" s="179" t="s">
        <v>3374</v>
      </c>
      <c r="B802" s="179" t="s">
        <v>3375</v>
      </c>
    </row>
    <row r="803" spans="1:2">
      <c r="A803" s="179" t="s">
        <v>3376</v>
      </c>
      <c r="B803" s="179" t="s">
        <v>3377</v>
      </c>
    </row>
    <row r="804" spans="1:2">
      <c r="A804" s="179" t="s">
        <v>3378</v>
      </c>
      <c r="B804" s="179" t="s">
        <v>3379</v>
      </c>
    </row>
    <row r="805" spans="1:2">
      <c r="A805" s="179" t="s">
        <v>3380</v>
      </c>
      <c r="B805" s="179" t="s">
        <v>3381</v>
      </c>
    </row>
    <row r="806" spans="1:2">
      <c r="A806" s="179" t="s">
        <v>3382</v>
      </c>
      <c r="B806" s="179" t="s">
        <v>3383</v>
      </c>
    </row>
    <row r="807" spans="1:2">
      <c r="A807" s="179" t="s">
        <v>3384</v>
      </c>
      <c r="B807" s="179" t="s">
        <v>3385</v>
      </c>
    </row>
    <row r="808" spans="1:2">
      <c r="A808" s="179" t="s">
        <v>3386</v>
      </c>
      <c r="B808" s="179" t="s">
        <v>3387</v>
      </c>
    </row>
    <row r="809" spans="1:2">
      <c r="A809" s="179" t="s">
        <v>3388</v>
      </c>
      <c r="B809" s="179" t="s">
        <v>3389</v>
      </c>
    </row>
    <row r="810" spans="1:2">
      <c r="A810" s="179" t="s">
        <v>3390</v>
      </c>
      <c r="B810" s="179" t="s">
        <v>3391</v>
      </c>
    </row>
    <row r="811" spans="1:2">
      <c r="A811" s="179" t="s">
        <v>3392</v>
      </c>
      <c r="B811" s="179" t="s">
        <v>3393</v>
      </c>
    </row>
    <row r="812" spans="1:2">
      <c r="A812" s="179" t="s">
        <v>3394</v>
      </c>
      <c r="B812" s="179" t="s">
        <v>3395</v>
      </c>
    </row>
    <row r="813" spans="1:2">
      <c r="A813" s="179" t="s">
        <v>3396</v>
      </c>
      <c r="B813" s="179" t="s">
        <v>3397</v>
      </c>
    </row>
    <row r="814" spans="1:2">
      <c r="A814" s="179" t="s">
        <v>3398</v>
      </c>
      <c r="B814" s="179" t="s">
        <v>3399</v>
      </c>
    </row>
    <row r="815" spans="1:2">
      <c r="A815" s="179" t="s">
        <v>3400</v>
      </c>
      <c r="B815" s="179" t="s">
        <v>3401</v>
      </c>
    </row>
    <row r="816" spans="1:2">
      <c r="A816" s="179" t="s">
        <v>3402</v>
      </c>
      <c r="B816" s="179" t="s">
        <v>3403</v>
      </c>
    </row>
    <row r="817" spans="1:2">
      <c r="A817" s="179" t="s">
        <v>3404</v>
      </c>
      <c r="B817" s="179" t="s">
        <v>3405</v>
      </c>
    </row>
    <row r="818" spans="1:2">
      <c r="A818" s="179" t="s">
        <v>3406</v>
      </c>
      <c r="B818" s="179" t="s">
        <v>3407</v>
      </c>
    </row>
    <row r="819" spans="1:2">
      <c r="A819" s="179" t="s">
        <v>3408</v>
      </c>
      <c r="B819" s="179" t="s">
        <v>3409</v>
      </c>
    </row>
    <row r="820" spans="1:2">
      <c r="A820" s="179" t="s">
        <v>3410</v>
      </c>
      <c r="B820" s="179" t="s">
        <v>3411</v>
      </c>
    </row>
    <row r="821" spans="1:2">
      <c r="A821" s="179" t="s">
        <v>3412</v>
      </c>
      <c r="B821" s="179" t="s">
        <v>3413</v>
      </c>
    </row>
    <row r="822" spans="1:2">
      <c r="A822" s="179" t="s">
        <v>3414</v>
      </c>
      <c r="B822" s="179" t="s">
        <v>3415</v>
      </c>
    </row>
    <row r="823" spans="1:2">
      <c r="A823" s="179" t="s">
        <v>3416</v>
      </c>
      <c r="B823" s="179" t="s">
        <v>3369</v>
      </c>
    </row>
    <row r="824" spans="1:2">
      <c r="A824" s="179" t="s">
        <v>3417</v>
      </c>
      <c r="B824" s="179" t="s">
        <v>3418</v>
      </c>
    </row>
    <row r="825" spans="1:2">
      <c r="A825" s="179" t="s">
        <v>3419</v>
      </c>
      <c r="B825" s="179" t="s">
        <v>3420</v>
      </c>
    </row>
    <row r="826" spans="1:2">
      <c r="A826" s="179" t="s">
        <v>3421</v>
      </c>
      <c r="B826" s="179" t="s">
        <v>3422</v>
      </c>
    </row>
    <row r="827" spans="1:2">
      <c r="A827" s="179" t="s">
        <v>3423</v>
      </c>
      <c r="B827" s="179" t="s">
        <v>3424</v>
      </c>
    </row>
    <row r="828" spans="1:2">
      <c r="A828" s="179" t="s">
        <v>3425</v>
      </c>
      <c r="B828" s="179" t="s">
        <v>3426</v>
      </c>
    </row>
    <row r="829" spans="1:2">
      <c r="A829" s="179" t="s">
        <v>3427</v>
      </c>
      <c r="B829" s="179" t="s">
        <v>3428</v>
      </c>
    </row>
    <row r="830" spans="1:2">
      <c r="A830" s="179" t="s">
        <v>3429</v>
      </c>
      <c r="B830" s="179" t="s">
        <v>3430</v>
      </c>
    </row>
    <row r="831" spans="1:2">
      <c r="A831" s="179" t="s">
        <v>3431</v>
      </c>
      <c r="B831" s="179" t="s">
        <v>3432</v>
      </c>
    </row>
    <row r="832" spans="1:2">
      <c r="A832" s="179" t="s">
        <v>3433</v>
      </c>
      <c r="B832" s="179" t="s">
        <v>3434</v>
      </c>
    </row>
    <row r="833" spans="1:2">
      <c r="A833" s="179" t="s">
        <v>3435</v>
      </c>
      <c r="B833" s="179" t="s">
        <v>3436</v>
      </c>
    </row>
    <row r="834" spans="1:2">
      <c r="A834" s="179" t="s">
        <v>3437</v>
      </c>
      <c r="B834" s="179" t="s">
        <v>3438</v>
      </c>
    </row>
    <row r="835" spans="1:2">
      <c r="A835" s="179" t="s">
        <v>3439</v>
      </c>
      <c r="B835" s="179" t="s">
        <v>3440</v>
      </c>
    </row>
    <row r="836" spans="1:2">
      <c r="A836" s="179" t="s">
        <v>3441</v>
      </c>
      <c r="B836" s="179" t="s">
        <v>3442</v>
      </c>
    </row>
    <row r="837" spans="1:2">
      <c r="A837" s="179" t="s">
        <v>3443</v>
      </c>
      <c r="B837" s="179" t="s">
        <v>3444</v>
      </c>
    </row>
    <row r="838" spans="1:2">
      <c r="A838" s="179" t="s">
        <v>3445</v>
      </c>
      <c r="B838" s="179" t="s">
        <v>3446</v>
      </c>
    </row>
    <row r="839" spans="1:2">
      <c r="A839" s="179" t="s">
        <v>3447</v>
      </c>
      <c r="B839" s="179" t="s">
        <v>3448</v>
      </c>
    </row>
    <row r="840" spans="1:2">
      <c r="A840" s="179" t="s">
        <v>3449</v>
      </c>
      <c r="B840" s="179" t="s">
        <v>3450</v>
      </c>
    </row>
    <row r="841" spans="1:2">
      <c r="A841" s="179" t="s">
        <v>3451</v>
      </c>
      <c r="B841" s="179" t="s">
        <v>3452</v>
      </c>
    </row>
    <row r="842" spans="1:2">
      <c r="A842" s="179" t="s">
        <v>3453</v>
      </c>
      <c r="B842" s="179" t="s">
        <v>3454</v>
      </c>
    </row>
    <row r="843" spans="1:2">
      <c r="A843" s="179" t="s">
        <v>3455</v>
      </c>
      <c r="B843" s="179" t="s">
        <v>3456</v>
      </c>
    </row>
    <row r="844" spans="1:2">
      <c r="A844" s="179" t="s">
        <v>3457</v>
      </c>
      <c r="B844" s="179" t="s">
        <v>3458</v>
      </c>
    </row>
    <row r="845" spans="1:2">
      <c r="A845" s="179" t="s">
        <v>3459</v>
      </c>
      <c r="B845" s="179" t="s">
        <v>3460</v>
      </c>
    </row>
    <row r="846" spans="1:2">
      <c r="A846" s="179" t="s">
        <v>3461</v>
      </c>
      <c r="B846" s="179" t="s">
        <v>3462</v>
      </c>
    </row>
    <row r="847" spans="1:2">
      <c r="A847" s="179" t="s">
        <v>3463</v>
      </c>
      <c r="B847" s="179" t="s">
        <v>3464</v>
      </c>
    </row>
    <row r="848" spans="1:2">
      <c r="A848" s="179" t="s">
        <v>3465</v>
      </c>
      <c r="B848" s="179" t="s">
        <v>3466</v>
      </c>
    </row>
    <row r="849" spans="1:2">
      <c r="A849" s="179" t="s">
        <v>3467</v>
      </c>
      <c r="B849" s="179" t="s">
        <v>3468</v>
      </c>
    </row>
    <row r="850" spans="1:2">
      <c r="A850" s="179" t="s">
        <v>3469</v>
      </c>
      <c r="B850" s="179" t="s">
        <v>3470</v>
      </c>
    </row>
    <row r="851" spans="1:2">
      <c r="A851" s="179" t="s">
        <v>3471</v>
      </c>
      <c r="B851" s="179" t="s">
        <v>3472</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
    <tabColor rgb="FF00B050"/>
  </sheetPr>
  <dimension ref="A1:M121"/>
  <sheetViews>
    <sheetView workbookViewId="0">
      <selection activeCell="F7" sqref="F7"/>
    </sheetView>
  </sheetViews>
  <sheetFormatPr defaultRowHeight="15"/>
  <cols>
    <col min="1" max="1" width="3.5546875" style="116" bestFit="1" customWidth="1"/>
    <col min="2" max="2" width="19.88671875" style="117" customWidth="1"/>
    <col min="3" max="3" width="20.6640625" style="117" bestFit="1" customWidth="1"/>
    <col min="4" max="4" width="11.44140625" style="116" bestFit="1" customWidth="1"/>
    <col min="5" max="5" width="11.109375" style="116" bestFit="1" customWidth="1"/>
    <col min="6" max="7" width="19.33203125" style="117" bestFit="1" customWidth="1"/>
    <col min="8" max="8" width="11.44140625" style="116" bestFit="1" customWidth="1"/>
    <col min="9" max="9" width="11.109375" style="116" bestFit="1" customWidth="1"/>
    <col min="10" max="10" width="19.33203125" style="117" bestFit="1" customWidth="1"/>
    <col min="11" max="11" width="41.21875" style="117" customWidth="1"/>
    <col min="12" max="12" width="35.77734375" style="117" bestFit="1" customWidth="1"/>
    <col min="13" max="13" width="4.44140625" style="116" bestFit="1" customWidth="1"/>
    <col min="14" max="16384" width="8.88671875" style="117"/>
  </cols>
  <sheetData>
    <row r="1" spans="1:13" s="116" customFormat="1" ht="28.5">
      <c r="A1" s="113" t="s">
        <v>21</v>
      </c>
      <c r="B1" s="113" t="s">
        <v>431</v>
      </c>
      <c r="C1" s="113" t="s">
        <v>432</v>
      </c>
      <c r="D1" s="114" t="s">
        <v>433</v>
      </c>
      <c r="E1" s="114" t="s">
        <v>434</v>
      </c>
      <c r="F1" s="115" t="s">
        <v>1079</v>
      </c>
      <c r="G1" s="115" t="s">
        <v>436</v>
      </c>
      <c r="H1" s="114" t="s">
        <v>437</v>
      </c>
      <c r="I1" s="114" t="s">
        <v>438</v>
      </c>
      <c r="J1" s="115" t="s">
        <v>439</v>
      </c>
      <c r="K1" s="113" t="s">
        <v>440</v>
      </c>
      <c r="L1" s="113" t="s">
        <v>441</v>
      </c>
      <c r="M1" s="113" t="s">
        <v>442</v>
      </c>
    </row>
    <row r="2" spans="1:13" ht="60">
      <c r="A2" s="193">
        <v>1</v>
      </c>
      <c r="B2" s="194" t="s">
        <v>5770</v>
      </c>
      <c r="C2" s="194" t="s">
        <v>5932</v>
      </c>
      <c r="D2" s="193" t="s">
        <v>5886</v>
      </c>
      <c r="E2" s="193" t="s">
        <v>5887</v>
      </c>
      <c r="F2" s="194" t="s">
        <v>5790</v>
      </c>
      <c r="G2" s="194" t="s">
        <v>5790</v>
      </c>
      <c r="H2" s="193" t="s">
        <v>5883</v>
      </c>
      <c r="I2" s="193" t="s">
        <v>5884</v>
      </c>
      <c r="J2" s="194" t="s">
        <v>5791</v>
      </c>
      <c r="K2" s="194" t="s">
        <v>5460</v>
      </c>
      <c r="L2" s="194"/>
      <c r="M2" s="193">
        <v>1</v>
      </c>
    </row>
    <row r="3" spans="1:13" ht="75">
      <c r="A3" s="118">
        <v>2</v>
      </c>
      <c r="B3" s="119" t="s">
        <v>5952</v>
      </c>
      <c r="C3" s="119" t="s">
        <v>5932</v>
      </c>
      <c r="D3" s="118" t="s">
        <v>5886</v>
      </c>
      <c r="E3" s="118" t="s">
        <v>5887</v>
      </c>
      <c r="F3" s="119" t="s">
        <v>5799</v>
      </c>
      <c r="G3" s="119" t="s">
        <v>5799</v>
      </c>
      <c r="H3" s="118" t="s">
        <v>5883</v>
      </c>
      <c r="I3" s="118" t="s">
        <v>5884</v>
      </c>
      <c r="J3" s="119" t="s">
        <v>5798</v>
      </c>
      <c r="K3" s="119" t="s">
        <v>5966</v>
      </c>
      <c r="L3" s="119" t="s">
        <v>5967</v>
      </c>
      <c r="M3" s="118">
        <v>4</v>
      </c>
    </row>
    <row r="4" spans="1:13" ht="75">
      <c r="A4" s="118">
        <v>3</v>
      </c>
      <c r="B4" s="119" t="s">
        <v>5772</v>
      </c>
      <c r="C4" s="119" t="s">
        <v>5932</v>
      </c>
      <c r="D4" s="118" t="s">
        <v>5886</v>
      </c>
      <c r="E4" s="118" t="s">
        <v>5887</v>
      </c>
      <c r="F4" s="119" t="s">
        <v>5798</v>
      </c>
      <c r="G4" s="119" t="s">
        <v>5798</v>
      </c>
      <c r="H4" s="118" t="s">
        <v>5883</v>
      </c>
      <c r="I4" s="118" t="s">
        <v>5884</v>
      </c>
      <c r="J4" s="119" t="s">
        <v>5792</v>
      </c>
      <c r="K4" s="119" t="s">
        <v>5463</v>
      </c>
      <c r="L4" s="119"/>
      <c r="M4" s="118">
        <v>5</v>
      </c>
    </row>
    <row r="5" spans="1:13" ht="75">
      <c r="A5" s="118">
        <v>4</v>
      </c>
      <c r="B5" s="119" t="s">
        <v>5775</v>
      </c>
      <c r="C5" s="119" t="s">
        <v>5932</v>
      </c>
      <c r="D5" s="118" t="s">
        <v>5886</v>
      </c>
      <c r="E5" s="118" t="s">
        <v>5887</v>
      </c>
      <c r="F5" s="119" t="s">
        <v>5792</v>
      </c>
      <c r="G5" s="119" t="s">
        <v>5792</v>
      </c>
      <c r="H5" s="118" t="s">
        <v>5883</v>
      </c>
      <c r="I5" s="118" t="s">
        <v>5884</v>
      </c>
      <c r="J5" s="119" t="s">
        <v>5793</v>
      </c>
      <c r="K5" s="119" t="s">
        <v>5463</v>
      </c>
      <c r="L5" s="119"/>
      <c r="M5" s="118">
        <v>6</v>
      </c>
    </row>
    <row r="6" spans="1:13" ht="75">
      <c r="A6" s="118">
        <v>5</v>
      </c>
      <c r="B6" s="119" t="s">
        <v>5953</v>
      </c>
      <c r="C6" s="119" t="s">
        <v>5932</v>
      </c>
      <c r="D6" s="118" t="s">
        <v>5886</v>
      </c>
      <c r="E6" s="118" t="s">
        <v>5887</v>
      </c>
      <c r="F6" s="119" t="s">
        <v>5797</v>
      </c>
      <c r="G6" s="119" t="s">
        <v>5797</v>
      </c>
      <c r="H6" s="118" t="s">
        <v>5883</v>
      </c>
      <c r="I6" s="118" t="s">
        <v>5884</v>
      </c>
      <c r="J6" s="119" t="s">
        <v>5869</v>
      </c>
      <c r="K6" s="119" t="s">
        <v>5463</v>
      </c>
      <c r="L6" s="119" t="s">
        <v>5461</v>
      </c>
      <c r="M6" s="118">
        <v>13</v>
      </c>
    </row>
    <row r="7" spans="1:13" ht="60">
      <c r="A7" s="118">
        <v>6</v>
      </c>
      <c r="B7" s="119" t="s">
        <v>5943</v>
      </c>
      <c r="C7" s="119" t="s">
        <v>5932</v>
      </c>
      <c r="D7" s="118" t="s">
        <v>5886</v>
      </c>
      <c r="E7" s="118" t="s">
        <v>5887</v>
      </c>
      <c r="F7" s="119" t="s">
        <v>5968</v>
      </c>
      <c r="G7" s="119" t="s">
        <v>5968</v>
      </c>
      <c r="H7" s="118" t="s">
        <v>5883</v>
      </c>
      <c r="I7" s="118" t="s">
        <v>5884</v>
      </c>
      <c r="J7" s="119" t="s">
        <v>5874</v>
      </c>
      <c r="K7" s="119" t="s">
        <v>5460</v>
      </c>
      <c r="L7" s="119" t="s">
        <v>5462</v>
      </c>
      <c r="M7" s="118">
        <v>16</v>
      </c>
    </row>
    <row r="8" spans="1:13" ht="60">
      <c r="A8" s="118">
        <v>7</v>
      </c>
      <c r="B8" s="119" t="s">
        <v>5770</v>
      </c>
      <c r="C8" s="119" t="s">
        <v>5944</v>
      </c>
      <c r="D8" s="118" t="s">
        <v>5886</v>
      </c>
      <c r="E8" s="118" t="s">
        <v>5887</v>
      </c>
      <c r="F8" s="119" t="s">
        <v>5969</v>
      </c>
      <c r="G8" s="119" t="s">
        <v>5969</v>
      </c>
      <c r="H8" s="118" t="s">
        <v>5883</v>
      </c>
      <c r="I8" s="118" t="s">
        <v>5884</v>
      </c>
      <c r="J8" s="119" t="s">
        <v>5788</v>
      </c>
      <c r="K8" s="119" t="s">
        <v>5460</v>
      </c>
      <c r="L8" s="119"/>
      <c r="M8" s="118">
        <v>2</v>
      </c>
    </row>
    <row r="9" spans="1:13" ht="75">
      <c r="A9" s="118">
        <v>8</v>
      </c>
      <c r="B9" s="119" t="s">
        <v>5952</v>
      </c>
      <c r="C9" s="119" t="s">
        <v>5944</v>
      </c>
      <c r="D9" s="118" t="s">
        <v>6218</v>
      </c>
      <c r="E9" s="118" t="s">
        <v>6219</v>
      </c>
      <c r="F9" s="119" t="s">
        <v>5792</v>
      </c>
      <c r="G9" s="119" t="s">
        <v>5792</v>
      </c>
      <c r="H9" s="118" t="s">
        <v>6275</v>
      </c>
      <c r="I9" s="118" t="s">
        <v>6276</v>
      </c>
      <c r="J9" s="119" t="s">
        <v>5793</v>
      </c>
      <c r="K9" s="119" t="s">
        <v>5966</v>
      </c>
      <c r="L9" s="119" t="s">
        <v>5967</v>
      </c>
      <c r="M9" s="118">
        <v>7</v>
      </c>
    </row>
    <row r="10" spans="1:13" ht="75">
      <c r="A10" s="118">
        <v>9</v>
      </c>
      <c r="B10" s="119" t="s">
        <v>5772</v>
      </c>
      <c r="C10" s="119" t="s">
        <v>5944</v>
      </c>
      <c r="D10" s="118" t="s">
        <v>5886</v>
      </c>
      <c r="E10" s="118" t="s">
        <v>5887</v>
      </c>
      <c r="F10" s="119" t="s">
        <v>5793</v>
      </c>
      <c r="G10" s="119" t="s">
        <v>5793</v>
      </c>
      <c r="H10" s="118" t="s">
        <v>5883</v>
      </c>
      <c r="I10" s="118" t="s">
        <v>5884</v>
      </c>
      <c r="J10" s="119" t="s">
        <v>5872</v>
      </c>
      <c r="K10" s="119" t="s">
        <v>5463</v>
      </c>
      <c r="L10" s="119"/>
      <c r="M10" s="118">
        <v>8</v>
      </c>
    </row>
    <row r="11" spans="1:13" ht="75">
      <c r="A11" s="118">
        <v>10</v>
      </c>
      <c r="B11" s="119" t="s">
        <v>5775</v>
      </c>
      <c r="C11" s="119" t="s">
        <v>5944</v>
      </c>
      <c r="D11" s="118" t="s">
        <v>5886</v>
      </c>
      <c r="E11" s="118" t="s">
        <v>5887</v>
      </c>
      <c r="F11" s="119" t="s">
        <v>5872</v>
      </c>
      <c r="G11" s="119" t="s">
        <v>5872</v>
      </c>
      <c r="H11" s="118" t="s">
        <v>5883</v>
      </c>
      <c r="I11" s="118" t="s">
        <v>5884</v>
      </c>
      <c r="J11" s="119" t="s">
        <v>5796</v>
      </c>
      <c r="K11" s="119" t="s">
        <v>5463</v>
      </c>
      <c r="L11" s="119"/>
      <c r="M11" s="118">
        <v>9</v>
      </c>
    </row>
    <row r="12" spans="1:13" ht="75">
      <c r="A12" s="118">
        <v>11</v>
      </c>
      <c r="B12" s="119" t="s">
        <v>5953</v>
      </c>
      <c r="C12" s="119" t="s">
        <v>5944</v>
      </c>
      <c r="D12" s="118" t="s">
        <v>5886</v>
      </c>
      <c r="E12" s="118" t="s">
        <v>5887</v>
      </c>
      <c r="F12" s="119" t="s">
        <v>5970</v>
      </c>
      <c r="G12" s="119" t="s">
        <v>5970</v>
      </c>
      <c r="H12" s="118" t="s">
        <v>5883</v>
      </c>
      <c r="I12" s="118" t="s">
        <v>5884</v>
      </c>
      <c r="J12" s="119" t="s">
        <v>5800</v>
      </c>
      <c r="K12" s="119" t="s">
        <v>5463</v>
      </c>
      <c r="L12" s="119" t="s">
        <v>5461</v>
      </c>
      <c r="M12" s="118">
        <v>14</v>
      </c>
    </row>
    <row r="13" spans="1:13" ht="60">
      <c r="A13" s="118">
        <v>12</v>
      </c>
      <c r="B13" s="119" t="s">
        <v>5943</v>
      </c>
      <c r="C13" s="119" t="s">
        <v>5944</v>
      </c>
      <c r="D13" s="118" t="s">
        <v>5886</v>
      </c>
      <c r="E13" s="118" t="s">
        <v>5887</v>
      </c>
      <c r="F13" s="119" t="s">
        <v>5875</v>
      </c>
      <c r="G13" s="119" t="s">
        <v>5875</v>
      </c>
      <c r="H13" s="118" t="s">
        <v>5883</v>
      </c>
      <c r="I13" s="118" t="s">
        <v>5884</v>
      </c>
      <c r="J13" s="119" t="s">
        <v>5870</v>
      </c>
      <c r="K13" s="119" t="s">
        <v>5460</v>
      </c>
      <c r="L13" s="119" t="s">
        <v>5462</v>
      </c>
      <c r="M13" s="118">
        <v>17</v>
      </c>
    </row>
    <row r="14" spans="1:13" ht="60">
      <c r="A14" s="118">
        <v>13</v>
      </c>
      <c r="B14" s="119" t="s">
        <v>5770</v>
      </c>
      <c r="C14" s="119" t="s">
        <v>5949</v>
      </c>
      <c r="D14" s="118" t="s">
        <v>5886</v>
      </c>
      <c r="E14" s="118" t="s">
        <v>5887</v>
      </c>
      <c r="F14" s="119" t="s">
        <v>5789</v>
      </c>
      <c r="G14" s="119" t="s">
        <v>5789</v>
      </c>
      <c r="H14" s="118" t="s">
        <v>5883</v>
      </c>
      <c r="I14" s="118" t="s">
        <v>5884</v>
      </c>
      <c r="J14" s="119" t="s">
        <v>5971</v>
      </c>
      <c r="K14" s="119" t="s">
        <v>5460</v>
      </c>
      <c r="L14" s="119"/>
      <c r="M14" s="118">
        <v>3</v>
      </c>
    </row>
    <row r="15" spans="1:13" ht="75">
      <c r="A15" s="118">
        <v>14</v>
      </c>
      <c r="B15" s="119" t="s">
        <v>5952</v>
      </c>
      <c r="C15" s="119" t="s">
        <v>5949</v>
      </c>
      <c r="D15" s="118" t="s">
        <v>6218</v>
      </c>
      <c r="E15" s="118" t="s">
        <v>6219</v>
      </c>
      <c r="F15" s="119" t="s">
        <v>5872</v>
      </c>
      <c r="G15" s="119" t="s">
        <v>5872</v>
      </c>
      <c r="H15" s="118" t="s">
        <v>6275</v>
      </c>
      <c r="I15" s="118" t="s">
        <v>6276</v>
      </c>
      <c r="J15" s="119" t="s">
        <v>5796</v>
      </c>
      <c r="K15" s="119" t="s">
        <v>5966</v>
      </c>
      <c r="L15" s="119" t="s">
        <v>5967</v>
      </c>
      <c r="M15" s="118">
        <v>10</v>
      </c>
    </row>
    <row r="16" spans="1:13" ht="75">
      <c r="A16" s="118">
        <v>15</v>
      </c>
      <c r="B16" s="119" t="s">
        <v>5772</v>
      </c>
      <c r="C16" s="119" t="s">
        <v>5949</v>
      </c>
      <c r="D16" s="118" t="s">
        <v>5886</v>
      </c>
      <c r="E16" s="118" t="s">
        <v>5887</v>
      </c>
      <c r="F16" s="119" t="s">
        <v>5796</v>
      </c>
      <c r="G16" s="119" t="s">
        <v>5796</v>
      </c>
      <c r="H16" s="118" t="s">
        <v>5883</v>
      </c>
      <c r="I16" s="118" t="s">
        <v>5884</v>
      </c>
      <c r="J16" s="119" t="s">
        <v>5794</v>
      </c>
      <c r="K16" s="119" t="s">
        <v>5463</v>
      </c>
      <c r="L16" s="119"/>
      <c r="M16" s="118">
        <v>11</v>
      </c>
    </row>
    <row r="17" spans="1:13" ht="75">
      <c r="A17" s="118">
        <v>16</v>
      </c>
      <c r="B17" s="119" t="s">
        <v>5775</v>
      </c>
      <c r="C17" s="119" t="s">
        <v>5949</v>
      </c>
      <c r="D17" s="118" t="s">
        <v>5886</v>
      </c>
      <c r="E17" s="118" t="s">
        <v>5887</v>
      </c>
      <c r="F17" s="119" t="s">
        <v>5794</v>
      </c>
      <c r="G17" s="119" t="s">
        <v>5794</v>
      </c>
      <c r="H17" s="118" t="s">
        <v>5883</v>
      </c>
      <c r="I17" s="118" t="s">
        <v>5884</v>
      </c>
      <c r="J17" s="119" t="s">
        <v>5795</v>
      </c>
      <c r="K17" s="119" t="s">
        <v>5463</v>
      </c>
      <c r="L17" s="119"/>
      <c r="M17" s="118">
        <v>12</v>
      </c>
    </row>
    <row r="18" spans="1:13" ht="75">
      <c r="A18" s="118">
        <v>17</v>
      </c>
      <c r="B18" s="119" t="s">
        <v>5953</v>
      </c>
      <c r="C18" s="119" t="s">
        <v>5949</v>
      </c>
      <c r="D18" s="118" t="s">
        <v>5886</v>
      </c>
      <c r="E18" s="118" t="s">
        <v>5887</v>
      </c>
      <c r="F18" s="119" t="s">
        <v>5801</v>
      </c>
      <c r="G18" s="119" t="s">
        <v>5801</v>
      </c>
      <c r="H18" s="118" t="s">
        <v>5883</v>
      </c>
      <c r="I18" s="118" t="s">
        <v>5884</v>
      </c>
      <c r="J18" s="119" t="s">
        <v>5968</v>
      </c>
      <c r="K18" s="119" t="s">
        <v>5463</v>
      </c>
      <c r="L18" s="119" t="s">
        <v>5461</v>
      </c>
      <c r="M18" s="118">
        <v>15</v>
      </c>
    </row>
    <row r="19" spans="1:13" ht="60">
      <c r="A19" s="195">
        <v>18</v>
      </c>
      <c r="B19" s="196" t="s">
        <v>5943</v>
      </c>
      <c r="C19" s="196" t="s">
        <v>5949</v>
      </c>
      <c r="D19" s="195" t="s">
        <v>5886</v>
      </c>
      <c r="E19" s="195" t="s">
        <v>5887</v>
      </c>
      <c r="F19" s="196" t="s">
        <v>5871</v>
      </c>
      <c r="G19" s="196" t="s">
        <v>5871</v>
      </c>
      <c r="H19" s="195" t="s">
        <v>5883</v>
      </c>
      <c r="I19" s="195" t="s">
        <v>5884</v>
      </c>
      <c r="J19" s="196" t="s">
        <v>5972</v>
      </c>
      <c r="K19" s="196" t="s">
        <v>5460</v>
      </c>
      <c r="L19" s="196" t="s">
        <v>5462</v>
      </c>
      <c r="M19" s="195">
        <v>18</v>
      </c>
    </row>
    <row r="20" spans="1:13">
      <c r="A20" s="1196"/>
      <c r="B20" s="1197"/>
      <c r="C20" s="1197"/>
      <c r="D20" s="1196"/>
      <c r="E20" s="1196"/>
      <c r="F20" s="1197"/>
      <c r="G20" s="1197"/>
      <c r="H20" s="1196"/>
      <c r="I20" s="1196"/>
      <c r="J20" s="1197"/>
      <c r="K20" s="1197"/>
      <c r="L20" s="1197"/>
      <c r="M20" s="1196"/>
    </row>
    <row r="21" spans="1:13">
      <c r="A21" s="1196"/>
      <c r="B21" s="1197"/>
      <c r="C21" s="1197"/>
      <c r="D21" s="1196"/>
      <c r="E21" s="1196"/>
      <c r="F21" s="1197"/>
      <c r="G21" s="1197"/>
      <c r="H21" s="1196"/>
      <c r="I21" s="1196"/>
      <c r="J21" s="1197"/>
      <c r="K21" s="1197"/>
      <c r="L21" s="1197"/>
      <c r="M21" s="1196"/>
    </row>
    <row r="22" spans="1:13">
      <c r="A22" s="1196"/>
      <c r="B22" s="1197"/>
      <c r="C22" s="1197"/>
      <c r="D22" s="1196"/>
      <c r="E22" s="1196"/>
      <c r="F22" s="1197"/>
      <c r="G22" s="1197"/>
      <c r="H22" s="1196"/>
      <c r="I22" s="1196"/>
      <c r="J22" s="1197"/>
      <c r="K22" s="1197"/>
      <c r="L22" s="1197"/>
      <c r="M22" s="1196"/>
    </row>
    <row r="23" spans="1:13">
      <c r="A23" s="1196"/>
      <c r="B23" s="1197"/>
      <c r="C23" s="1197"/>
      <c r="D23" s="1196"/>
      <c r="E23" s="1196"/>
      <c r="F23" s="1197"/>
      <c r="G23" s="1197"/>
      <c r="H23" s="1196"/>
      <c r="I23" s="1196"/>
      <c r="J23" s="1197"/>
      <c r="K23" s="1197"/>
      <c r="L23" s="1197"/>
      <c r="M23" s="1196"/>
    </row>
    <row r="24" spans="1:13">
      <c r="A24" s="1196"/>
      <c r="B24" s="1197"/>
      <c r="C24" s="1197"/>
      <c r="D24" s="1196"/>
      <c r="E24" s="1196"/>
      <c r="F24" s="1197"/>
      <c r="G24" s="1197"/>
      <c r="H24" s="1196"/>
      <c r="I24" s="1196"/>
      <c r="J24" s="1197"/>
      <c r="K24" s="1197"/>
      <c r="L24" s="1197"/>
      <c r="M24" s="1196"/>
    </row>
    <row r="25" spans="1:13">
      <c r="A25" s="1196"/>
      <c r="B25" s="1197"/>
      <c r="C25" s="1197"/>
      <c r="D25" s="1196"/>
      <c r="E25" s="1196"/>
      <c r="F25" s="1197"/>
      <c r="G25" s="1197"/>
      <c r="H25" s="1196"/>
      <c r="I25" s="1196"/>
      <c r="J25" s="1197"/>
      <c r="K25" s="1197"/>
      <c r="L25" s="1197"/>
      <c r="M25" s="1196"/>
    </row>
    <row r="26" spans="1:13">
      <c r="A26" s="1196"/>
      <c r="B26" s="1197"/>
      <c r="C26" s="1197"/>
      <c r="D26" s="1196"/>
      <c r="E26" s="1196"/>
      <c r="F26" s="1197"/>
      <c r="G26" s="1197"/>
      <c r="H26" s="1196"/>
      <c r="I26" s="1196"/>
      <c r="J26" s="1197"/>
      <c r="K26" s="1197"/>
      <c r="L26" s="1197"/>
      <c r="M26" s="1196"/>
    </row>
    <row r="27" spans="1:13">
      <c r="A27" s="1196"/>
      <c r="B27" s="1197"/>
      <c r="C27" s="1197"/>
      <c r="D27" s="1196"/>
      <c r="E27" s="1196"/>
      <c r="F27" s="1197"/>
      <c r="G27" s="1197"/>
      <c r="H27" s="1196"/>
      <c r="I27" s="1196"/>
      <c r="J27" s="1197"/>
      <c r="K27" s="1197"/>
      <c r="L27" s="1197"/>
      <c r="M27" s="1196"/>
    </row>
    <row r="28" spans="1:13">
      <c r="A28" s="1196"/>
      <c r="B28" s="1197"/>
      <c r="C28" s="1197"/>
      <c r="D28" s="1196"/>
      <c r="E28" s="1196"/>
      <c r="F28" s="1197"/>
      <c r="G28" s="1197"/>
      <c r="H28" s="1196"/>
      <c r="I28" s="1196"/>
      <c r="J28" s="1197"/>
      <c r="K28" s="1197"/>
      <c r="L28" s="1197"/>
      <c r="M28" s="1196"/>
    </row>
    <row r="29" spans="1:13">
      <c r="A29" s="1196"/>
      <c r="B29" s="1197"/>
      <c r="C29" s="1197"/>
      <c r="D29" s="1196"/>
      <c r="E29" s="1196"/>
      <c r="F29" s="1197"/>
      <c r="G29" s="1197"/>
      <c r="H29" s="1196"/>
      <c r="I29" s="1196"/>
      <c r="J29" s="1197"/>
      <c r="K29" s="1197"/>
      <c r="L29" s="1197"/>
      <c r="M29" s="1196"/>
    </row>
    <row r="30" spans="1:13">
      <c r="A30" s="1196"/>
      <c r="B30" s="1197"/>
      <c r="C30" s="1197"/>
      <c r="D30" s="1196"/>
      <c r="E30" s="1196"/>
      <c r="F30" s="1197"/>
      <c r="G30" s="1197"/>
      <c r="H30" s="1196"/>
      <c r="I30" s="1196"/>
      <c r="J30" s="1197"/>
      <c r="K30" s="1197"/>
      <c r="L30" s="1197"/>
      <c r="M30" s="1196"/>
    </row>
    <row r="31" spans="1:13">
      <c r="A31" s="1196"/>
      <c r="B31" s="1197"/>
      <c r="C31" s="1197"/>
      <c r="D31" s="1196"/>
      <c r="E31" s="1196"/>
      <c r="F31" s="1197"/>
      <c r="G31" s="1197"/>
      <c r="H31" s="1196"/>
      <c r="I31" s="1196"/>
      <c r="J31" s="1197"/>
      <c r="K31" s="1197"/>
      <c r="L31" s="1197"/>
      <c r="M31" s="1196"/>
    </row>
    <row r="32" spans="1:13">
      <c r="A32" s="1196"/>
      <c r="B32" s="1197"/>
      <c r="C32" s="1197"/>
      <c r="D32" s="1196"/>
      <c r="E32" s="1196"/>
      <c r="F32" s="1197"/>
      <c r="G32" s="1197"/>
      <c r="H32" s="1196"/>
      <c r="I32" s="1196"/>
      <c r="J32" s="1197"/>
      <c r="K32" s="1197"/>
      <c r="L32" s="1197"/>
      <c r="M32" s="1196"/>
    </row>
    <row r="33" spans="1:13">
      <c r="A33" s="1196"/>
      <c r="B33" s="1197"/>
      <c r="C33" s="1197"/>
      <c r="D33" s="1196"/>
      <c r="E33" s="1196"/>
      <c r="F33" s="1197"/>
      <c r="G33" s="1197"/>
      <c r="H33" s="1196"/>
      <c r="I33" s="1196"/>
      <c r="J33" s="1197"/>
      <c r="K33" s="1197"/>
      <c r="L33" s="1197"/>
      <c r="M33" s="1196"/>
    </row>
    <row r="34" spans="1:13">
      <c r="A34" s="1196"/>
      <c r="B34" s="1197"/>
      <c r="C34" s="1197"/>
      <c r="D34" s="1196"/>
      <c r="E34" s="1196"/>
      <c r="F34" s="1197"/>
      <c r="G34" s="1197"/>
      <c r="H34" s="1196"/>
      <c r="I34" s="1196"/>
      <c r="J34" s="1197"/>
      <c r="K34" s="1197"/>
      <c r="L34" s="1197"/>
      <c r="M34" s="1196"/>
    </row>
    <row r="35" spans="1:13">
      <c r="A35" s="1196"/>
      <c r="B35" s="1197"/>
      <c r="C35" s="1197"/>
      <c r="D35" s="1196"/>
      <c r="E35" s="1196"/>
      <c r="F35" s="1197"/>
      <c r="G35" s="1197"/>
      <c r="H35" s="1196"/>
      <c r="I35" s="1196"/>
      <c r="J35" s="1197"/>
      <c r="K35" s="1197"/>
      <c r="L35" s="1197"/>
      <c r="M35" s="1196"/>
    </row>
    <row r="36" spans="1:13">
      <c r="A36" s="1196"/>
      <c r="B36" s="1197"/>
      <c r="C36" s="1197"/>
      <c r="D36" s="1196"/>
      <c r="E36" s="1196"/>
      <c r="F36" s="1197"/>
      <c r="G36" s="1197"/>
      <c r="H36" s="1196"/>
      <c r="I36" s="1196"/>
      <c r="J36" s="1197"/>
      <c r="K36" s="1197"/>
      <c r="L36" s="1197"/>
      <c r="M36" s="1196"/>
    </row>
    <row r="37" spans="1:13">
      <c r="A37" s="1196"/>
      <c r="B37" s="1197"/>
      <c r="C37" s="1197"/>
      <c r="D37" s="1196"/>
      <c r="E37" s="1196"/>
      <c r="F37" s="1197"/>
      <c r="G37" s="1197"/>
      <c r="H37" s="1196"/>
      <c r="I37" s="1196"/>
      <c r="J37" s="1197"/>
      <c r="K37" s="1197"/>
      <c r="L37" s="1197"/>
      <c r="M37" s="1196"/>
    </row>
    <row r="38" spans="1:13">
      <c r="A38" s="1196"/>
      <c r="B38" s="1197"/>
      <c r="C38" s="1197"/>
      <c r="D38" s="1196"/>
      <c r="E38" s="1196"/>
      <c r="F38" s="1197"/>
      <c r="G38" s="1197"/>
      <c r="H38" s="1196"/>
      <c r="I38" s="1196"/>
      <c r="J38" s="1197"/>
      <c r="K38" s="1197"/>
      <c r="L38" s="1197"/>
      <c r="M38" s="1196"/>
    </row>
    <row r="39" spans="1:13">
      <c r="A39" s="1196"/>
      <c r="B39" s="1197"/>
      <c r="C39" s="1197"/>
      <c r="D39" s="1196"/>
      <c r="E39" s="1196"/>
      <c r="F39" s="1197"/>
      <c r="G39" s="1197"/>
      <c r="H39" s="1196"/>
      <c r="I39" s="1196"/>
      <c r="J39" s="1197"/>
      <c r="K39" s="1197"/>
      <c r="L39" s="1197"/>
      <c r="M39" s="1196"/>
    </row>
    <row r="40" spans="1:13">
      <c r="A40" s="1196"/>
      <c r="B40" s="1197"/>
      <c r="C40" s="1197"/>
      <c r="D40" s="1196"/>
      <c r="E40" s="1196"/>
      <c r="F40" s="1197"/>
      <c r="G40" s="1197"/>
      <c r="H40" s="1196"/>
      <c r="I40" s="1196"/>
      <c r="J40" s="1197"/>
      <c r="K40" s="1197"/>
      <c r="L40" s="1197"/>
      <c r="M40" s="1196"/>
    </row>
    <row r="41" spans="1:13">
      <c r="A41" s="1196"/>
      <c r="B41" s="1197"/>
      <c r="C41" s="1197"/>
      <c r="D41" s="1196"/>
      <c r="E41" s="1196"/>
      <c r="F41" s="1197"/>
      <c r="G41" s="1197"/>
      <c r="H41" s="1196"/>
      <c r="I41" s="1196"/>
      <c r="J41" s="1197"/>
      <c r="K41" s="1197"/>
      <c r="L41" s="1197"/>
      <c r="M41" s="1196"/>
    </row>
    <row r="42" spans="1:13">
      <c r="A42" s="1196"/>
      <c r="B42" s="1197"/>
      <c r="C42" s="1197"/>
      <c r="D42" s="1196"/>
      <c r="E42" s="1196"/>
      <c r="F42" s="1197"/>
      <c r="G42" s="1197"/>
      <c r="H42" s="1196"/>
      <c r="I42" s="1196"/>
      <c r="J42" s="1197"/>
      <c r="K42" s="1197"/>
      <c r="L42" s="1197"/>
      <c r="M42" s="1196"/>
    </row>
    <row r="43" spans="1:13">
      <c r="A43" s="1196"/>
      <c r="B43" s="1197"/>
      <c r="C43" s="1197"/>
      <c r="D43" s="1196"/>
      <c r="E43" s="1196"/>
      <c r="F43" s="1197"/>
      <c r="G43" s="1197"/>
      <c r="H43" s="1196"/>
      <c r="I43" s="1196"/>
      <c r="J43" s="1197"/>
      <c r="K43" s="1197"/>
      <c r="L43" s="1197"/>
      <c r="M43" s="1196"/>
    </row>
    <row r="44" spans="1:13">
      <c r="A44" s="1196"/>
      <c r="B44" s="1197"/>
      <c r="C44" s="1197"/>
      <c r="D44" s="1196"/>
      <c r="E44" s="1196"/>
      <c r="F44" s="1197"/>
      <c r="G44" s="1197"/>
      <c r="H44" s="1196"/>
      <c r="I44" s="1196"/>
      <c r="J44" s="1197"/>
      <c r="K44" s="1197"/>
      <c r="L44" s="1197"/>
      <c r="M44" s="1196"/>
    </row>
    <row r="45" spans="1:13">
      <c r="A45" s="1196"/>
      <c r="B45" s="1197"/>
      <c r="C45" s="1197"/>
      <c r="D45" s="1196"/>
      <c r="E45" s="1196"/>
      <c r="F45" s="1197"/>
      <c r="G45" s="1197"/>
      <c r="H45" s="1196"/>
      <c r="I45" s="1196"/>
      <c r="J45" s="1197"/>
      <c r="K45" s="1197"/>
      <c r="L45" s="1197"/>
      <c r="M45" s="1196"/>
    </row>
    <row r="46" spans="1:13">
      <c r="A46" s="1196"/>
      <c r="B46" s="1197"/>
      <c r="C46" s="1197"/>
      <c r="D46" s="1196"/>
      <c r="E46" s="1196"/>
      <c r="F46" s="1197"/>
      <c r="G46" s="1197"/>
      <c r="H46" s="1196"/>
      <c r="I46" s="1196"/>
      <c r="J46" s="1197"/>
      <c r="K46" s="1197"/>
      <c r="L46" s="1197"/>
      <c r="M46" s="1196"/>
    </row>
    <row r="47" spans="1:13">
      <c r="A47" s="1196"/>
      <c r="B47" s="1197"/>
      <c r="C47" s="1197"/>
      <c r="D47" s="1196"/>
      <c r="E47" s="1196"/>
      <c r="F47" s="1197"/>
      <c r="G47" s="1197"/>
      <c r="H47" s="1196"/>
      <c r="I47" s="1196"/>
      <c r="J47" s="1197"/>
      <c r="K47" s="1197"/>
      <c r="L47" s="1197"/>
      <c r="M47" s="1196"/>
    </row>
    <row r="48" spans="1:13">
      <c r="A48" s="1196"/>
      <c r="B48" s="1197"/>
      <c r="C48" s="1197"/>
      <c r="D48" s="1196"/>
      <c r="E48" s="1196"/>
      <c r="F48" s="1197"/>
      <c r="G48" s="1197"/>
      <c r="H48" s="1196"/>
      <c r="I48" s="1196"/>
      <c r="J48" s="1197"/>
      <c r="K48" s="1197"/>
      <c r="L48" s="1197"/>
      <c r="M48" s="1196"/>
    </row>
    <row r="49" spans="1:13">
      <c r="A49" s="1196"/>
      <c r="B49" s="1197"/>
      <c r="C49" s="1197"/>
      <c r="D49" s="1196"/>
      <c r="E49" s="1196"/>
      <c r="F49" s="1197"/>
      <c r="G49" s="1197"/>
      <c r="H49" s="1196"/>
      <c r="I49" s="1196"/>
      <c r="J49" s="1197"/>
      <c r="K49" s="1197"/>
      <c r="L49" s="1197"/>
      <c r="M49" s="1196"/>
    </row>
    <row r="50" spans="1:13">
      <c r="A50" s="1196"/>
      <c r="B50" s="1197"/>
      <c r="C50" s="1197"/>
      <c r="D50" s="1196"/>
      <c r="E50" s="1196"/>
      <c r="F50" s="1197"/>
      <c r="G50" s="1197"/>
      <c r="H50" s="1196"/>
      <c r="I50" s="1196"/>
      <c r="J50" s="1197"/>
      <c r="K50" s="1197"/>
      <c r="L50" s="1197"/>
      <c r="M50" s="1196"/>
    </row>
    <row r="51" spans="1:13">
      <c r="A51" s="1196"/>
      <c r="B51" s="1197"/>
      <c r="C51" s="1197"/>
      <c r="D51" s="1196"/>
      <c r="E51" s="1196"/>
      <c r="F51" s="1197"/>
      <c r="G51" s="1197"/>
      <c r="H51" s="1196"/>
      <c r="I51" s="1196"/>
      <c r="J51" s="1197"/>
      <c r="K51" s="1197"/>
      <c r="L51" s="1197"/>
      <c r="M51" s="1196"/>
    </row>
    <row r="52" spans="1:13">
      <c r="A52" s="1196"/>
      <c r="B52" s="1197"/>
      <c r="C52" s="1197"/>
      <c r="D52" s="1196"/>
      <c r="E52" s="1196"/>
      <c r="F52" s="1197"/>
      <c r="G52" s="1197"/>
      <c r="H52" s="1196"/>
      <c r="I52" s="1196"/>
      <c r="J52" s="1197"/>
      <c r="K52" s="1197"/>
      <c r="L52" s="1197"/>
      <c r="M52" s="1196"/>
    </row>
    <row r="53" spans="1:13">
      <c r="A53" s="1196"/>
      <c r="B53" s="1197"/>
      <c r="C53" s="1197"/>
      <c r="D53" s="1196"/>
      <c r="E53" s="1196"/>
      <c r="F53" s="1197"/>
      <c r="G53" s="1197"/>
      <c r="H53" s="1196"/>
      <c r="I53" s="1196"/>
      <c r="J53" s="1197"/>
      <c r="K53" s="1197"/>
      <c r="L53" s="1197"/>
      <c r="M53" s="1196"/>
    </row>
    <row r="54" spans="1:13">
      <c r="A54" s="1196"/>
      <c r="B54" s="1197"/>
      <c r="C54" s="1197"/>
      <c r="D54" s="1196"/>
      <c r="E54" s="1196"/>
      <c r="F54" s="1197"/>
      <c r="G54" s="1197"/>
      <c r="H54" s="1196"/>
      <c r="I54" s="1196"/>
      <c r="J54" s="1197"/>
      <c r="K54" s="1197"/>
      <c r="L54" s="1197"/>
      <c r="M54" s="1196"/>
    </row>
    <row r="55" spans="1:13">
      <c r="A55" s="1196"/>
      <c r="B55" s="1197"/>
      <c r="C55" s="1197"/>
      <c r="D55" s="1196"/>
      <c r="E55" s="1196"/>
      <c r="F55" s="1197"/>
      <c r="G55" s="1197"/>
      <c r="H55" s="1196"/>
      <c r="I55" s="1196"/>
      <c r="J55" s="1197"/>
      <c r="K55" s="1197"/>
      <c r="L55" s="1197"/>
      <c r="M55" s="1196"/>
    </row>
    <row r="56" spans="1:13">
      <c r="A56" s="1196"/>
      <c r="B56" s="1197"/>
      <c r="C56" s="1197"/>
      <c r="D56" s="1196"/>
      <c r="E56" s="1196"/>
      <c r="F56" s="1197"/>
      <c r="G56" s="1197"/>
      <c r="H56" s="1196"/>
      <c r="I56" s="1196"/>
      <c r="J56" s="1197"/>
      <c r="K56" s="1197"/>
      <c r="L56" s="1197"/>
      <c r="M56" s="1196"/>
    </row>
    <row r="57" spans="1:13">
      <c r="A57" s="1196"/>
      <c r="B57" s="1197"/>
      <c r="C57" s="1197"/>
      <c r="D57" s="1196"/>
      <c r="E57" s="1196"/>
      <c r="F57" s="1197"/>
      <c r="G57" s="1197"/>
      <c r="H57" s="1196"/>
      <c r="I57" s="1196"/>
      <c r="J57" s="1197"/>
      <c r="K57" s="1197"/>
      <c r="L57" s="1197"/>
      <c r="M57" s="1196"/>
    </row>
    <row r="58" spans="1:13">
      <c r="A58" s="1196"/>
      <c r="B58" s="1197"/>
      <c r="C58" s="1197"/>
      <c r="D58" s="1196"/>
      <c r="E58" s="1196"/>
      <c r="F58" s="1197"/>
      <c r="G58" s="1197"/>
      <c r="H58" s="1196"/>
      <c r="I58" s="1196"/>
      <c r="J58" s="1197"/>
      <c r="K58" s="1197"/>
      <c r="L58" s="1197"/>
      <c r="M58" s="1196"/>
    </row>
    <row r="59" spans="1:13">
      <c r="A59" s="1196"/>
      <c r="B59" s="1197"/>
      <c r="C59" s="1197"/>
      <c r="D59" s="1196"/>
      <c r="E59" s="1196"/>
      <c r="F59" s="1197"/>
      <c r="G59" s="1197"/>
      <c r="H59" s="1196"/>
      <c r="I59" s="1196"/>
      <c r="J59" s="1197"/>
      <c r="K59" s="1197"/>
      <c r="L59" s="1197"/>
      <c r="M59" s="1196"/>
    </row>
    <row r="60" spans="1:13">
      <c r="A60" s="1196"/>
      <c r="B60" s="1197"/>
      <c r="C60" s="1197"/>
      <c r="D60" s="1196"/>
      <c r="E60" s="1196"/>
      <c r="F60" s="1197"/>
      <c r="G60" s="1197"/>
      <c r="H60" s="1196"/>
      <c r="I60" s="1196"/>
      <c r="J60" s="1197"/>
      <c r="K60" s="1197"/>
      <c r="L60" s="1197"/>
      <c r="M60" s="1196"/>
    </row>
    <row r="61" spans="1:13">
      <c r="A61" s="1196"/>
      <c r="B61" s="1197"/>
      <c r="C61" s="1197"/>
      <c r="D61" s="1196"/>
      <c r="E61" s="1196"/>
      <c r="F61" s="1197"/>
      <c r="G61" s="1197"/>
      <c r="H61" s="1196"/>
      <c r="I61" s="1196"/>
      <c r="J61" s="1197"/>
      <c r="K61" s="1197"/>
      <c r="L61" s="1197"/>
      <c r="M61" s="1196"/>
    </row>
    <row r="62" spans="1:13">
      <c r="A62" s="1196"/>
      <c r="B62" s="1197"/>
      <c r="C62" s="1197"/>
      <c r="D62" s="1196"/>
      <c r="E62" s="1196"/>
      <c r="F62" s="1197"/>
      <c r="G62" s="1197"/>
      <c r="H62" s="1196"/>
      <c r="I62" s="1196"/>
      <c r="J62" s="1197"/>
      <c r="K62" s="1197"/>
      <c r="L62" s="1197"/>
      <c r="M62" s="1196"/>
    </row>
    <row r="63" spans="1:13">
      <c r="A63" s="1196"/>
      <c r="B63" s="1197"/>
      <c r="C63" s="1197"/>
      <c r="D63" s="1196"/>
      <c r="E63" s="1196"/>
      <c r="F63" s="1197"/>
      <c r="G63" s="1197"/>
      <c r="H63" s="1196"/>
      <c r="I63" s="1196"/>
      <c r="J63" s="1197"/>
      <c r="K63" s="1197"/>
      <c r="L63" s="1197"/>
      <c r="M63" s="1196"/>
    </row>
    <row r="64" spans="1:13">
      <c r="A64" s="1196"/>
      <c r="B64" s="1197"/>
      <c r="C64" s="1197"/>
      <c r="D64" s="1196"/>
      <c r="E64" s="1196"/>
      <c r="F64" s="1197"/>
      <c r="G64" s="1197"/>
      <c r="H64" s="1196"/>
      <c r="I64" s="1196"/>
      <c r="J64" s="1197"/>
      <c r="K64" s="1197"/>
      <c r="L64" s="1197"/>
      <c r="M64" s="1196"/>
    </row>
    <row r="65" spans="1:13">
      <c r="A65" s="1196"/>
      <c r="B65" s="1197"/>
      <c r="C65" s="1197"/>
      <c r="D65" s="1196"/>
      <c r="E65" s="1196"/>
      <c r="F65" s="1197"/>
      <c r="G65" s="1197"/>
      <c r="H65" s="1196"/>
      <c r="I65" s="1196"/>
      <c r="J65" s="1197"/>
      <c r="K65" s="1197"/>
      <c r="L65" s="1197"/>
      <c r="M65" s="1196"/>
    </row>
    <row r="66" spans="1:13">
      <c r="A66" s="1196"/>
      <c r="B66" s="1197"/>
      <c r="C66" s="1197"/>
      <c r="D66" s="1196"/>
      <c r="E66" s="1196"/>
      <c r="F66" s="1197"/>
      <c r="G66" s="1197"/>
      <c r="H66" s="1196"/>
      <c r="I66" s="1196"/>
      <c r="J66" s="1197"/>
      <c r="K66" s="1197"/>
      <c r="L66" s="1197"/>
      <c r="M66" s="1196"/>
    </row>
    <row r="67" spans="1:13">
      <c r="A67" s="1196"/>
      <c r="B67" s="1197"/>
      <c r="C67" s="1197"/>
      <c r="D67" s="1196"/>
      <c r="E67" s="1196"/>
      <c r="F67" s="1197"/>
      <c r="G67" s="1197"/>
      <c r="H67" s="1196"/>
      <c r="I67" s="1196"/>
      <c r="J67" s="1197"/>
      <c r="K67" s="1197"/>
      <c r="L67" s="1197"/>
      <c r="M67" s="1196"/>
    </row>
    <row r="68" spans="1:13">
      <c r="A68" s="1196"/>
      <c r="B68" s="1197"/>
      <c r="C68" s="1197"/>
      <c r="D68" s="1196"/>
      <c r="E68" s="1196"/>
      <c r="F68" s="1197"/>
      <c r="G68" s="1197"/>
      <c r="H68" s="1196"/>
      <c r="I68" s="1196"/>
      <c r="J68" s="1197"/>
      <c r="K68" s="1197"/>
      <c r="L68" s="1197"/>
      <c r="M68" s="1196"/>
    </row>
    <row r="69" spans="1:13">
      <c r="A69" s="1196"/>
      <c r="B69" s="1197"/>
      <c r="C69" s="1197"/>
      <c r="D69" s="1196"/>
      <c r="E69" s="1196"/>
      <c r="F69" s="1197"/>
      <c r="G69" s="1197"/>
      <c r="H69" s="1196"/>
      <c r="I69" s="1196"/>
      <c r="J69" s="1197"/>
      <c r="K69" s="1197"/>
      <c r="L69" s="1197"/>
      <c r="M69" s="1196"/>
    </row>
    <row r="70" spans="1:13">
      <c r="A70" s="1196"/>
      <c r="B70" s="1197"/>
      <c r="C70" s="1197"/>
      <c r="D70" s="1196"/>
      <c r="E70" s="1196"/>
      <c r="F70" s="1197"/>
      <c r="G70" s="1197"/>
      <c r="H70" s="1196"/>
      <c r="I70" s="1196"/>
      <c r="J70" s="1197"/>
      <c r="K70" s="1197"/>
      <c r="L70" s="1197"/>
      <c r="M70" s="1196"/>
    </row>
    <row r="71" spans="1:13">
      <c r="A71" s="1196"/>
      <c r="B71" s="1197"/>
      <c r="C71" s="1197"/>
      <c r="D71" s="1196"/>
      <c r="E71" s="1196"/>
      <c r="F71" s="1197"/>
      <c r="G71" s="1197"/>
      <c r="H71" s="1196"/>
      <c r="I71" s="1196"/>
      <c r="J71" s="1197"/>
      <c r="K71" s="1197"/>
      <c r="L71" s="1197"/>
      <c r="M71" s="1196"/>
    </row>
    <row r="72" spans="1:13">
      <c r="A72" s="1196"/>
      <c r="B72" s="1197"/>
      <c r="C72" s="1197"/>
      <c r="D72" s="1196"/>
      <c r="E72" s="1196"/>
      <c r="F72" s="1197"/>
      <c r="G72" s="1197"/>
      <c r="H72" s="1196"/>
      <c r="I72" s="1196"/>
      <c r="J72" s="1197"/>
      <c r="K72" s="1197"/>
      <c r="L72" s="1197"/>
      <c r="M72" s="1196"/>
    </row>
    <row r="73" spans="1:13">
      <c r="A73" s="1196"/>
      <c r="B73" s="1197"/>
      <c r="C73" s="1197"/>
      <c r="D73" s="1196"/>
      <c r="E73" s="1196"/>
      <c r="F73" s="1197"/>
      <c r="G73" s="1197"/>
      <c r="H73" s="1196"/>
      <c r="I73" s="1196"/>
      <c r="J73" s="1197"/>
      <c r="K73" s="1197"/>
      <c r="L73" s="1197"/>
      <c r="M73" s="1196"/>
    </row>
    <row r="74" spans="1:13">
      <c r="A74" s="1196"/>
      <c r="B74" s="1197"/>
      <c r="C74" s="1197"/>
      <c r="D74" s="1196"/>
      <c r="E74" s="1196"/>
      <c r="F74" s="1197"/>
      <c r="G74" s="1197"/>
      <c r="H74" s="1196"/>
      <c r="I74" s="1196"/>
      <c r="J74" s="1197"/>
      <c r="K74" s="1197"/>
      <c r="L74" s="1197"/>
      <c r="M74" s="1196"/>
    </row>
    <row r="75" spans="1:13">
      <c r="A75" s="1196"/>
      <c r="B75" s="1197"/>
      <c r="C75" s="1197"/>
      <c r="D75" s="1196"/>
      <c r="E75" s="1196"/>
      <c r="F75" s="1197"/>
      <c r="G75" s="1197"/>
      <c r="H75" s="1196"/>
      <c r="I75" s="1196"/>
      <c r="J75" s="1197"/>
      <c r="K75" s="1197"/>
      <c r="L75" s="1197"/>
      <c r="M75" s="1196"/>
    </row>
    <row r="76" spans="1:13">
      <c r="A76" s="1196"/>
      <c r="B76" s="1197"/>
      <c r="C76" s="1197"/>
      <c r="D76" s="1196"/>
      <c r="E76" s="1196"/>
      <c r="F76" s="1197"/>
      <c r="G76" s="1197"/>
      <c r="H76" s="1196"/>
      <c r="I76" s="1196"/>
      <c r="J76" s="1197"/>
      <c r="K76" s="1197"/>
      <c r="L76" s="1197"/>
      <c r="M76" s="1196"/>
    </row>
    <row r="77" spans="1:13">
      <c r="A77" s="1196"/>
      <c r="B77" s="1197"/>
      <c r="C77" s="1197"/>
      <c r="D77" s="1196"/>
      <c r="E77" s="1196"/>
      <c r="F77" s="1197"/>
      <c r="G77" s="1197"/>
      <c r="H77" s="1196"/>
      <c r="I77" s="1196"/>
      <c r="J77" s="1197"/>
      <c r="K77" s="1197"/>
      <c r="L77" s="1197"/>
      <c r="M77" s="1196"/>
    </row>
    <row r="78" spans="1:13">
      <c r="A78" s="1196"/>
      <c r="B78" s="1197"/>
      <c r="C78" s="1197"/>
      <c r="D78" s="1196"/>
      <c r="E78" s="1196"/>
      <c r="F78" s="1197"/>
      <c r="G78" s="1197"/>
      <c r="H78" s="1196"/>
      <c r="I78" s="1196"/>
      <c r="J78" s="1197"/>
      <c r="K78" s="1197"/>
      <c r="L78" s="1197"/>
      <c r="M78" s="1196"/>
    </row>
    <row r="79" spans="1:13">
      <c r="A79" s="1196"/>
      <c r="B79" s="1197"/>
      <c r="C79" s="1197"/>
      <c r="D79" s="1196"/>
      <c r="E79" s="1196"/>
      <c r="F79" s="1197"/>
      <c r="G79" s="1197"/>
      <c r="H79" s="1196"/>
      <c r="I79" s="1196"/>
      <c r="J79" s="1197"/>
      <c r="K79" s="1197"/>
      <c r="L79" s="1197"/>
      <c r="M79" s="1196"/>
    </row>
    <row r="80" spans="1:13">
      <c r="A80" s="1196"/>
      <c r="B80" s="1197"/>
      <c r="C80" s="1197"/>
      <c r="D80" s="1196"/>
      <c r="E80" s="1196"/>
      <c r="F80" s="1197"/>
      <c r="G80" s="1197"/>
      <c r="H80" s="1196"/>
      <c r="I80" s="1196"/>
      <c r="J80" s="1197"/>
      <c r="K80" s="1197"/>
      <c r="L80" s="1197"/>
      <c r="M80" s="1196"/>
    </row>
    <row r="81" spans="1:13">
      <c r="A81" s="1196"/>
      <c r="B81" s="1197"/>
      <c r="C81" s="1197"/>
      <c r="D81" s="1196"/>
      <c r="E81" s="1196"/>
      <c r="F81" s="1197"/>
      <c r="G81" s="1197"/>
      <c r="H81" s="1196"/>
      <c r="I81" s="1196"/>
      <c r="J81" s="1197"/>
      <c r="K81" s="1197"/>
      <c r="L81" s="1197"/>
      <c r="M81" s="1196"/>
    </row>
    <row r="82" spans="1:13">
      <c r="A82" s="1196"/>
      <c r="B82" s="1197"/>
      <c r="C82" s="1197"/>
      <c r="D82" s="1196"/>
      <c r="E82" s="1196"/>
      <c r="F82" s="1197"/>
      <c r="G82" s="1197"/>
      <c r="H82" s="1196"/>
      <c r="I82" s="1196"/>
      <c r="J82" s="1197"/>
      <c r="K82" s="1197"/>
      <c r="L82" s="1197"/>
      <c r="M82" s="1196"/>
    </row>
    <row r="83" spans="1:13">
      <c r="A83" s="1196"/>
      <c r="B83" s="1197"/>
      <c r="C83" s="1197"/>
      <c r="D83" s="1196"/>
      <c r="E83" s="1196"/>
      <c r="F83" s="1197"/>
      <c r="G83" s="1197"/>
      <c r="H83" s="1196"/>
      <c r="I83" s="1196"/>
      <c r="J83" s="1197"/>
      <c r="K83" s="1197"/>
      <c r="L83" s="1197"/>
      <c r="M83" s="1196"/>
    </row>
    <row r="84" spans="1:13">
      <c r="A84" s="1196"/>
      <c r="B84" s="1197"/>
      <c r="C84" s="1197"/>
      <c r="D84" s="1196"/>
      <c r="E84" s="1196"/>
      <c r="F84" s="1197"/>
      <c r="G84" s="1197"/>
      <c r="H84" s="1196"/>
      <c r="I84" s="1196"/>
      <c r="J84" s="1197"/>
      <c r="K84" s="1197"/>
      <c r="L84" s="1197"/>
      <c r="M84" s="1196"/>
    </row>
    <row r="85" spans="1:13">
      <c r="A85" s="1196"/>
      <c r="B85" s="1197"/>
      <c r="C85" s="1197"/>
      <c r="D85" s="1196"/>
      <c r="E85" s="1196"/>
      <c r="F85" s="1197"/>
      <c r="G85" s="1197"/>
      <c r="H85" s="1196"/>
      <c r="I85" s="1196"/>
      <c r="J85" s="1197"/>
      <c r="K85" s="1197"/>
      <c r="L85" s="1197"/>
      <c r="M85" s="1196"/>
    </row>
    <row r="86" spans="1:13">
      <c r="A86" s="1196"/>
      <c r="B86" s="1197"/>
      <c r="C86" s="1197"/>
      <c r="D86" s="1196"/>
      <c r="E86" s="1196"/>
      <c r="F86" s="1197"/>
      <c r="G86" s="1197"/>
      <c r="H86" s="1196"/>
      <c r="I86" s="1196"/>
      <c r="J86" s="1197"/>
      <c r="K86" s="1197"/>
      <c r="L86" s="1197"/>
      <c r="M86" s="1196"/>
    </row>
    <row r="87" spans="1:13">
      <c r="A87" s="1196"/>
      <c r="B87" s="1197"/>
      <c r="C87" s="1197"/>
      <c r="D87" s="1196"/>
      <c r="E87" s="1196"/>
      <c r="F87" s="1197"/>
      <c r="G87" s="1197"/>
      <c r="H87" s="1196"/>
      <c r="I87" s="1196"/>
      <c r="J87" s="1197"/>
      <c r="K87" s="1197"/>
      <c r="L87" s="1197"/>
      <c r="M87" s="1196"/>
    </row>
    <row r="88" spans="1:13">
      <c r="A88" s="1196"/>
      <c r="B88" s="1197"/>
      <c r="C88" s="1197"/>
      <c r="D88" s="1196"/>
      <c r="E88" s="1196"/>
      <c r="F88" s="1197"/>
      <c r="G88" s="1197"/>
      <c r="H88" s="1196"/>
      <c r="I88" s="1196"/>
      <c r="J88" s="1197"/>
      <c r="K88" s="1197"/>
      <c r="L88" s="1197"/>
      <c r="M88" s="1196"/>
    </row>
    <row r="89" spans="1:13">
      <c r="A89" s="1196"/>
      <c r="B89" s="1197"/>
      <c r="C89" s="1197"/>
      <c r="D89" s="1196"/>
      <c r="E89" s="1196"/>
      <c r="F89" s="1197"/>
      <c r="G89" s="1197"/>
      <c r="H89" s="1196"/>
      <c r="I89" s="1196"/>
      <c r="J89" s="1197"/>
      <c r="K89" s="1197"/>
      <c r="L89" s="1197"/>
      <c r="M89" s="1196"/>
    </row>
    <row r="90" spans="1:13">
      <c r="A90" s="1196"/>
      <c r="B90" s="1197"/>
      <c r="C90" s="1197"/>
      <c r="D90" s="1196"/>
      <c r="E90" s="1196"/>
      <c r="F90" s="1197"/>
      <c r="G90" s="1197"/>
      <c r="H90" s="1196"/>
      <c r="I90" s="1196"/>
      <c r="J90" s="1197"/>
      <c r="K90" s="1197"/>
      <c r="L90" s="1197"/>
      <c r="M90" s="1196"/>
    </row>
    <row r="91" spans="1:13">
      <c r="A91" s="1196"/>
      <c r="B91" s="1197"/>
      <c r="C91" s="1197"/>
      <c r="D91" s="1196"/>
      <c r="E91" s="1196"/>
      <c r="F91" s="1197"/>
      <c r="G91" s="1197"/>
      <c r="H91" s="1196"/>
      <c r="I91" s="1196"/>
      <c r="J91" s="1197"/>
      <c r="K91" s="1197"/>
      <c r="L91" s="1197"/>
      <c r="M91" s="1196"/>
    </row>
    <row r="92" spans="1:13">
      <c r="A92" s="1196"/>
      <c r="B92" s="1197"/>
      <c r="C92" s="1197"/>
      <c r="D92" s="1196"/>
      <c r="E92" s="1196"/>
      <c r="F92" s="1197"/>
      <c r="G92" s="1197"/>
      <c r="H92" s="1196"/>
      <c r="I92" s="1196"/>
      <c r="J92" s="1197"/>
      <c r="K92" s="1197"/>
      <c r="L92" s="1197"/>
      <c r="M92" s="1196"/>
    </row>
    <row r="93" spans="1:13">
      <c r="A93" s="1196"/>
      <c r="B93" s="1197"/>
      <c r="C93" s="1197"/>
      <c r="D93" s="1196"/>
      <c r="E93" s="1196"/>
      <c r="F93" s="1197"/>
      <c r="G93" s="1197"/>
      <c r="H93" s="1196"/>
      <c r="I93" s="1196"/>
      <c r="J93" s="1197"/>
      <c r="K93" s="1197"/>
      <c r="L93" s="1197"/>
      <c r="M93" s="1196"/>
    </row>
    <row r="94" spans="1:13">
      <c r="A94" s="1196"/>
      <c r="B94" s="1197"/>
      <c r="C94" s="1197"/>
      <c r="D94" s="1196"/>
      <c r="E94" s="1196"/>
      <c r="F94" s="1197"/>
      <c r="G94" s="1197"/>
      <c r="H94" s="1196"/>
      <c r="I94" s="1196"/>
      <c r="J94" s="1197"/>
      <c r="K94" s="1197"/>
      <c r="L94" s="1197"/>
      <c r="M94" s="1196"/>
    </row>
    <row r="95" spans="1:13">
      <c r="A95" s="1196"/>
      <c r="B95" s="1197"/>
      <c r="C95" s="1197"/>
      <c r="D95" s="1196"/>
      <c r="E95" s="1196"/>
      <c r="F95" s="1197"/>
      <c r="G95" s="1197"/>
      <c r="H95" s="1196"/>
      <c r="I95" s="1196"/>
      <c r="J95" s="1197"/>
      <c r="K95" s="1197"/>
      <c r="L95" s="1197"/>
      <c r="M95" s="1196"/>
    </row>
    <row r="96" spans="1:13">
      <c r="A96" s="1196"/>
      <c r="B96" s="1197"/>
      <c r="C96" s="1197"/>
      <c r="D96" s="1196"/>
      <c r="E96" s="1196"/>
      <c r="F96" s="1197"/>
      <c r="G96" s="1197"/>
      <c r="H96" s="1196"/>
      <c r="I96" s="1196"/>
      <c r="J96" s="1197"/>
      <c r="K96" s="1197"/>
      <c r="L96" s="1197"/>
      <c r="M96" s="1196"/>
    </row>
    <row r="97" spans="1:13">
      <c r="A97" s="1196"/>
      <c r="B97" s="1197"/>
      <c r="C97" s="1197"/>
      <c r="D97" s="1196"/>
      <c r="E97" s="1196"/>
      <c r="F97" s="1197"/>
      <c r="G97" s="1197"/>
      <c r="H97" s="1196"/>
      <c r="I97" s="1196"/>
      <c r="J97" s="1197"/>
      <c r="K97" s="1197"/>
      <c r="L97" s="1197"/>
      <c r="M97" s="1196"/>
    </row>
    <row r="98" spans="1:13">
      <c r="A98" s="1196"/>
      <c r="B98" s="1197"/>
      <c r="C98" s="1197"/>
      <c r="D98" s="1196"/>
      <c r="E98" s="1196"/>
      <c r="F98" s="1197"/>
      <c r="G98" s="1197"/>
      <c r="H98" s="1196"/>
      <c r="I98" s="1196"/>
      <c r="J98" s="1197"/>
      <c r="K98" s="1197"/>
      <c r="L98" s="1197"/>
      <c r="M98" s="1196"/>
    </row>
    <row r="99" spans="1:13">
      <c r="A99" s="1196"/>
      <c r="B99" s="1197"/>
      <c r="C99" s="1197"/>
      <c r="D99" s="1196"/>
      <c r="E99" s="1196"/>
      <c r="F99" s="1197"/>
      <c r="G99" s="1197"/>
      <c r="H99" s="1196"/>
      <c r="I99" s="1196"/>
      <c r="J99" s="1197"/>
      <c r="K99" s="1197"/>
      <c r="L99" s="1197"/>
      <c r="M99" s="1196"/>
    </row>
    <row r="100" spans="1:13">
      <c r="A100" s="1196"/>
      <c r="B100" s="1197"/>
      <c r="C100" s="1197"/>
      <c r="D100" s="1196"/>
      <c r="E100" s="1196"/>
      <c r="F100" s="1197"/>
      <c r="G100" s="1197"/>
      <c r="H100" s="1196"/>
      <c r="I100" s="1196"/>
      <c r="J100" s="1197"/>
      <c r="K100" s="1197"/>
      <c r="L100" s="1197"/>
      <c r="M100" s="1196"/>
    </row>
    <row r="101" spans="1:13">
      <c r="A101" s="1196"/>
      <c r="B101" s="1197"/>
      <c r="C101" s="1197"/>
      <c r="D101" s="1196"/>
      <c r="E101" s="1196"/>
      <c r="F101" s="1197"/>
      <c r="G101" s="1197"/>
      <c r="H101" s="1196"/>
      <c r="I101" s="1196"/>
      <c r="J101" s="1197"/>
      <c r="K101" s="1197"/>
      <c r="L101" s="1197"/>
      <c r="M101" s="1196"/>
    </row>
    <row r="102" spans="1:13">
      <c r="A102" s="1196"/>
      <c r="B102" s="1197"/>
      <c r="C102" s="1197"/>
      <c r="D102" s="1196"/>
      <c r="E102" s="1196"/>
      <c r="F102" s="1197"/>
      <c r="G102" s="1197"/>
      <c r="H102" s="1196"/>
      <c r="I102" s="1196"/>
      <c r="J102" s="1197"/>
      <c r="K102" s="1197"/>
      <c r="L102" s="1197"/>
      <c r="M102" s="1196"/>
    </row>
    <row r="103" spans="1:13">
      <c r="A103" s="1196"/>
      <c r="B103" s="1197"/>
      <c r="C103" s="1197"/>
      <c r="D103" s="1196"/>
      <c r="E103" s="1196"/>
      <c r="F103" s="1197"/>
      <c r="G103" s="1197"/>
      <c r="H103" s="1196"/>
      <c r="I103" s="1196"/>
      <c r="J103" s="1197"/>
      <c r="K103" s="1197"/>
      <c r="L103" s="1197"/>
      <c r="M103" s="1196"/>
    </row>
    <row r="104" spans="1:13">
      <c r="A104" s="1196"/>
      <c r="B104" s="1197"/>
      <c r="C104" s="1197"/>
      <c r="D104" s="1196"/>
      <c r="E104" s="1196"/>
      <c r="F104" s="1197"/>
      <c r="G104" s="1197"/>
      <c r="H104" s="1196"/>
      <c r="I104" s="1196"/>
      <c r="J104" s="1197"/>
      <c r="K104" s="1197"/>
      <c r="L104" s="1197"/>
      <c r="M104" s="1196"/>
    </row>
    <row r="105" spans="1:13">
      <c r="A105" s="1196"/>
      <c r="B105" s="1197"/>
      <c r="C105" s="1197"/>
      <c r="D105" s="1196"/>
      <c r="E105" s="1196"/>
      <c r="F105" s="1197"/>
      <c r="G105" s="1197"/>
      <c r="H105" s="1196"/>
      <c r="I105" s="1196"/>
      <c r="J105" s="1197"/>
      <c r="K105" s="1197"/>
      <c r="L105" s="1197"/>
      <c r="M105" s="1196"/>
    </row>
    <row r="106" spans="1:13">
      <c r="A106" s="1196"/>
      <c r="B106" s="1197"/>
      <c r="C106" s="1197"/>
      <c r="D106" s="1196"/>
      <c r="E106" s="1196"/>
      <c r="F106" s="1197"/>
      <c r="G106" s="1197"/>
      <c r="H106" s="1196"/>
      <c r="I106" s="1196"/>
      <c r="J106" s="1197"/>
      <c r="K106" s="1197"/>
      <c r="L106" s="1197"/>
      <c r="M106" s="1196"/>
    </row>
    <row r="107" spans="1:13">
      <c r="A107" s="1196"/>
      <c r="B107" s="1197"/>
      <c r="C107" s="1197"/>
      <c r="D107" s="1196"/>
      <c r="E107" s="1196"/>
      <c r="F107" s="1197"/>
      <c r="G107" s="1197"/>
      <c r="H107" s="1196"/>
      <c r="I107" s="1196"/>
      <c r="J107" s="1197"/>
      <c r="K107" s="1197"/>
      <c r="L107" s="1197"/>
      <c r="M107" s="1196"/>
    </row>
    <row r="108" spans="1:13">
      <c r="A108" s="1196"/>
      <c r="B108" s="1197"/>
      <c r="C108" s="1197"/>
      <c r="D108" s="1196"/>
      <c r="E108" s="1196"/>
      <c r="F108" s="1197"/>
      <c r="G108" s="1197"/>
      <c r="H108" s="1196"/>
      <c r="I108" s="1196"/>
      <c r="J108" s="1197"/>
      <c r="K108" s="1197"/>
      <c r="L108" s="1197"/>
      <c r="M108" s="1196"/>
    </row>
    <row r="109" spans="1:13">
      <c r="A109" s="1196"/>
      <c r="B109" s="1197"/>
      <c r="C109" s="1197"/>
      <c r="D109" s="1196"/>
      <c r="E109" s="1196"/>
      <c r="F109" s="1197"/>
      <c r="G109" s="1197"/>
      <c r="H109" s="1196"/>
      <c r="I109" s="1196"/>
      <c r="J109" s="1197"/>
      <c r="K109" s="1197"/>
      <c r="L109" s="1197"/>
      <c r="M109" s="1196"/>
    </row>
    <row r="110" spans="1:13">
      <c r="A110" s="1196"/>
      <c r="B110" s="1197"/>
      <c r="C110" s="1197"/>
      <c r="D110" s="1196"/>
      <c r="E110" s="1196"/>
      <c r="F110" s="1197"/>
      <c r="G110" s="1197"/>
      <c r="H110" s="1196"/>
      <c r="I110" s="1196"/>
      <c r="J110" s="1197"/>
      <c r="K110" s="1197"/>
      <c r="L110" s="1197"/>
      <c r="M110" s="1196"/>
    </row>
    <row r="111" spans="1:13">
      <c r="A111" s="1196"/>
      <c r="B111" s="1197"/>
      <c r="C111" s="1197"/>
      <c r="D111" s="1196"/>
      <c r="E111" s="1196"/>
      <c r="F111" s="1197"/>
      <c r="G111" s="1197"/>
      <c r="H111" s="1196"/>
      <c r="I111" s="1196"/>
      <c r="J111" s="1197"/>
      <c r="K111" s="1197"/>
      <c r="L111" s="1197"/>
      <c r="M111" s="1196"/>
    </row>
    <row r="112" spans="1:13">
      <c r="A112" s="1196"/>
      <c r="B112" s="1197"/>
      <c r="C112" s="1197"/>
      <c r="D112" s="1196"/>
      <c r="E112" s="1196"/>
      <c r="F112" s="1197"/>
      <c r="G112" s="1197"/>
      <c r="H112" s="1196"/>
      <c r="I112" s="1196"/>
      <c r="J112" s="1197"/>
      <c r="K112" s="1197"/>
      <c r="L112" s="1197"/>
      <c r="M112" s="1196"/>
    </row>
    <row r="113" spans="1:13">
      <c r="A113" s="1196"/>
      <c r="B113" s="1197"/>
      <c r="C113" s="1197"/>
      <c r="D113" s="1196"/>
      <c r="E113" s="1196"/>
      <c r="F113" s="1197"/>
      <c r="G113" s="1197"/>
      <c r="H113" s="1196"/>
      <c r="I113" s="1196"/>
      <c r="J113" s="1197"/>
      <c r="K113" s="1197"/>
      <c r="L113" s="1197"/>
      <c r="M113" s="1196"/>
    </row>
    <row r="114" spans="1:13">
      <c r="A114" s="1196"/>
      <c r="B114" s="1197"/>
      <c r="C114" s="1197"/>
      <c r="D114" s="1196"/>
      <c r="E114" s="1196"/>
      <c r="F114" s="1197"/>
      <c r="G114" s="1197"/>
      <c r="H114" s="1196"/>
      <c r="I114" s="1196"/>
      <c r="J114" s="1197"/>
      <c r="K114" s="1197"/>
      <c r="L114" s="1197"/>
      <c r="M114" s="1196"/>
    </row>
    <row r="115" spans="1:13">
      <c r="A115" s="1196"/>
      <c r="B115" s="1197"/>
      <c r="C115" s="1197"/>
      <c r="D115" s="1196"/>
      <c r="E115" s="1196"/>
      <c r="F115" s="1197"/>
      <c r="G115" s="1197"/>
      <c r="H115" s="1196"/>
      <c r="I115" s="1196"/>
      <c r="J115" s="1197"/>
      <c r="K115" s="1197"/>
      <c r="L115" s="1197"/>
      <c r="M115" s="1196"/>
    </row>
    <row r="116" spans="1:13">
      <c r="A116" s="1196"/>
      <c r="B116" s="1197"/>
      <c r="C116" s="1197"/>
      <c r="D116" s="1196"/>
      <c r="E116" s="1196"/>
      <c r="F116" s="1197"/>
      <c r="G116" s="1197"/>
      <c r="H116" s="1196"/>
      <c r="I116" s="1196"/>
      <c r="J116" s="1197"/>
      <c r="K116" s="1197"/>
      <c r="L116" s="1197"/>
      <c r="M116" s="1196"/>
    </row>
    <row r="117" spans="1:13">
      <c r="A117" s="1196"/>
      <c r="B117" s="1197"/>
      <c r="C117" s="1197"/>
      <c r="D117" s="1196"/>
      <c r="E117" s="1196"/>
      <c r="F117" s="1197"/>
      <c r="G117" s="1197"/>
      <c r="H117" s="1196"/>
      <c r="I117" s="1196"/>
      <c r="J117" s="1197"/>
      <c r="K117" s="1197"/>
      <c r="L117" s="1197"/>
      <c r="M117" s="1196"/>
    </row>
    <row r="118" spans="1:13">
      <c r="A118" s="1196"/>
      <c r="B118" s="1197"/>
      <c r="C118" s="1197"/>
      <c r="D118" s="1196"/>
      <c r="E118" s="1196"/>
      <c r="F118" s="1197"/>
      <c r="G118" s="1197"/>
      <c r="H118" s="1196"/>
      <c r="I118" s="1196"/>
      <c r="J118" s="1197"/>
      <c r="K118" s="1197"/>
      <c r="L118" s="1197"/>
      <c r="M118" s="1196"/>
    </row>
    <row r="119" spans="1:13">
      <c r="A119" s="1196"/>
      <c r="B119" s="1197"/>
      <c r="C119" s="1197"/>
      <c r="D119" s="1196"/>
      <c r="E119" s="1196"/>
      <c r="F119" s="1197"/>
      <c r="G119" s="1197"/>
      <c r="H119" s="1196"/>
      <c r="I119" s="1196"/>
      <c r="J119" s="1197"/>
      <c r="K119" s="1197"/>
      <c r="L119" s="1197"/>
      <c r="M119" s="1196"/>
    </row>
    <row r="120" spans="1:13">
      <c r="A120" s="1196"/>
      <c r="B120" s="1197"/>
      <c r="C120" s="1197"/>
      <c r="D120" s="1196"/>
      <c r="E120" s="1196"/>
      <c r="F120" s="1197"/>
      <c r="G120" s="1197"/>
      <c r="H120" s="1196"/>
      <c r="I120" s="1196"/>
      <c r="J120" s="1197"/>
      <c r="K120" s="1197"/>
      <c r="L120" s="1197"/>
      <c r="M120" s="1196"/>
    </row>
    <row r="121" spans="1:13">
      <c r="A121" s="989"/>
      <c r="B121" s="990"/>
      <c r="C121" s="990"/>
      <c r="D121" s="989"/>
      <c r="E121" s="989"/>
      <c r="F121" s="990"/>
      <c r="G121" s="990"/>
      <c r="H121" s="989"/>
      <c r="I121" s="989"/>
      <c r="J121" s="990"/>
      <c r="K121" s="990"/>
      <c r="L121" s="990"/>
      <c r="M121" s="989"/>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
    <tabColor rgb="FF00B050"/>
  </sheetPr>
  <dimension ref="A1:M16"/>
  <sheetViews>
    <sheetView zoomScale="80" zoomScaleNormal="80" workbookViewId="0">
      <selection activeCell="G2" sqref="G2"/>
    </sheetView>
  </sheetViews>
  <sheetFormatPr defaultRowHeight="16.5"/>
  <cols>
    <col min="1" max="1" width="4.77734375" style="122" bestFit="1" customWidth="1"/>
    <col min="2" max="2" width="21.44140625" style="123" customWidth="1"/>
    <col min="3" max="3" width="17.77734375" style="123" customWidth="1"/>
    <col min="4" max="5" width="11.88671875" style="123" bestFit="1" customWidth="1"/>
    <col min="6" max="7" width="23.88671875" style="123" bestFit="1" customWidth="1"/>
    <col min="8" max="9" width="11.88671875" style="123" bestFit="1" customWidth="1"/>
    <col min="10" max="10" width="8.88671875" style="123"/>
    <col min="11" max="11" width="54.33203125" style="123" customWidth="1"/>
    <col min="12" max="12" width="38.88671875" style="123" customWidth="1"/>
    <col min="13" max="13" width="4.5546875" style="123" bestFit="1" customWidth="1"/>
    <col min="14" max="16384" width="8.88671875" style="123"/>
  </cols>
  <sheetData>
    <row r="1" spans="1:13" s="122" customFormat="1">
      <c r="A1" s="113" t="s">
        <v>21</v>
      </c>
      <c r="B1" s="113" t="s">
        <v>431</v>
      </c>
      <c r="C1" s="113" t="s">
        <v>432</v>
      </c>
      <c r="D1" s="114" t="s">
        <v>433</v>
      </c>
      <c r="E1" s="114" t="s">
        <v>434</v>
      </c>
      <c r="F1" s="115" t="s">
        <v>435</v>
      </c>
      <c r="G1" s="115" t="s">
        <v>436</v>
      </c>
      <c r="H1" s="114" t="s">
        <v>437</v>
      </c>
      <c r="I1" s="114" t="s">
        <v>438</v>
      </c>
      <c r="J1" s="115" t="s">
        <v>439</v>
      </c>
      <c r="K1" s="113" t="s">
        <v>440</v>
      </c>
      <c r="L1" s="113" t="s">
        <v>441</v>
      </c>
      <c r="M1" s="113" t="s">
        <v>442</v>
      </c>
    </row>
    <row r="2" spans="1:13" ht="115.5">
      <c r="A2" s="1255">
        <v>1</v>
      </c>
      <c r="B2" s="1256" t="s">
        <v>4432</v>
      </c>
      <c r="C2" s="1256" t="s">
        <v>5951</v>
      </c>
      <c r="D2" s="1256" t="s">
        <v>6242</v>
      </c>
      <c r="E2" s="1256" t="s">
        <v>6243</v>
      </c>
      <c r="F2" s="1256" t="s">
        <v>5972</v>
      </c>
      <c r="G2" s="1256" t="s">
        <v>5972</v>
      </c>
      <c r="H2" s="1256" t="s">
        <v>5682</v>
      </c>
      <c r="I2" s="1256" t="s">
        <v>5683</v>
      </c>
      <c r="J2" s="1256" t="s">
        <v>5873</v>
      </c>
      <c r="K2" s="1199" t="s">
        <v>5876</v>
      </c>
      <c r="L2" s="1199" t="s">
        <v>5877</v>
      </c>
      <c r="M2" s="1256">
        <v>1</v>
      </c>
    </row>
    <row r="3" spans="1:13">
      <c r="A3" s="973"/>
      <c r="B3" s="974"/>
      <c r="C3" s="974"/>
      <c r="D3" s="974"/>
      <c r="E3" s="974"/>
      <c r="F3" s="974"/>
      <c r="G3" s="974"/>
      <c r="H3" s="974"/>
      <c r="I3" s="974"/>
      <c r="J3" s="974"/>
      <c r="K3" s="1105"/>
      <c r="L3" s="1105"/>
      <c r="M3" s="974"/>
    </row>
    <row r="4" spans="1:13">
      <c r="A4" s="973"/>
      <c r="B4" s="974"/>
      <c r="C4" s="974"/>
      <c r="D4" s="974"/>
      <c r="E4" s="974"/>
      <c r="F4" s="974"/>
      <c r="G4" s="974"/>
      <c r="H4" s="974"/>
      <c r="I4" s="974"/>
      <c r="J4" s="974"/>
      <c r="K4" s="1105"/>
      <c r="L4" s="974"/>
      <c r="M4" s="974"/>
    </row>
    <row r="5" spans="1:13">
      <c r="A5" s="973"/>
      <c r="B5" s="974"/>
      <c r="C5" s="974"/>
      <c r="D5" s="974"/>
      <c r="E5" s="974"/>
      <c r="F5" s="974"/>
      <c r="G5" s="974"/>
      <c r="H5" s="974"/>
      <c r="I5" s="974"/>
      <c r="J5" s="974"/>
      <c r="K5" s="1105"/>
      <c r="L5" s="1105"/>
      <c r="M5" s="974"/>
    </row>
    <row r="6" spans="1:13">
      <c r="A6" s="973"/>
      <c r="B6" s="974"/>
      <c r="C6" s="974"/>
      <c r="D6" s="974"/>
      <c r="E6" s="974"/>
      <c r="F6" s="974"/>
      <c r="G6" s="974"/>
      <c r="H6" s="974"/>
      <c r="I6" s="974"/>
      <c r="J6" s="974"/>
      <c r="K6" s="1105"/>
      <c r="L6" s="1105"/>
      <c r="M6" s="974"/>
    </row>
    <row r="7" spans="1:13">
      <c r="A7" s="973"/>
      <c r="B7" s="974"/>
      <c r="C7" s="974"/>
      <c r="D7" s="974"/>
      <c r="E7" s="974"/>
      <c r="F7" s="974"/>
      <c r="G7" s="974"/>
      <c r="H7" s="974"/>
      <c r="I7" s="974"/>
      <c r="J7" s="974"/>
      <c r="K7" s="1105"/>
      <c r="L7" s="974"/>
      <c r="M7" s="974"/>
    </row>
    <row r="8" spans="1:13">
      <c r="A8" s="973"/>
      <c r="B8" s="974"/>
      <c r="C8" s="974"/>
      <c r="D8" s="974"/>
      <c r="E8" s="974"/>
      <c r="F8" s="974"/>
      <c r="G8" s="974"/>
      <c r="H8" s="974"/>
      <c r="I8" s="974"/>
      <c r="J8" s="974"/>
      <c r="K8" s="1105"/>
      <c r="L8" s="1105"/>
      <c r="M8" s="974"/>
    </row>
    <row r="9" spans="1:13">
      <c r="A9" s="973"/>
      <c r="B9" s="974"/>
      <c r="C9" s="974"/>
      <c r="D9" s="974"/>
      <c r="E9" s="974"/>
      <c r="F9" s="974"/>
      <c r="G9" s="974"/>
      <c r="H9" s="974"/>
      <c r="I9" s="974"/>
      <c r="J9" s="974"/>
      <c r="K9" s="1105"/>
      <c r="L9" s="974"/>
      <c r="M9" s="974"/>
    </row>
    <row r="10" spans="1:13">
      <c r="A10" s="973"/>
      <c r="B10" s="974"/>
      <c r="C10" s="974"/>
      <c r="D10" s="974"/>
      <c r="E10" s="974"/>
      <c r="F10" s="974"/>
      <c r="G10" s="974"/>
      <c r="H10" s="974"/>
      <c r="I10" s="974"/>
      <c r="J10" s="974"/>
      <c r="K10" s="1105"/>
      <c r="L10" s="1105"/>
      <c r="M10" s="974"/>
    </row>
    <row r="11" spans="1:13">
      <c r="A11" s="973"/>
      <c r="B11" s="974"/>
      <c r="C11" s="974"/>
      <c r="D11" s="974"/>
      <c r="E11" s="974"/>
      <c r="F11" s="974"/>
      <c r="G11" s="974"/>
      <c r="H11" s="974"/>
      <c r="I11" s="974"/>
      <c r="J11" s="974"/>
      <c r="K11" s="1105"/>
      <c r="L11" s="1105"/>
      <c r="M11" s="974"/>
    </row>
    <row r="12" spans="1:13">
      <c r="A12" s="973"/>
      <c r="B12" s="974"/>
      <c r="C12" s="974"/>
      <c r="D12" s="974"/>
      <c r="E12" s="974"/>
      <c r="F12" s="974"/>
      <c r="G12" s="974"/>
      <c r="H12" s="974"/>
      <c r="I12" s="974"/>
      <c r="J12" s="974"/>
      <c r="K12" s="1105"/>
      <c r="L12" s="1105"/>
      <c r="M12" s="974"/>
    </row>
    <row r="13" spans="1:13">
      <c r="A13" s="973"/>
      <c r="B13" s="974"/>
      <c r="C13" s="974"/>
      <c r="D13" s="974"/>
      <c r="E13" s="974"/>
      <c r="F13" s="974"/>
      <c r="G13" s="974"/>
      <c r="H13" s="974"/>
      <c r="I13" s="974"/>
      <c r="J13" s="974"/>
      <c r="K13" s="1105"/>
      <c r="L13" s="1105"/>
      <c r="M13" s="974"/>
    </row>
    <row r="14" spans="1:13">
      <c r="A14" s="973"/>
      <c r="B14" s="974"/>
      <c r="C14" s="974"/>
      <c r="D14" s="974"/>
      <c r="E14" s="974"/>
      <c r="F14" s="974"/>
      <c r="G14" s="974"/>
      <c r="H14" s="974"/>
      <c r="I14" s="974"/>
      <c r="J14" s="974"/>
      <c r="K14" s="974"/>
      <c r="L14" s="974"/>
      <c r="M14" s="974"/>
    </row>
    <row r="15" spans="1:13">
      <c r="A15" s="973"/>
      <c r="B15" s="974"/>
      <c r="C15" s="974"/>
      <c r="D15" s="974"/>
      <c r="E15" s="974"/>
      <c r="F15" s="974"/>
      <c r="G15" s="974"/>
      <c r="H15" s="974"/>
      <c r="I15" s="974"/>
      <c r="J15" s="974"/>
      <c r="K15" s="974"/>
      <c r="L15" s="974"/>
      <c r="M15" s="974"/>
    </row>
    <row r="16" spans="1:13">
      <c r="A16" s="967"/>
      <c r="B16" s="968"/>
      <c r="C16" s="968"/>
      <c r="D16" s="968"/>
      <c r="E16" s="968"/>
      <c r="F16" s="968"/>
      <c r="G16" s="968"/>
      <c r="H16" s="968"/>
      <c r="I16" s="968"/>
      <c r="J16" s="968"/>
      <c r="K16" s="968"/>
      <c r="L16" s="968"/>
      <c r="M16" s="968"/>
    </row>
  </sheetData>
  <sortState xmlns:xlrd2="http://schemas.microsoft.com/office/spreadsheetml/2017/richdata2" ref="B2:M14">
    <sortCondition ref="M2"/>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
  <dimension ref="A1:F76"/>
  <sheetViews>
    <sheetView workbookViewId="0">
      <selection activeCell="A4" sqref="A4:F4"/>
    </sheetView>
  </sheetViews>
  <sheetFormatPr defaultRowHeight="16.5"/>
  <cols>
    <col min="1" max="1" width="5.44140625" style="75" customWidth="1"/>
    <col min="2" max="2" width="10.6640625" style="1236" customWidth="1"/>
    <col min="3" max="3" width="21" style="75" customWidth="1"/>
    <col min="4" max="4" width="16.33203125" style="75" customWidth="1"/>
    <col min="5" max="5" width="10.21875" style="75" customWidth="1"/>
    <col min="6" max="16384" width="8.88671875" style="75"/>
  </cols>
  <sheetData>
    <row r="1" spans="1:6" ht="25.5">
      <c r="A1" s="1977" t="s">
        <v>424</v>
      </c>
      <c r="B1" s="1977"/>
      <c r="C1" s="1977"/>
      <c r="D1" s="1977"/>
      <c r="E1" s="1977"/>
      <c r="F1" s="1977"/>
    </row>
    <row r="2" spans="1:6">
      <c r="A2" s="1217"/>
      <c r="B2" s="1217"/>
      <c r="C2" s="1217"/>
      <c r="D2" s="1217"/>
      <c r="E2" s="1217"/>
      <c r="F2" s="1217"/>
    </row>
    <row r="3" spans="1:6">
      <c r="A3" s="1545" t="str">
        <f>IF(NDtieude1&lt;&gt;"","     -"&amp;Tieude1&amp;": "&amp;NDtieude1,"")</f>
        <v xml:space="preserve">     -Công trình: Gia cố nâng cấp kênh Bà Xoài từ K0+300÷K0+600 - Hệ thống thủy lợi Nha Trinh, huyện Ninh Hải, tỉnh Ninh Thuận</v>
      </c>
      <c r="B3" s="1545"/>
      <c r="C3" s="1545"/>
      <c r="D3" s="1545"/>
      <c r="E3" s="1545"/>
      <c r="F3" s="1545"/>
    </row>
    <row r="4" spans="1:6">
      <c r="A4" s="1836" t="str">
        <f>IF(NDtieude2&lt;&gt;"","     -"&amp;Tieude2&amp;": "&amp;NDtieude2,"")</f>
        <v/>
      </c>
      <c r="B4" s="1836"/>
      <c r="C4" s="1836"/>
      <c r="D4" s="1836"/>
      <c r="E4" s="1836"/>
      <c r="F4" s="1836"/>
    </row>
    <row r="5" spans="1:6">
      <c r="A5" s="1836" t="str">
        <f>IF(NDtieude3&lt;&gt;"","     -"&amp;Tieude3&amp;": "&amp;NDtieude3,"")</f>
        <v xml:space="preserve">     -Hạng mục: Kênh và Công trình trên kênh</v>
      </c>
      <c r="B5" s="1836"/>
      <c r="C5" s="1836"/>
      <c r="D5" s="1836"/>
      <c r="E5" s="1836"/>
      <c r="F5" s="1836"/>
    </row>
    <row r="6" spans="1:6">
      <c r="A6" s="1875" t="str">
        <f>"     - Địa điểm xây dựng: "&amp;DDXD</f>
        <v xml:space="preserve">     - Địa điểm xây dựng: Huyện Ninh Hải - Tỉnh Ninh Thuận</v>
      </c>
      <c r="B6" s="1875"/>
      <c r="C6" s="1875"/>
      <c r="D6" s="1875"/>
      <c r="E6" s="1875"/>
      <c r="F6" s="1875"/>
    </row>
    <row r="7" spans="1:6">
      <c r="A7" s="371"/>
      <c r="B7" s="371"/>
      <c r="C7" s="371"/>
      <c r="D7" s="371"/>
      <c r="E7" s="371"/>
      <c r="F7" s="371"/>
    </row>
    <row r="8" spans="1:6">
      <c r="A8" s="1978" t="str">
        <f>"I - Đơn vị giám sát: "&amp;DVGS</f>
        <v>I - Đơn vị giám sát: Công ty TNHH Tư vấn Đầu tư Xây dựng Huy Đạt</v>
      </c>
      <c r="B8" s="1978"/>
      <c r="C8" s="1978"/>
      <c r="D8" s="1978"/>
      <c r="E8" s="1978"/>
      <c r="F8" s="1978"/>
    </row>
    <row r="9" spans="1:6" s="1230" customFormat="1">
      <c r="A9" s="385"/>
      <c r="B9" s="386" t="str">
        <f>"Ông: "&amp;CBGS1</f>
        <v>Ông: Trần Trọng Liêm</v>
      </c>
      <c r="C9" s="1218"/>
      <c r="D9" s="386" t="str">
        <f>"Chức vụ: "&amp;CV_CBGS1</f>
        <v>Chức vụ: Giám sát trưởng</v>
      </c>
      <c r="E9" s="385"/>
      <c r="F9" s="385"/>
    </row>
    <row r="10" spans="1:6" s="1230" customFormat="1">
      <c r="A10" s="387"/>
      <c r="B10" s="388" t="str">
        <f>"Ông: "&amp;CBGS2</f>
        <v>Ông: Nguyễn Thị Minh</v>
      </c>
      <c r="C10" s="1218"/>
      <c r="D10" s="388" t="str">
        <f>"Chức vụ: "&amp;CV_CBGS2</f>
        <v>Chức vụ: Giám sát viên</v>
      </c>
      <c r="E10" s="387"/>
      <c r="F10" s="387"/>
    </row>
    <row r="11" spans="1:6">
      <c r="A11" s="1976" t="str">
        <f>"II - Đơn vị thi công: "&amp;DVTC</f>
        <v>II - Đơn vị thi công: Công ty TNHH Xây dựng Thịnh Dũng</v>
      </c>
      <c r="B11" s="1976"/>
      <c r="C11" s="1976"/>
      <c r="D11" s="1976"/>
      <c r="E11" s="1976"/>
      <c r="F11" s="1976"/>
    </row>
    <row r="12" spans="1:6" s="1230" customFormat="1">
      <c r="A12" s="387"/>
      <c r="B12" s="388" t="str">
        <f>"Ông: "&amp;CBKT1</f>
        <v>Ông: Hoàng Đình Tảng</v>
      </c>
      <c r="C12" s="1218"/>
      <c r="D12" s="388" t="str">
        <f>"Chức vụ: "&amp;CV_CBKT1</f>
        <v>Chức vụ: Chỉ huy công trường</v>
      </c>
      <c r="E12" s="387"/>
      <c r="F12" s="387"/>
    </row>
    <row r="13" spans="1:6" s="1230" customFormat="1">
      <c r="A13" s="387"/>
      <c r="B13" s="388" t="str">
        <f>"Ông: "&amp;CBKT2</f>
        <v>Ông: Lê Thiên Phương</v>
      </c>
      <c r="C13" s="1218"/>
      <c r="D13" s="388" t="str">
        <f>"Chức vụ: "&amp;CV_CBKT2</f>
        <v>Chức vụ: Kỹ thuật thi công</v>
      </c>
      <c r="E13" s="387"/>
      <c r="F13" s="387"/>
    </row>
    <row r="14" spans="1:6">
      <c r="A14" s="371"/>
      <c r="B14" s="371"/>
      <c r="C14" s="371"/>
      <c r="D14" s="371"/>
      <c r="E14" s="371"/>
      <c r="F14" s="371"/>
    </row>
    <row r="15" spans="1:6" ht="33">
      <c r="A15" s="389" t="s">
        <v>64</v>
      </c>
      <c r="B15" s="389" t="s">
        <v>22</v>
      </c>
      <c r="C15" s="389" t="s">
        <v>23</v>
      </c>
      <c r="D15" s="389" t="s">
        <v>30</v>
      </c>
      <c r="E15" s="389" t="s">
        <v>423</v>
      </c>
      <c r="F15" s="389" t="s">
        <v>20</v>
      </c>
    </row>
    <row r="16" spans="1:6" ht="33">
      <c r="A16" s="1221">
        <v>1</v>
      </c>
      <c r="B16" s="1231" t="s">
        <v>367</v>
      </c>
      <c r="C16" s="1221" t="s">
        <v>5620</v>
      </c>
      <c r="D16" s="1221"/>
      <c r="E16" s="1222">
        <v>43954</v>
      </c>
      <c r="F16" s="1221"/>
    </row>
    <row r="17" spans="1:6" ht="33">
      <c r="A17" s="1223">
        <v>2</v>
      </c>
      <c r="B17" s="1232" t="s">
        <v>402</v>
      </c>
      <c r="C17" s="1223" t="s">
        <v>5955</v>
      </c>
      <c r="D17" s="1223" t="s">
        <v>5932</v>
      </c>
      <c r="E17" s="1224">
        <v>43961</v>
      </c>
      <c r="F17" s="1223"/>
    </row>
    <row r="18" spans="1:6" ht="49.5">
      <c r="A18" s="1223">
        <v>3</v>
      </c>
      <c r="B18" s="1232" t="s">
        <v>401</v>
      </c>
      <c r="C18" s="1223" t="s">
        <v>5957</v>
      </c>
      <c r="D18" s="1223" t="s">
        <v>5932</v>
      </c>
      <c r="E18" s="1224">
        <v>43971</v>
      </c>
      <c r="F18" s="1223"/>
    </row>
    <row r="19" spans="1:6" ht="66">
      <c r="A19" s="1223">
        <v>4</v>
      </c>
      <c r="B19" s="1232" t="s">
        <v>382</v>
      </c>
      <c r="C19" s="1223" t="s">
        <v>5958</v>
      </c>
      <c r="D19" s="1223" t="s">
        <v>5932</v>
      </c>
      <c r="E19" s="1224">
        <v>43980</v>
      </c>
      <c r="F19" s="1223"/>
    </row>
    <row r="20" spans="1:6" ht="66">
      <c r="A20" s="1223">
        <v>5</v>
      </c>
      <c r="B20" s="1232" t="s">
        <v>382</v>
      </c>
      <c r="C20" s="1223" t="s">
        <v>5959</v>
      </c>
      <c r="D20" s="1223" t="s">
        <v>5932</v>
      </c>
      <c r="E20" s="1224">
        <v>43981</v>
      </c>
      <c r="F20" s="1223"/>
    </row>
    <row r="21" spans="1:6" ht="66">
      <c r="A21" s="1223">
        <v>6</v>
      </c>
      <c r="B21" s="1232" t="s">
        <v>382</v>
      </c>
      <c r="C21" s="1223" t="s">
        <v>5960</v>
      </c>
      <c r="D21" s="1223" t="s">
        <v>5932</v>
      </c>
      <c r="E21" s="1224">
        <v>43982</v>
      </c>
      <c r="F21" s="1223"/>
    </row>
    <row r="22" spans="1:6" ht="66">
      <c r="A22" s="1223">
        <v>7</v>
      </c>
      <c r="B22" s="1232" t="s">
        <v>382</v>
      </c>
      <c r="C22" s="1223" t="s">
        <v>5961</v>
      </c>
      <c r="D22" s="1223" t="s">
        <v>5932</v>
      </c>
      <c r="E22" s="1224">
        <v>43983</v>
      </c>
      <c r="F22" s="1223"/>
    </row>
    <row r="23" spans="1:6" ht="33">
      <c r="A23" s="1223">
        <v>8</v>
      </c>
      <c r="B23" s="1232" t="s">
        <v>402</v>
      </c>
      <c r="C23" s="1223" t="s">
        <v>5955</v>
      </c>
      <c r="D23" s="1223" t="s">
        <v>5944</v>
      </c>
      <c r="E23" s="1224">
        <v>43963</v>
      </c>
      <c r="F23" s="1223"/>
    </row>
    <row r="24" spans="1:6" ht="49.5">
      <c r="A24" s="1223">
        <v>9</v>
      </c>
      <c r="B24" s="1232" t="s">
        <v>401</v>
      </c>
      <c r="C24" s="1223" t="s">
        <v>5957</v>
      </c>
      <c r="D24" s="1223" t="s">
        <v>5944</v>
      </c>
      <c r="E24" s="1224">
        <v>43973</v>
      </c>
      <c r="F24" s="1223"/>
    </row>
    <row r="25" spans="1:6" ht="66">
      <c r="A25" s="1223">
        <v>10</v>
      </c>
      <c r="B25" s="1232" t="s">
        <v>382</v>
      </c>
      <c r="C25" s="1223" t="s">
        <v>5958</v>
      </c>
      <c r="D25" s="1223" t="s">
        <v>5944</v>
      </c>
      <c r="E25" s="1224">
        <v>43982</v>
      </c>
      <c r="F25" s="1223"/>
    </row>
    <row r="26" spans="1:6" ht="66">
      <c r="A26" s="1223">
        <v>11</v>
      </c>
      <c r="B26" s="1232" t="s">
        <v>382</v>
      </c>
      <c r="C26" s="1223" t="s">
        <v>5959</v>
      </c>
      <c r="D26" s="1223" t="s">
        <v>5944</v>
      </c>
      <c r="E26" s="1224">
        <v>43983</v>
      </c>
      <c r="F26" s="1223"/>
    </row>
    <row r="27" spans="1:6" ht="66">
      <c r="A27" s="1223">
        <v>12</v>
      </c>
      <c r="B27" s="1232" t="s">
        <v>382</v>
      </c>
      <c r="C27" s="1223" t="s">
        <v>5960</v>
      </c>
      <c r="D27" s="1223" t="s">
        <v>5944</v>
      </c>
      <c r="E27" s="1224">
        <v>43984</v>
      </c>
      <c r="F27" s="1223"/>
    </row>
    <row r="28" spans="1:6" ht="66">
      <c r="A28" s="1223">
        <v>13</v>
      </c>
      <c r="B28" s="1232" t="s">
        <v>382</v>
      </c>
      <c r="C28" s="1223" t="s">
        <v>5961</v>
      </c>
      <c r="D28" s="1223" t="s">
        <v>5944</v>
      </c>
      <c r="E28" s="1224">
        <v>43985</v>
      </c>
      <c r="F28" s="1223"/>
    </row>
    <row r="29" spans="1:6" ht="33">
      <c r="A29" s="1223">
        <v>14</v>
      </c>
      <c r="B29" s="1232" t="s">
        <v>402</v>
      </c>
      <c r="C29" s="1223" t="s">
        <v>5955</v>
      </c>
      <c r="D29" s="1223" t="s">
        <v>5949</v>
      </c>
      <c r="E29" s="1224">
        <v>43965</v>
      </c>
      <c r="F29" s="1223"/>
    </row>
    <row r="30" spans="1:6" ht="49.5">
      <c r="A30" s="1223">
        <v>15</v>
      </c>
      <c r="B30" s="1232" t="s">
        <v>401</v>
      </c>
      <c r="C30" s="1223" t="s">
        <v>5957</v>
      </c>
      <c r="D30" s="1223" t="s">
        <v>5949</v>
      </c>
      <c r="E30" s="1224">
        <v>43975</v>
      </c>
      <c r="F30" s="1223"/>
    </row>
    <row r="31" spans="1:6" ht="66">
      <c r="A31" s="1223">
        <v>16</v>
      </c>
      <c r="B31" s="1232" t="s">
        <v>382</v>
      </c>
      <c r="C31" s="1223" t="s">
        <v>5958</v>
      </c>
      <c r="D31" s="1223" t="s">
        <v>5949</v>
      </c>
      <c r="E31" s="1224">
        <v>43984</v>
      </c>
      <c r="F31" s="1223"/>
    </row>
    <row r="32" spans="1:6" ht="66">
      <c r="A32" s="1223">
        <v>17</v>
      </c>
      <c r="B32" s="1232" t="s">
        <v>382</v>
      </c>
      <c r="C32" s="1223" t="s">
        <v>5959</v>
      </c>
      <c r="D32" s="1223" t="s">
        <v>5949</v>
      </c>
      <c r="E32" s="1224">
        <v>43985</v>
      </c>
      <c r="F32" s="1223"/>
    </row>
    <row r="33" spans="1:6" ht="66">
      <c r="A33" s="1223">
        <v>18</v>
      </c>
      <c r="B33" s="1232" t="s">
        <v>382</v>
      </c>
      <c r="C33" s="1223" t="s">
        <v>5960</v>
      </c>
      <c r="D33" s="1223" t="s">
        <v>5949</v>
      </c>
      <c r="E33" s="1224">
        <v>43986</v>
      </c>
      <c r="F33" s="1223"/>
    </row>
    <row r="34" spans="1:6" ht="66">
      <c r="A34" s="1225">
        <v>19</v>
      </c>
      <c r="B34" s="1233" t="s">
        <v>382</v>
      </c>
      <c r="C34" s="1225" t="s">
        <v>5961</v>
      </c>
      <c r="D34" s="1225" t="s">
        <v>5949</v>
      </c>
      <c r="E34" s="1226">
        <v>43987</v>
      </c>
      <c r="F34" s="1225"/>
    </row>
    <row r="35" spans="1:6">
      <c r="A35" s="1227"/>
      <c r="B35" s="1234"/>
      <c r="C35" s="1227"/>
      <c r="D35" s="1227"/>
      <c r="E35" s="1228"/>
      <c r="F35" s="1227"/>
    </row>
    <row r="36" spans="1:6">
      <c r="A36" s="1227"/>
      <c r="B36" s="1234"/>
      <c r="C36" s="1227"/>
      <c r="D36" s="1227"/>
      <c r="E36" s="1228"/>
      <c r="F36" s="1227"/>
    </row>
    <row r="37" spans="1:6">
      <c r="A37" s="1227"/>
      <c r="B37" s="1234"/>
      <c r="C37" s="1227"/>
      <c r="D37" s="1227"/>
      <c r="E37" s="1228"/>
      <c r="F37" s="1227"/>
    </row>
    <row r="38" spans="1:6">
      <c r="A38" s="1227"/>
      <c r="B38" s="1234"/>
      <c r="C38" s="1227"/>
      <c r="D38" s="1227"/>
      <c r="E38" s="1228"/>
      <c r="F38" s="1227"/>
    </row>
    <row r="39" spans="1:6">
      <c r="A39" s="1227"/>
      <c r="B39" s="1234"/>
      <c r="C39" s="1227"/>
      <c r="D39" s="1227"/>
      <c r="E39" s="1228"/>
      <c r="F39" s="1227"/>
    </row>
    <row r="40" spans="1:6">
      <c r="A40" s="1227"/>
      <c r="B40" s="1234"/>
      <c r="C40" s="1227"/>
      <c r="D40" s="1227"/>
      <c r="E40" s="1228"/>
      <c r="F40" s="1227"/>
    </row>
    <row r="41" spans="1:6">
      <c r="A41" s="1227"/>
      <c r="B41" s="1234"/>
      <c r="C41" s="1227"/>
      <c r="D41" s="1227"/>
      <c r="E41" s="1228"/>
      <c r="F41" s="1227"/>
    </row>
    <row r="42" spans="1:6">
      <c r="A42" s="1227"/>
      <c r="B42" s="1234"/>
      <c r="C42" s="1227"/>
      <c r="D42" s="1227"/>
      <c r="E42" s="1228"/>
      <c r="F42" s="1227"/>
    </row>
    <row r="43" spans="1:6">
      <c r="A43" s="1227"/>
      <c r="B43" s="1234"/>
      <c r="C43" s="1227"/>
      <c r="D43" s="1227"/>
      <c r="E43" s="1228"/>
      <c r="F43" s="1227"/>
    </row>
    <row r="44" spans="1:6">
      <c r="A44" s="1227"/>
      <c r="B44" s="1234"/>
      <c r="C44" s="1227"/>
      <c r="D44" s="1227"/>
      <c r="E44" s="1228"/>
      <c r="F44" s="1227"/>
    </row>
    <row r="45" spans="1:6">
      <c r="A45" s="1227"/>
      <c r="B45" s="1234"/>
      <c r="C45" s="1227"/>
      <c r="D45" s="1227"/>
      <c r="E45" s="1228"/>
      <c r="F45" s="1227"/>
    </row>
    <row r="46" spans="1:6">
      <c r="A46" s="1227"/>
      <c r="B46" s="1234"/>
      <c r="C46" s="1227"/>
      <c r="D46" s="1227"/>
      <c r="E46" s="1228"/>
      <c r="F46" s="1227"/>
    </row>
    <row r="47" spans="1:6">
      <c r="A47" s="1227"/>
      <c r="B47" s="1234"/>
      <c r="C47" s="1227"/>
      <c r="D47" s="1227"/>
      <c r="E47" s="1228"/>
      <c r="F47" s="1227"/>
    </row>
    <row r="48" spans="1:6">
      <c r="A48" s="1227"/>
      <c r="B48" s="1234"/>
      <c r="C48" s="1227"/>
      <c r="D48" s="1227"/>
      <c r="E48" s="1228"/>
      <c r="F48" s="1227"/>
    </row>
    <row r="49" spans="1:6">
      <c r="A49" s="1227"/>
      <c r="B49" s="1234"/>
      <c r="C49" s="1227"/>
      <c r="D49" s="1227"/>
      <c r="E49" s="1228"/>
      <c r="F49" s="1227"/>
    </row>
    <row r="50" spans="1:6">
      <c r="A50" s="1227"/>
      <c r="B50" s="1234"/>
      <c r="C50" s="1227"/>
      <c r="D50" s="1227"/>
      <c r="E50" s="1228"/>
      <c r="F50" s="1227"/>
    </row>
    <row r="51" spans="1:6">
      <c r="A51" s="1227"/>
      <c r="B51" s="1234"/>
      <c r="C51" s="1227"/>
      <c r="D51" s="1227"/>
      <c r="E51" s="1228"/>
      <c r="F51" s="1227"/>
    </row>
    <row r="52" spans="1:6">
      <c r="A52" s="1227"/>
      <c r="B52" s="1234"/>
      <c r="C52" s="1227"/>
      <c r="D52" s="1227"/>
      <c r="E52" s="1228"/>
      <c r="F52" s="1227"/>
    </row>
    <row r="53" spans="1:6">
      <c r="A53" s="1227"/>
      <c r="B53" s="1234"/>
      <c r="C53" s="1227"/>
      <c r="D53" s="1227"/>
      <c r="E53" s="1228"/>
      <c r="F53" s="1227"/>
    </row>
    <row r="54" spans="1:6">
      <c r="A54" s="1227"/>
      <c r="B54" s="1234"/>
      <c r="C54" s="1227"/>
      <c r="D54" s="1227"/>
      <c r="E54" s="1228"/>
      <c r="F54" s="1227"/>
    </row>
    <row r="55" spans="1:6">
      <c r="A55" s="1227"/>
      <c r="B55" s="1234"/>
      <c r="C55" s="1227"/>
      <c r="D55" s="1227"/>
      <c r="E55" s="1228"/>
      <c r="F55" s="1227"/>
    </row>
    <row r="56" spans="1:6">
      <c r="A56" s="1227"/>
      <c r="B56" s="1234"/>
      <c r="C56" s="1227"/>
      <c r="D56" s="1227"/>
      <c r="E56" s="1228"/>
      <c r="F56" s="1227"/>
    </row>
    <row r="57" spans="1:6">
      <c r="A57" s="1227"/>
      <c r="B57" s="1234"/>
      <c r="C57" s="1227"/>
      <c r="D57" s="1227"/>
      <c r="E57" s="1228"/>
      <c r="F57" s="1227"/>
    </row>
    <row r="58" spans="1:6">
      <c r="A58" s="1227"/>
      <c r="B58" s="1234"/>
      <c r="C58" s="1227"/>
      <c r="D58" s="1227"/>
      <c r="E58" s="1228"/>
      <c r="F58" s="1227"/>
    </row>
    <row r="59" spans="1:6">
      <c r="A59" s="1227"/>
      <c r="B59" s="1234"/>
      <c r="C59" s="1227"/>
      <c r="D59" s="1227"/>
      <c r="E59" s="1228"/>
      <c r="F59" s="1227"/>
    </row>
    <row r="60" spans="1:6">
      <c r="A60" s="1227"/>
      <c r="B60" s="1234"/>
      <c r="C60" s="1227"/>
      <c r="D60" s="1227"/>
      <c r="E60" s="1228"/>
      <c r="F60" s="1227"/>
    </row>
    <row r="61" spans="1:6">
      <c r="A61" s="1227"/>
      <c r="B61" s="1234"/>
      <c r="C61" s="1227"/>
      <c r="D61" s="1227"/>
      <c r="E61" s="1228"/>
      <c r="F61" s="1227"/>
    </row>
    <row r="62" spans="1:6">
      <c r="A62" s="1227"/>
      <c r="B62" s="1234"/>
      <c r="C62" s="1227"/>
      <c r="D62" s="1227"/>
      <c r="E62" s="1228"/>
      <c r="F62" s="1227"/>
    </row>
    <row r="63" spans="1:6">
      <c r="A63" s="1227"/>
      <c r="B63" s="1234"/>
      <c r="C63" s="1227"/>
      <c r="D63" s="1227"/>
      <c r="E63" s="1228"/>
      <c r="F63" s="1227"/>
    </row>
    <row r="64" spans="1:6">
      <c r="A64" s="1227"/>
      <c r="B64" s="1234"/>
      <c r="C64" s="1227"/>
      <c r="D64" s="1227"/>
      <c r="E64" s="1228"/>
      <c r="F64" s="1227"/>
    </row>
    <row r="65" spans="1:6">
      <c r="A65" s="1227"/>
      <c r="B65" s="1234"/>
      <c r="C65" s="1227"/>
      <c r="D65" s="1227"/>
      <c r="E65" s="1228"/>
      <c r="F65" s="1227"/>
    </row>
    <row r="66" spans="1:6">
      <c r="A66" s="1227"/>
      <c r="B66" s="1234"/>
      <c r="C66" s="1227"/>
      <c r="D66" s="1227"/>
      <c r="E66" s="1228"/>
      <c r="F66" s="1227"/>
    </row>
    <row r="67" spans="1:6">
      <c r="A67" s="1227"/>
      <c r="B67" s="1234"/>
      <c r="C67" s="1227"/>
      <c r="D67" s="1227"/>
      <c r="E67" s="1228"/>
      <c r="F67" s="1227"/>
    </row>
    <row r="68" spans="1:6">
      <c r="A68" s="1227"/>
      <c r="B68" s="1234"/>
      <c r="C68" s="1227"/>
      <c r="D68" s="1227"/>
      <c r="E68" s="1228"/>
      <c r="F68" s="1227"/>
    </row>
    <row r="69" spans="1:6">
      <c r="A69" s="1227"/>
      <c r="B69" s="1234"/>
      <c r="C69" s="1227"/>
      <c r="D69" s="1227"/>
      <c r="E69" s="1228"/>
      <c r="F69" s="1227"/>
    </row>
    <row r="70" spans="1:6">
      <c r="A70" s="1227"/>
      <c r="B70" s="1234"/>
      <c r="C70" s="1227"/>
      <c r="D70" s="1227"/>
      <c r="E70" s="1228"/>
      <c r="F70" s="1227"/>
    </row>
    <row r="71" spans="1:6">
      <c r="A71" s="1227"/>
      <c r="B71" s="1234"/>
      <c r="C71" s="1227"/>
      <c r="D71" s="1227"/>
      <c r="E71" s="1228"/>
      <c r="F71" s="1227"/>
    </row>
    <row r="72" spans="1:6">
      <c r="A72" s="1227"/>
      <c r="B72" s="1234"/>
      <c r="C72" s="1227"/>
      <c r="D72" s="1227"/>
      <c r="E72" s="1228"/>
      <c r="F72" s="1227"/>
    </row>
    <row r="73" spans="1:6">
      <c r="A73" s="1227"/>
      <c r="B73" s="1234"/>
      <c r="C73" s="1227"/>
      <c r="D73" s="1227"/>
      <c r="E73" s="1228"/>
      <c r="F73" s="1227"/>
    </row>
    <row r="74" spans="1:6">
      <c r="A74" s="1227"/>
      <c r="B74" s="1234"/>
      <c r="C74" s="1227"/>
      <c r="D74" s="1227"/>
      <c r="E74" s="1228"/>
      <c r="F74" s="1227"/>
    </row>
    <row r="75" spans="1:6">
      <c r="A75" s="1227"/>
      <c r="B75" s="1234"/>
      <c r="C75" s="1227"/>
      <c r="D75" s="1227"/>
      <c r="E75" s="1228"/>
      <c r="F75" s="1227"/>
    </row>
    <row r="76" spans="1:6">
      <c r="A76" s="1229"/>
      <c r="B76" s="1235"/>
      <c r="C76" s="1229"/>
      <c r="D76" s="1229"/>
      <c r="E76" s="1229"/>
      <c r="F76" s="1229"/>
    </row>
  </sheetData>
  <mergeCells count="7">
    <mergeCell ref="A11:F11"/>
    <mergeCell ref="A1:F1"/>
    <mergeCell ref="A3:F3"/>
    <mergeCell ref="A4:F4"/>
    <mergeCell ref="A5:F5"/>
    <mergeCell ref="A6:F6"/>
    <mergeCell ref="A8:F8"/>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9">
    <tabColor rgb="FFFF0000"/>
  </sheetPr>
  <dimension ref="A1:W36"/>
  <sheetViews>
    <sheetView showGridLines="0" zoomScaleNormal="100" workbookViewId="0">
      <pane xSplit="23" ySplit="4" topLeftCell="X14" activePane="bottomRight" state="frozen"/>
      <selection pane="topRight" activeCell="X1" sqref="X1"/>
      <selection pane="bottomLeft" activeCell="A4" sqref="A4"/>
      <selection pane="bottomRight" activeCell="E15" sqref="E15:P15"/>
    </sheetView>
  </sheetViews>
  <sheetFormatPr defaultRowHeight="16.5" zeroHeight="1"/>
  <cols>
    <col min="1" max="4" width="8.88671875" style="29"/>
    <col min="5" max="5" width="3.44140625" style="29" customWidth="1"/>
    <col min="6" max="7" width="6.77734375" style="29" customWidth="1"/>
    <col min="8" max="8" width="5.6640625" style="29" customWidth="1"/>
    <col min="9" max="9" width="6.77734375" style="29" customWidth="1"/>
    <col min="10" max="10" width="1.33203125" style="29" customWidth="1"/>
    <col min="11" max="11" width="5.88671875" style="29" customWidth="1"/>
    <col min="12" max="12" width="8.77734375" style="29" customWidth="1"/>
    <col min="13" max="13" width="6.88671875" style="29" customWidth="1"/>
    <col min="14" max="14" width="8.33203125" style="29" customWidth="1"/>
    <col min="15" max="15" width="7" style="29" customWidth="1"/>
    <col min="16" max="16" width="5.77734375" style="29" customWidth="1"/>
    <col min="17" max="16384" width="8.88671875" style="29"/>
  </cols>
  <sheetData>
    <row r="1" spans="1:23" ht="20.25">
      <c r="A1" s="87"/>
      <c r="B1" s="87"/>
      <c r="C1" s="87"/>
      <c r="D1" s="87"/>
      <c r="E1" s="1834" t="str">
        <f>E8</f>
        <v>LỆNH KHỞI CÔNG</v>
      </c>
      <c r="F1" s="1834"/>
      <c r="G1" s="1834"/>
      <c r="H1" s="1834"/>
      <c r="I1" s="1834"/>
      <c r="J1" s="1834"/>
      <c r="K1" s="1834"/>
      <c r="L1" s="1834"/>
      <c r="M1" s="1834"/>
      <c r="N1" s="1834"/>
      <c r="O1" s="1834"/>
      <c r="P1" s="1834"/>
      <c r="Q1" s="87"/>
      <c r="R1" s="87"/>
      <c r="S1" s="87"/>
      <c r="T1" s="87"/>
      <c r="U1" s="87"/>
      <c r="V1" s="87"/>
      <c r="W1" s="87"/>
    </row>
    <row r="2" spans="1:23">
      <c r="A2" s="87"/>
      <c r="B2" s="87"/>
      <c r="C2" s="87"/>
      <c r="D2" s="87"/>
      <c r="E2" s="1785" t="str">
        <f>Nhattrinh!E1</f>
        <v xml:space="preserve">     Công trình: Gia cố nâng cấp kênh Bà Xoài từ K0+300÷K0+600 - Hệ thống thủy lợi Nha Trinh, huyện Ninh Hải, tỉnh Ninh Thuận</v>
      </c>
      <c r="F2" s="1785"/>
      <c r="G2" s="1785"/>
      <c r="H2" s="1785"/>
      <c r="I2" s="1785"/>
      <c r="J2" s="1785"/>
      <c r="K2" s="1785"/>
      <c r="L2" s="1785"/>
      <c r="M2" s="1785"/>
      <c r="N2" s="1785"/>
      <c r="O2" s="1785"/>
      <c r="P2" s="1785"/>
      <c r="Q2" s="87"/>
      <c r="R2" s="87"/>
      <c r="S2" s="87"/>
      <c r="T2" s="87"/>
      <c r="U2" s="87"/>
      <c r="V2" s="87"/>
      <c r="W2" s="87"/>
    </row>
    <row r="3" spans="1:23">
      <c r="A3" s="87"/>
      <c r="B3" s="87"/>
      <c r="C3" s="87"/>
      <c r="D3" s="87"/>
      <c r="E3" s="1785" t="str">
        <f>Nhattrinh!E2</f>
        <v xml:space="preserve">     Địa điểm XD: Huyện Ninh Hải - Tỉnh Ninh Thuận</v>
      </c>
      <c r="F3" s="1785"/>
      <c r="G3" s="1785"/>
      <c r="H3" s="1785"/>
      <c r="I3" s="1785"/>
      <c r="J3" s="1785"/>
      <c r="K3" s="1785"/>
      <c r="L3" s="1785"/>
      <c r="M3" s="1785"/>
      <c r="N3" s="1785"/>
      <c r="O3" s="1785"/>
      <c r="P3" s="1785"/>
      <c r="Q3" s="87"/>
      <c r="R3" s="87"/>
      <c r="S3" s="87"/>
      <c r="T3" s="87"/>
      <c r="U3" s="87"/>
      <c r="V3" s="87"/>
      <c r="W3" s="87"/>
    </row>
    <row r="4" spans="1:23" ht="9" customHeight="1">
      <c r="A4" s="87"/>
      <c r="B4" s="87"/>
      <c r="C4" s="87"/>
      <c r="D4" s="87"/>
      <c r="E4" s="87"/>
      <c r="F4" s="87"/>
      <c r="G4" s="87"/>
      <c r="H4" s="87"/>
      <c r="I4" s="87"/>
      <c r="J4" s="87"/>
      <c r="K4" s="87"/>
      <c r="L4" s="87"/>
      <c r="M4" s="87"/>
      <c r="N4" s="87"/>
      <c r="O4" s="87"/>
      <c r="P4" s="87"/>
      <c r="Q4" s="87"/>
      <c r="R4" s="87"/>
      <c r="S4" s="87"/>
      <c r="T4" s="87"/>
      <c r="U4" s="87"/>
      <c r="V4" s="87"/>
      <c r="W4" s="87"/>
    </row>
    <row r="5" spans="1:23">
      <c r="A5" s="87"/>
      <c r="B5" s="87"/>
      <c r="C5" s="87"/>
      <c r="D5" s="87"/>
      <c r="E5" s="1799" t="s">
        <v>158</v>
      </c>
      <c r="F5" s="1799"/>
      <c r="G5" s="1799"/>
      <c r="H5" s="1799"/>
      <c r="I5" s="1799"/>
      <c r="J5" s="1799"/>
      <c r="K5" s="1799"/>
      <c r="L5" s="1799"/>
      <c r="M5" s="1799"/>
      <c r="N5" s="1799"/>
      <c r="O5" s="1799"/>
      <c r="P5" s="1799"/>
      <c r="Q5" s="87"/>
      <c r="R5" s="87"/>
      <c r="S5" s="87"/>
      <c r="T5" s="87"/>
      <c r="U5" s="87"/>
      <c r="V5" s="87"/>
      <c r="W5" s="87"/>
    </row>
    <row r="6" spans="1:23">
      <c r="A6" s="87"/>
      <c r="B6" s="87"/>
      <c r="C6" s="87"/>
      <c r="D6" s="87"/>
      <c r="E6" s="1799" t="s">
        <v>161</v>
      </c>
      <c r="F6" s="1799"/>
      <c r="G6" s="1799"/>
      <c r="H6" s="1799"/>
      <c r="I6" s="1799"/>
      <c r="J6" s="1799"/>
      <c r="K6" s="1799"/>
      <c r="L6" s="1799"/>
      <c r="M6" s="1799"/>
      <c r="N6" s="1799"/>
      <c r="O6" s="1799"/>
      <c r="P6" s="1799"/>
      <c r="Q6" s="87"/>
      <c r="R6" s="87"/>
      <c r="S6" s="87"/>
      <c r="T6" s="87"/>
      <c r="U6" s="87"/>
      <c r="V6" s="87"/>
      <c r="W6" s="87"/>
    </row>
    <row r="7" spans="1:23">
      <c r="A7" s="87"/>
      <c r="B7" s="87"/>
      <c r="C7" s="87"/>
      <c r="D7" s="87"/>
      <c r="E7" s="331"/>
      <c r="F7" s="331"/>
      <c r="G7" s="331"/>
      <c r="H7" s="331"/>
      <c r="I7" s="331"/>
      <c r="J7" s="331"/>
      <c r="K7" s="331"/>
      <c r="L7" s="331"/>
      <c r="M7" s="331"/>
      <c r="N7" s="331"/>
      <c r="O7" s="331"/>
      <c r="P7" s="331"/>
      <c r="Q7" s="87"/>
      <c r="R7" s="87"/>
      <c r="S7" s="87"/>
      <c r="T7" s="87"/>
      <c r="U7" s="87"/>
      <c r="V7" s="87"/>
      <c r="W7" s="87"/>
    </row>
    <row r="8" spans="1:23" ht="22.5">
      <c r="A8" s="87"/>
      <c r="B8" s="87"/>
      <c r="C8" s="87"/>
      <c r="D8" s="87"/>
      <c r="E8" s="1845" t="s">
        <v>225</v>
      </c>
      <c r="F8" s="1845"/>
      <c r="G8" s="1845"/>
      <c r="H8" s="1845"/>
      <c r="I8" s="1845"/>
      <c r="J8" s="1845"/>
      <c r="K8" s="1845"/>
      <c r="L8" s="1845"/>
      <c r="M8" s="1845"/>
      <c r="N8" s="1845"/>
      <c r="O8" s="1845"/>
      <c r="P8" s="1845"/>
      <c r="Q8" s="87"/>
      <c r="R8" s="87"/>
      <c r="S8" s="87"/>
      <c r="T8" s="87"/>
      <c r="U8" s="87"/>
      <c r="V8" s="87"/>
      <c r="W8" s="87"/>
    </row>
    <row r="9" spans="1:23">
      <c r="A9" s="87"/>
      <c r="B9" s="87"/>
      <c r="C9" s="87"/>
      <c r="D9" s="87"/>
      <c r="E9" s="331"/>
      <c r="F9" s="331"/>
      <c r="G9" s="331"/>
      <c r="H9" s="331"/>
      <c r="I9" s="331"/>
      <c r="J9" s="331"/>
      <c r="K9" s="331"/>
      <c r="L9" s="331"/>
      <c r="M9" s="331"/>
      <c r="N9" s="331"/>
      <c r="O9" s="331"/>
      <c r="P9" s="331"/>
      <c r="Q9" s="87"/>
      <c r="R9" s="87"/>
      <c r="S9" s="87"/>
      <c r="T9" s="87"/>
      <c r="U9" s="87"/>
      <c r="V9" s="87"/>
      <c r="W9" s="87"/>
    </row>
    <row r="10" spans="1:23" ht="32.25" customHeight="1">
      <c r="A10" s="87"/>
      <c r="B10" s="87"/>
      <c r="C10" s="87"/>
      <c r="D10" s="87"/>
      <c r="E10" s="1980" t="str">
        <f>"     - Căn cứ hồ sơ thiết kế kỹ thuật do "&amp;DVTK&amp;" lập và được duyệt."</f>
        <v xml:space="preserve">     - Căn cứ hồ sơ thiết kế kỹ thuật do Công ty TNHH Tư vấn Xây dựng Hưng Thịnh lập và được duyệt.</v>
      </c>
      <c r="F10" s="1980"/>
      <c r="G10" s="1980"/>
      <c r="H10" s="1980"/>
      <c r="I10" s="1980"/>
      <c r="J10" s="1980"/>
      <c r="K10" s="1980"/>
      <c r="L10" s="1980"/>
      <c r="M10" s="1980"/>
      <c r="N10" s="1980"/>
      <c r="O10" s="1980"/>
      <c r="P10" s="1980"/>
      <c r="Q10" s="87"/>
      <c r="R10" s="87"/>
      <c r="S10" s="87"/>
      <c r="T10" s="87"/>
      <c r="U10" s="87"/>
      <c r="V10" s="87"/>
      <c r="W10" s="87"/>
    </row>
    <row r="11" spans="1:23" ht="48.75" customHeight="1">
      <c r="A11" s="87"/>
      <c r="B11" s="87"/>
      <c r="C11" s="87"/>
      <c r="D11" s="87"/>
      <c r="E11" s="1833" t="str">
        <f>"     - Căn cứ hợp đồng "&amp;Hopdong&amp;" giữa "&amp;CĐT&amp;" và "&amp;DVTC</f>
        <v xml:space="preserve">     - Căn cứ hợp đồng 01/2020/HĐXD-TD ngày 28 tháng 04 năm 2020 giữa Công ty TNHH MTV khai thác công trình thủy lợi Ninh Thuận và Công ty TNHH Xây dựng Thịnh Dũng</v>
      </c>
      <c r="F11" s="1833"/>
      <c r="G11" s="1833"/>
      <c r="H11" s="1833"/>
      <c r="I11" s="1833"/>
      <c r="J11" s="1833"/>
      <c r="K11" s="1833"/>
      <c r="L11" s="1833"/>
      <c r="M11" s="1833"/>
      <c r="N11" s="1833"/>
      <c r="O11" s="1833"/>
      <c r="P11" s="1833"/>
      <c r="Q11" s="87"/>
      <c r="R11" s="87"/>
      <c r="S11" s="87"/>
      <c r="T11" s="87"/>
      <c r="U11" s="87"/>
      <c r="V11" s="87"/>
      <c r="W11" s="87"/>
    </row>
    <row r="12" spans="1:23" ht="54.75" customHeight="1">
      <c r="A12" s="87"/>
      <c r="B12" s="87"/>
      <c r="C12" s="87"/>
      <c r="D12" s="87"/>
      <c r="E12" s="1833" t="str">
        <f>"     -  Căn cứ hợp đồng giám sát thi công xây dựng công trình số ……………... giữa "&amp;CĐT&amp;" và "&amp;DVGS</f>
        <v xml:space="preserve">     -  Căn cứ hợp đồng giám sát thi công xây dựng công trình số ……………... giữa Công ty TNHH MTV khai thác công trình thủy lợi Ninh Thuận và Công ty TNHH Tư vấn Đầu tư Xây dựng Huy Đạt</v>
      </c>
      <c r="F12" s="1833"/>
      <c r="G12" s="1833"/>
      <c r="H12" s="1833"/>
      <c r="I12" s="1833"/>
      <c r="J12" s="1833"/>
      <c r="K12" s="1833"/>
      <c r="L12" s="1833"/>
      <c r="M12" s="1833"/>
      <c r="N12" s="1833"/>
      <c r="O12" s="1833"/>
      <c r="P12" s="1833"/>
      <c r="Q12" s="87"/>
      <c r="R12" s="87"/>
      <c r="S12" s="87"/>
      <c r="T12" s="87"/>
      <c r="U12" s="87"/>
      <c r="V12" s="87"/>
      <c r="W12" s="87"/>
    </row>
    <row r="13" spans="1:23" ht="52.5" customHeight="1">
      <c r="A13" s="87"/>
      <c r="B13" s="87"/>
      <c r="C13" s="87"/>
      <c r="D13" s="87"/>
      <c r="E13" s="1833" t="str">
        <f>"     Hôm nay , ngày "&amp;DAY(Ngaykhoicong)&amp;" tháng "&amp;MONTH(Ngaykhoicong)&amp;" năm "&amp;YEAR(Ngaykhoicong)&amp;", chúng tôi, Chủ đầu tư công trình "&amp;NDtieude2&amp;" chính thức phát lệnh khởi công xây dựng công trình."</f>
        <v xml:space="preserve">     Hôm nay , ngày 2 tháng 5 năm 2020, chúng tôi, Chủ đầu tư công trình  chính thức phát lệnh khởi công xây dựng công trình.</v>
      </c>
      <c r="F13" s="1833"/>
      <c r="G13" s="1833"/>
      <c r="H13" s="1833"/>
      <c r="I13" s="1833"/>
      <c r="J13" s="1833"/>
      <c r="K13" s="1833"/>
      <c r="L13" s="1833"/>
      <c r="M13" s="1833"/>
      <c r="N13" s="1833"/>
      <c r="O13" s="1833"/>
      <c r="P13" s="1833"/>
      <c r="Q13" s="87"/>
      <c r="R13" s="87"/>
      <c r="S13" s="87"/>
      <c r="T13" s="87"/>
      <c r="U13" s="87"/>
      <c r="V13" s="87"/>
      <c r="W13" s="87"/>
    </row>
    <row r="14" spans="1:23" ht="54.75" customHeight="1">
      <c r="A14" s="87"/>
      <c r="B14" s="87"/>
      <c r="C14" s="87"/>
      <c r="D14" s="87"/>
      <c r="E14" s="1980" t="s">
        <v>226</v>
      </c>
      <c r="F14" s="1980"/>
      <c r="G14" s="1980"/>
      <c r="H14" s="1980"/>
      <c r="I14" s="1980"/>
      <c r="J14" s="1980"/>
      <c r="K14" s="1980"/>
      <c r="L14" s="1980"/>
      <c r="M14" s="1980"/>
      <c r="N14" s="1980"/>
      <c r="O14" s="1980"/>
      <c r="P14" s="1980"/>
      <c r="Q14" s="87"/>
      <c r="R14" s="87"/>
      <c r="S14" s="87"/>
      <c r="T14" s="87"/>
      <c r="U14" s="87"/>
      <c r="V14" s="87"/>
      <c r="W14" s="87"/>
    </row>
    <row r="15" spans="1:23" ht="43.5" customHeight="1">
      <c r="A15" s="87"/>
      <c r="B15" s="87"/>
      <c r="C15" s="87"/>
      <c r="D15" s="87"/>
      <c r="E15" s="1980" t="s">
        <v>222</v>
      </c>
      <c r="F15" s="1980"/>
      <c r="G15" s="1980"/>
      <c r="H15" s="1980"/>
      <c r="I15" s="1980"/>
      <c r="J15" s="1980"/>
      <c r="K15" s="1980"/>
      <c r="L15" s="1980"/>
      <c r="M15" s="1980"/>
      <c r="N15" s="1980"/>
      <c r="O15" s="1980"/>
      <c r="P15" s="1980"/>
      <c r="Q15" s="87"/>
      <c r="R15" s="87"/>
      <c r="S15" s="87"/>
      <c r="T15" s="87"/>
      <c r="U15" s="87"/>
      <c r="V15" s="87"/>
      <c r="W15" s="87"/>
    </row>
    <row r="16" spans="1:23" ht="18.75" customHeight="1">
      <c r="A16" s="87"/>
      <c r="B16" s="87"/>
      <c r="C16" s="87"/>
      <c r="D16" s="87"/>
      <c r="E16" s="331"/>
      <c r="F16" s="333" t="s">
        <v>227</v>
      </c>
      <c r="G16" s="331"/>
      <c r="H16" s="331"/>
      <c r="I16" s="331"/>
      <c r="J16" s="331" t="s">
        <v>219</v>
      </c>
      <c r="K16" s="331"/>
      <c r="L16" s="331"/>
      <c r="M16" s="331"/>
      <c r="N16" s="331"/>
      <c r="O16" s="331"/>
      <c r="P16" s="331"/>
      <c r="Q16" s="87"/>
      <c r="R16" s="87"/>
      <c r="S16" s="87"/>
      <c r="T16" s="87"/>
      <c r="U16" s="87"/>
      <c r="V16" s="87"/>
      <c r="W16" s="87"/>
    </row>
    <row r="17" spans="1:23" ht="18.75" customHeight="1">
      <c r="A17" s="87"/>
      <c r="B17" s="87"/>
      <c r="C17" s="87"/>
      <c r="D17" s="87"/>
      <c r="E17" s="331"/>
      <c r="F17" s="333" t="s">
        <v>228</v>
      </c>
      <c r="G17" s="331"/>
      <c r="H17" s="331"/>
      <c r="I17" s="331"/>
      <c r="J17" s="331" t="s">
        <v>219</v>
      </c>
      <c r="K17" s="331"/>
      <c r="L17" s="331"/>
      <c r="M17" s="331"/>
      <c r="N17" s="331"/>
      <c r="O17" s="331"/>
      <c r="P17" s="331"/>
      <c r="Q17" s="87"/>
      <c r="R17" s="87"/>
      <c r="S17" s="87"/>
      <c r="T17" s="87"/>
      <c r="U17" s="87"/>
      <c r="V17" s="87"/>
      <c r="W17" s="87"/>
    </row>
    <row r="18" spans="1:23" ht="18.75" customHeight="1">
      <c r="A18" s="87"/>
      <c r="B18" s="87"/>
      <c r="C18" s="87"/>
      <c r="D18" s="87"/>
      <c r="E18" s="331"/>
      <c r="F18" s="333" t="s">
        <v>229</v>
      </c>
      <c r="G18" s="331"/>
      <c r="H18" s="331"/>
      <c r="I18" s="331"/>
      <c r="J18" s="331" t="s">
        <v>219</v>
      </c>
      <c r="K18" s="331"/>
      <c r="L18" s="331"/>
      <c r="M18" s="331"/>
      <c r="N18" s="331"/>
      <c r="O18" s="331"/>
      <c r="P18" s="331"/>
      <c r="Q18" s="87"/>
      <c r="R18" s="87"/>
      <c r="S18" s="87"/>
      <c r="T18" s="87"/>
      <c r="U18" s="87"/>
      <c r="V18" s="87"/>
      <c r="W18" s="87"/>
    </row>
    <row r="19" spans="1:23" ht="18.75" customHeight="1">
      <c r="A19" s="87"/>
      <c r="B19" s="87"/>
      <c r="C19" s="87"/>
      <c r="D19" s="87"/>
      <c r="E19" s="331"/>
      <c r="F19" s="333"/>
      <c r="G19" s="331"/>
      <c r="H19" s="331"/>
      <c r="I19" s="331"/>
      <c r="J19" s="331"/>
      <c r="K19" s="331"/>
      <c r="L19" s="331"/>
      <c r="M19" s="331"/>
      <c r="N19" s="331"/>
      <c r="O19" s="331"/>
      <c r="P19" s="331"/>
      <c r="Q19" s="87"/>
      <c r="R19" s="87"/>
      <c r="S19" s="87"/>
      <c r="T19" s="87"/>
      <c r="U19" s="87"/>
      <c r="V19" s="87"/>
      <c r="W19" s="87"/>
    </row>
    <row r="20" spans="1:23">
      <c r="A20" s="87"/>
      <c r="B20" s="87"/>
      <c r="C20" s="87"/>
      <c r="D20" s="87"/>
      <c r="E20" s="331" t="s">
        <v>223</v>
      </c>
      <c r="F20" s="331"/>
      <c r="G20" s="331"/>
      <c r="H20" s="331"/>
      <c r="I20" s="331"/>
      <c r="J20" s="331"/>
      <c r="K20" s="331"/>
      <c r="L20" s="331"/>
      <c r="M20" s="331"/>
      <c r="N20" s="331"/>
      <c r="O20" s="331"/>
      <c r="P20" s="331"/>
      <c r="Q20" s="87"/>
      <c r="R20" s="87"/>
      <c r="S20" s="87"/>
      <c r="T20" s="87"/>
      <c r="U20" s="87"/>
      <c r="V20" s="87"/>
      <c r="W20" s="87"/>
    </row>
    <row r="21" spans="1:23" ht="33" customHeight="1">
      <c r="A21" s="87"/>
      <c r="B21" s="87"/>
      <c r="C21" s="87"/>
      <c r="D21" s="87"/>
      <c r="E21" s="331"/>
      <c r="F21" s="331"/>
      <c r="G21" s="331"/>
      <c r="H21" s="331"/>
      <c r="I21" s="331"/>
      <c r="J21" s="331"/>
      <c r="K21" s="1847" t="str">
        <f>UPPER(CĐT)</f>
        <v>CÔNG TY TNHH MTV KHAI THÁC CÔNG TRÌNH THỦY LỢI NINH THUẬN</v>
      </c>
      <c r="L21" s="1847"/>
      <c r="M21" s="1847"/>
      <c r="N21" s="1847"/>
      <c r="O21" s="1847"/>
      <c r="P21" s="1847"/>
      <c r="Q21" s="87"/>
      <c r="R21" s="87"/>
      <c r="S21" s="87"/>
      <c r="T21" s="87"/>
      <c r="U21" s="87"/>
      <c r="V21" s="87"/>
      <c r="W21" s="87"/>
    </row>
    <row r="22" spans="1:23">
      <c r="A22" s="87"/>
      <c r="B22" s="87"/>
      <c r="C22" s="87"/>
      <c r="D22" s="87"/>
      <c r="E22" s="331"/>
      <c r="F22" s="331"/>
      <c r="G22" s="331"/>
      <c r="H22" s="331"/>
      <c r="I22" s="331"/>
      <c r="J22" s="331"/>
      <c r="K22" s="1979" t="s">
        <v>224</v>
      </c>
      <c r="L22" s="1979"/>
      <c r="M22" s="1979"/>
      <c r="N22" s="1979"/>
      <c r="O22" s="1979"/>
      <c r="P22" s="1979"/>
      <c r="Q22" s="87"/>
      <c r="R22" s="87"/>
      <c r="S22" s="87"/>
      <c r="T22" s="87"/>
      <c r="U22" s="87"/>
      <c r="V22" s="87"/>
      <c r="W22" s="87"/>
    </row>
    <row r="23" spans="1:23">
      <c r="A23" s="87"/>
      <c r="B23" s="87"/>
      <c r="C23" s="87"/>
      <c r="D23" s="87"/>
      <c r="E23" s="331"/>
      <c r="F23" s="331"/>
      <c r="G23" s="331"/>
      <c r="H23" s="331"/>
      <c r="I23" s="331"/>
      <c r="J23" s="331"/>
      <c r="K23" s="331"/>
      <c r="L23" s="331"/>
      <c r="M23" s="331"/>
      <c r="N23" s="331"/>
      <c r="O23" s="331"/>
      <c r="P23" s="331"/>
      <c r="Q23" s="87"/>
      <c r="R23" s="87"/>
      <c r="S23" s="87"/>
      <c r="T23" s="87"/>
      <c r="U23" s="87"/>
      <c r="V23" s="87"/>
      <c r="W23" s="87"/>
    </row>
    <row r="24" spans="1:23">
      <c r="A24" s="87"/>
      <c r="B24" s="87"/>
      <c r="C24" s="87"/>
      <c r="D24" s="87"/>
      <c r="E24" s="331"/>
      <c r="F24" s="331"/>
      <c r="G24" s="331"/>
      <c r="H24" s="331"/>
      <c r="I24" s="331"/>
      <c r="J24" s="331"/>
      <c r="K24" s="331"/>
      <c r="L24" s="331"/>
      <c r="M24" s="331"/>
      <c r="N24" s="331"/>
      <c r="O24" s="331"/>
      <c r="P24" s="331"/>
      <c r="Q24" s="87"/>
      <c r="R24" s="87"/>
      <c r="S24" s="87"/>
      <c r="T24" s="87"/>
      <c r="U24" s="87"/>
      <c r="V24" s="87"/>
      <c r="W24" s="87"/>
    </row>
    <row r="25" spans="1:23">
      <c r="A25" s="87"/>
      <c r="B25" s="87"/>
      <c r="C25" s="87"/>
      <c r="D25" s="87"/>
      <c r="E25" s="331"/>
      <c r="F25" s="331"/>
      <c r="G25" s="331"/>
      <c r="H25" s="331"/>
      <c r="I25" s="331"/>
      <c r="J25" s="331"/>
      <c r="K25" s="331"/>
      <c r="L25" s="331"/>
      <c r="M25" s="331"/>
      <c r="N25" s="331"/>
      <c r="O25" s="331"/>
      <c r="P25" s="331"/>
      <c r="Q25" s="87"/>
      <c r="R25" s="87"/>
      <c r="S25" s="87"/>
      <c r="T25" s="87"/>
      <c r="U25" s="87"/>
      <c r="V25" s="87"/>
      <c r="W25" s="87"/>
    </row>
    <row r="26" spans="1:23">
      <c r="A26" s="87"/>
      <c r="B26" s="87"/>
      <c r="C26" s="87"/>
      <c r="D26" s="87"/>
      <c r="E26" s="331"/>
      <c r="F26" s="331"/>
      <c r="G26" s="331"/>
      <c r="H26" s="331"/>
      <c r="I26" s="331"/>
      <c r="J26" s="331"/>
      <c r="K26" s="331"/>
      <c r="L26" s="331"/>
      <c r="M26" s="331"/>
      <c r="N26" s="331"/>
      <c r="O26" s="331"/>
      <c r="P26" s="331"/>
      <c r="Q26" s="87"/>
      <c r="R26" s="87"/>
      <c r="S26" s="87"/>
      <c r="T26" s="87"/>
      <c r="U26" s="87"/>
      <c r="V26" s="87"/>
      <c r="W26" s="87"/>
    </row>
    <row r="27" spans="1:23">
      <c r="A27" s="87"/>
      <c r="B27" s="87"/>
      <c r="C27" s="87"/>
      <c r="D27" s="87"/>
      <c r="E27" s="331"/>
      <c r="F27" s="331"/>
      <c r="G27" s="331"/>
      <c r="H27" s="331"/>
      <c r="I27" s="331"/>
      <c r="J27" s="331"/>
      <c r="K27" s="331"/>
      <c r="L27" s="331"/>
      <c r="M27" s="331"/>
      <c r="N27" s="331"/>
      <c r="O27" s="331"/>
      <c r="P27" s="331"/>
      <c r="Q27" s="87"/>
      <c r="R27" s="87"/>
      <c r="S27" s="87"/>
      <c r="T27" s="87"/>
      <c r="U27" s="87"/>
      <c r="V27" s="87"/>
      <c r="W27" s="87"/>
    </row>
    <row r="28" spans="1:23">
      <c r="A28" s="87"/>
      <c r="B28" s="87"/>
      <c r="C28" s="87"/>
      <c r="D28" s="87"/>
      <c r="E28" s="87"/>
      <c r="F28" s="87"/>
      <c r="G28" s="87"/>
      <c r="H28" s="87"/>
      <c r="I28" s="87"/>
      <c r="J28" s="87"/>
      <c r="K28" s="87"/>
      <c r="L28" s="87"/>
      <c r="M28" s="87"/>
      <c r="N28" s="87"/>
      <c r="O28" s="87"/>
      <c r="P28" s="87"/>
      <c r="Q28" s="87"/>
      <c r="R28" s="87"/>
      <c r="S28" s="87"/>
      <c r="T28" s="87"/>
      <c r="U28" s="87"/>
      <c r="V28" s="87"/>
      <c r="W28" s="87"/>
    </row>
    <row r="29" spans="1:23">
      <c r="A29" s="87"/>
      <c r="B29" s="87"/>
      <c r="C29" s="87"/>
      <c r="D29" s="87"/>
      <c r="E29" s="87"/>
      <c r="F29" s="87"/>
      <c r="G29" s="87"/>
      <c r="H29" s="87"/>
      <c r="I29" s="87"/>
      <c r="J29" s="87"/>
      <c r="K29" s="87"/>
      <c r="L29" s="87"/>
      <c r="M29" s="87"/>
      <c r="N29" s="87"/>
      <c r="O29" s="87"/>
      <c r="P29" s="87"/>
      <c r="Q29" s="87"/>
      <c r="R29" s="87"/>
      <c r="S29" s="87"/>
      <c r="T29" s="87"/>
      <c r="U29" s="87"/>
      <c r="V29" s="87"/>
      <c r="W29" s="87"/>
    </row>
    <row r="30" spans="1:23">
      <c r="A30" s="87"/>
      <c r="B30" s="87"/>
      <c r="C30" s="87"/>
      <c r="D30" s="87"/>
      <c r="E30" s="87"/>
      <c r="F30" s="87"/>
      <c r="G30" s="87"/>
      <c r="H30" s="87"/>
      <c r="I30" s="87"/>
      <c r="J30" s="87"/>
      <c r="K30" s="87"/>
      <c r="L30" s="87"/>
      <c r="M30" s="87"/>
      <c r="N30" s="87"/>
      <c r="O30" s="87"/>
      <c r="P30" s="87"/>
      <c r="Q30" s="87"/>
      <c r="R30" s="87"/>
      <c r="S30" s="87"/>
      <c r="T30" s="87"/>
      <c r="U30" s="87"/>
      <c r="V30" s="87"/>
      <c r="W30" s="87"/>
    </row>
    <row r="31" spans="1:23">
      <c r="A31" s="87"/>
      <c r="B31" s="87"/>
      <c r="C31" s="87"/>
      <c r="D31" s="87"/>
      <c r="E31" s="87"/>
      <c r="F31" s="87"/>
      <c r="G31" s="87"/>
      <c r="H31" s="87"/>
      <c r="I31" s="87"/>
      <c r="J31" s="87"/>
      <c r="K31" s="87"/>
      <c r="L31" s="87"/>
      <c r="M31" s="87"/>
      <c r="N31" s="87"/>
      <c r="O31" s="87"/>
      <c r="P31" s="87"/>
      <c r="Q31" s="87"/>
      <c r="R31" s="87"/>
      <c r="S31" s="87"/>
      <c r="T31" s="87"/>
      <c r="U31" s="87"/>
      <c r="V31" s="87"/>
      <c r="W31" s="87"/>
    </row>
    <row r="32" spans="1:23">
      <c r="A32" s="87"/>
      <c r="B32" s="87"/>
      <c r="C32" s="87"/>
      <c r="D32" s="87"/>
      <c r="E32" s="87"/>
      <c r="F32" s="87"/>
      <c r="G32" s="87"/>
      <c r="H32" s="87"/>
      <c r="I32" s="87"/>
      <c r="J32" s="87"/>
      <c r="K32" s="87"/>
      <c r="L32" s="87"/>
      <c r="M32" s="87"/>
      <c r="N32" s="87"/>
      <c r="O32" s="87"/>
      <c r="P32" s="87"/>
      <c r="Q32" s="87"/>
      <c r="R32" s="87"/>
      <c r="S32" s="87"/>
      <c r="T32" s="87"/>
      <c r="U32" s="87"/>
      <c r="V32" s="87"/>
      <c r="W32" s="87"/>
    </row>
    <row r="33" spans="1:23">
      <c r="A33" s="87"/>
      <c r="B33" s="87"/>
      <c r="C33" s="87"/>
      <c r="D33" s="87"/>
      <c r="E33" s="87"/>
      <c r="F33" s="87"/>
      <c r="G33" s="87"/>
      <c r="H33" s="87"/>
      <c r="I33" s="87"/>
      <c r="J33" s="87"/>
      <c r="K33" s="87"/>
      <c r="L33" s="87"/>
      <c r="M33" s="87"/>
      <c r="N33" s="87"/>
      <c r="O33" s="87"/>
      <c r="P33" s="87"/>
      <c r="Q33" s="87"/>
      <c r="R33" s="87"/>
      <c r="S33" s="87"/>
      <c r="T33" s="87"/>
      <c r="U33" s="87"/>
      <c r="V33" s="87"/>
      <c r="W33" s="87"/>
    </row>
    <row r="34" spans="1:23">
      <c r="A34" s="87"/>
      <c r="B34" s="87"/>
      <c r="C34" s="87"/>
      <c r="D34" s="87"/>
      <c r="E34" s="87"/>
      <c r="F34" s="87"/>
      <c r="G34" s="87"/>
      <c r="H34" s="87"/>
      <c r="I34" s="87"/>
      <c r="J34" s="87"/>
      <c r="K34" s="87"/>
      <c r="L34" s="87"/>
      <c r="M34" s="87"/>
      <c r="N34" s="87"/>
      <c r="O34" s="87"/>
      <c r="P34" s="87"/>
      <c r="Q34" s="87"/>
      <c r="R34" s="87"/>
      <c r="S34" s="87"/>
      <c r="T34" s="87"/>
      <c r="U34" s="87"/>
      <c r="V34" s="87"/>
      <c r="W34" s="87"/>
    </row>
    <row r="35" spans="1:23">
      <c r="A35" s="87"/>
      <c r="B35" s="87"/>
      <c r="C35" s="87"/>
      <c r="D35" s="87"/>
      <c r="E35" s="87"/>
      <c r="F35" s="87"/>
      <c r="G35" s="87"/>
      <c r="H35" s="87"/>
      <c r="I35" s="87"/>
      <c r="J35" s="87"/>
      <c r="K35" s="87"/>
      <c r="L35" s="87"/>
      <c r="M35" s="87"/>
      <c r="N35" s="87"/>
      <c r="O35" s="87"/>
      <c r="P35" s="87"/>
      <c r="Q35" s="87"/>
      <c r="R35" s="87"/>
      <c r="S35" s="87"/>
      <c r="T35" s="87"/>
      <c r="U35" s="87"/>
      <c r="V35" s="87"/>
      <c r="W35" s="87"/>
    </row>
    <row r="36" spans="1:23">
      <c r="A36" s="87"/>
      <c r="B36" s="87"/>
      <c r="C36" s="87"/>
      <c r="D36" s="87"/>
      <c r="E36" s="87"/>
      <c r="F36" s="87"/>
      <c r="G36" s="87"/>
      <c r="H36" s="87"/>
      <c r="I36" s="87"/>
      <c r="J36" s="87"/>
      <c r="K36" s="87"/>
      <c r="L36" s="87"/>
      <c r="M36" s="87"/>
      <c r="N36" s="87"/>
      <c r="O36" s="87"/>
      <c r="P36" s="87"/>
      <c r="Q36" s="87"/>
      <c r="R36" s="87"/>
      <c r="S36" s="87"/>
      <c r="T36" s="87"/>
      <c r="U36" s="87"/>
      <c r="V36" s="87"/>
      <c r="W36" s="87"/>
    </row>
  </sheetData>
  <mergeCells count="14">
    <mergeCell ref="K22:P22"/>
    <mergeCell ref="K21:P21"/>
    <mergeCell ref="E1:P1"/>
    <mergeCell ref="E12:P12"/>
    <mergeCell ref="E11:P11"/>
    <mergeCell ref="E13:P13"/>
    <mergeCell ref="E14:P14"/>
    <mergeCell ref="E15:P15"/>
    <mergeCell ref="E8:P8"/>
    <mergeCell ref="E10:P10"/>
    <mergeCell ref="E2:P2"/>
    <mergeCell ref="E3:P3"/>
    <mergeCell ref="E5:P5"/>
    <mergeCell ref="E6:P6"/>
  </mergeCells>
  <pageMargins left="0.98425196850393704" right="0.59055118110236227" top="0.55118110236220474" bottom="0.39370078740157483" header="0.55118110236220474" footer="0.31496062992125984"/>
  <pageSetup paperSize="9" orientation="portrait" blackAndWhite="1"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9"/>
  <dimension ref="A1:F74"/>
  <sheetViews>
    <sheetView topLeftCell="A38" workbookViewId="0">
      <selection activeCell="D70" sqref="D41:D70"/>
    </sheetView>
  </sheetViews>
  <sheetFormatPr defaultColWidth="0" defaultRowHeight="15.75"/>
  <cols>
    <col min="1" max="1" width="3" style="198" bestFit="1" customWidth="1"/>
    <col min="2" max="2" width="11.88671875" style="197" customWidth="1"/>
    <col min="3" max="3" width="40.5546875" style="197" bestFit="1" customWidth="1"/>
    <col min="4" max="4" width="12.6640625" style="197" customWidth="1"/>
    <col min="5" max="5" width="19.5546875" style="197" bestFit="1" customWidth="1"/>
    <col min="6" max="6" width="3.6640625" style="197" customWidth="1"/>
    <col min="7" max="16384" width="8.88671875" style="197" hidden="1"/>
  </cols>
  <sheetData>
    <row r="1" spans="1:5" ht="27" customHeight="1">
      <c r="A1" s="314">
        <v>2</v>
      </c>
      <c r="B1" s="314" t="s">
        <v>3969</v>
      </c>
      <c r="C1" s="314" t="s">
        <v>3970</v>
      </c>
      <c r="D1" s="314" t="s">
        <v>3971</v>
      </c>
      <c r="E1" s="314" t="s">
        <v>3972</v>
      </c>
    </row>
    <row r="2" spans="1:5">
      <c r="A2" s="315">
        <v>1</v>
      </c>
      <c r="B2" s="316" t="s">
        <v>4149</v>
      </c>
      <c r="C2" s="317" t="s">
        <v>29</v>
      </c>
      <c r="D2" s="317" t="s">
        <v>3973</v>
      </c>
      <c r="E2" s="317" t="s">
        <v>3972</v>
      </c>
    </row>
    <row r="3" spans="1:5">
      <c r="A3" s="318">
        <v>2</v>
      </c>
      <c r="B3" s="321" t="s">
        <v>4150</v>
      </c>
      <c r="C3" s="319" t="s">
        <v>3974</v>
      </c>
      <c r="D3" s="319" t="s">
        <v>3975</v>
      </c>
      <c r="E3" s="319" t="s">
        <v>3976</v>
      </c>
    </row>
    <row r="4" spans="1:5">
      <c r="A4" s="318">
        <v>3</v>
      </c>
      <c r="B4" s="321" t="s">
        <v>4151</v>
      </c>
      <c r="C4" s="319" t="s">
        <v>3978</v>
      </c>
      <c r="D4" s="319" t="s">
        <v>5888</v>
      </c>
      <c r="E4" s="319" t="s">
        <v>5889</v>
      </c>
    </row>
    <row r="5" spans="1:5">
      <c r="A5" s="318">
        <v>4</v>
      </c>
      <c r="B5" s="321" t="s">
        <v>4152</v>
      </c>
      <c r="C5" s="319" t="s">
        <v>26</v>
      </c>
      <c r="D5" s="319" t="s">
        <v>3979</v>
      </c>
      <c r="E5" s="319" t="s">
        <v>3980</v>
      </c>
    </row>
    <row r="6" spans="1:5">
      <c r="A6" s="318">
        <v>5</v>
      </c>
      <c r="B6" s="321" t="s">
        <v>4153</v>
      </c>
      <c r="C6" s="319" t="s">
        <v>4158</v>
      </c>
      <c r="D6" s="319" t="s">
        <v>4043</v>
      </c>
      <c r="E6" s="319" t="s">
        <v>4120</v>
      </c>
    </row>
    <row r="7" spans="1:5">
      <c r="A7" s="318">
        <v>6</v>
      </c>
      <c r="B7" s="321" t="s">
        <v>4154</v>
      </c>
      <c r="C7" s="321" t="s">
        <v>4159</v>
      </c>
      <c r="D7" s="319" t="s">
        <v>4067</v>
      </c>
      <c r="E7" s="319" t="s">
        <v>4121</v>
      </c>
    </row>
    <row r="8" spans="1:5">
      <c r="A8" s="318">
        <v>7</v>
      </c>
      <c r="B8" s="321" t="s">
        <v>4155</v>
      </c>
      <c r="C8" s="321" t="s">
        <v>4160</v>
      </c>
      <c r="D8" s="319" t="s">
        <v>4056</v>
      </c>
      <c r="E8" s="319" t="s">
        <v>4122</v>
      </c>
    </row>
    <row r="9" spans="1:5">
      <c r="A9" s="318">
        <v>8</v>
      </c>
      <c r="B9" s="321" t="s">
        <v>4156</v>
      </c>
      <c r="C9" s="321" t="s">
        <v>3981</v>
      </c>
      <c r="D9" s="319" t="s">
        <v>4058</v>
      </c>
      <c r="E9" s="319" t="s">
        <v>4123</v>
      </c>
    </row>
    <row r="10" spans="1:5">
      <c r="A10" s="318">
        <v>9</v>
      </c>
      <c r="B10" s="321" t="s">
        <v>4157</v>
      </c>
      <c r="C10" s="321" t="s">
        <v>3983</v>
      </c>
      <c r="D10" s="319" t="s">
        <v>3982</v>
      </c>
      <c r="E10" s="319" t="s">
        <v>4124</v>
      </c>
    </row>
    <row r="11" spans="1:5">
      <c r="A11" s="318">
        <v>10</v>
      </c>
      <c r="B11" s="321" t="s">
        <v>4161</v>
      </c>
      <c r="C11" s="321" t="s">
        <v>4163</v>
      </c>
      <c r="D11" s="319" t="s">
        <v>3984</v>
      </c>
      <c r="E11" s="319" t="s">
        <v>3985</v>
      </c>
    </row>
    <row r="12" spans="1:5">
      <c r="A12" s="318">
        <v>11</v>
      </c>
      <c r="B12" s="321" t="s">
        <v>4162</v>
      </c>
      <c r="C12" s="321" t="s">
        <v>4164</v>
      </c>
      <c r="D12" s="319" t="s">
        <v>3986</v>
      </c>
      <c r="E12" s="319" t="s">
        <v>3987</v>
      </c>
    </row>
    <row r="13" spans="1:5">
      <c r="A13" s="318">
        <v>12</v>
      </c>
      <c r="B13" s="321" t="s">
        <v>4165</v>
      </c>
      <c r="C13" s="321" t="s">
        <v>3989</v>
      </c>
      <c r="D13" s="319" t="s">
        <v>4125</v>
      </c>
      <c r="E13" s="319" t="s">
        <v>4126</v>
      </c>
    </row>
    <row r="14" spans="1:5">
      <c r="A14" s="318">
        <v>13</v>
      </c>
      <c r="B14" s="321" t="s">
        <v>4166</v>
      </c>
      <c r="C14" s="321" t="s">
        <v>4171</v>
      </c>
      <c r="D14" s="319" t="s">
        <v>4051</v>
      </c>
      <c r="E14" s="319" t="s">
        <v>5890</v>
      </c>
    </row>
    <row r="15" spans="1:5">
      <c r="A15" s="318">
        <v>14</v>
      </c>
      <c r="B15" s="321" t="s">
        <v>4167</v>
      </c>
      <c r="C15" s="321" t="s">
        <v>4172</v>
      </c>
      <c r="D15" s="319" t="s">
        <v>4018</v>
      </c>
      <c r="E15" s="319" t="s">
        <v>4127</v>
      </c>
    </row>
    <row r="16" spans="1:5">
      <c r="A16" s="318">
        <v>15</v>
      </c>
      <c r="B16" s="321" t="s">
        <v>4168</v>
      </c>
      <c r="C16" s="321" t="s">
        <v>3991</v>
      </c>
      <c r="D16" s="319" t="s">
        <v>4019</v>
      </c>
      <c r="E16" s="319" t="s">
        <v>4128</v>
      </c>
    </row>
    <row r="17" spans="1:5">
      <c r="A17" s="318">
        <v>16</v>
      </c>
      <c r="B17" s="321" t="s">
        <v>4169</v>
      </c>
      <c r="C17" s="319" t="s">
        <v>3993</v>
      </c>
      <c r="D17" s="319" t="s">
        <v>4021</v>
      </c>
      <c r="E17" s="319" t="s">
        <v>4129</v>
      </c>
    </row>
    <row r="18" spans="1:5">
      <c r="A18" s="318">
        <v>17</v>
      </c>
      <c r="B18" s="321" t="s">
        <v>4170</v>
      </c>
      <c r="C18" s="321" t="s">
        <v>3995</v>
      </c>
      <c r="D18" s="319" t="s">
        <v>4046</v>
      </c>
      <c r="E18" s="319" t="s">
        <v>4130</v>
      </c>
    </row>
    <row r="19" spans="1:5">
      <c r="A19" s="318">
        <v>18</v>
      </c>
      <c r="B19" s="321" t="s">
        <v>4173</v>
      </c>
      <c r="C19" s="321" t="s">
        <v>3998</v>
      </c>
      <c r="D19" s="319" t="s">
        <v>4027</v>
      </c>
      <c r="E19" s="319" t="s">
        <v>4131</v>
      </c>
    </row>
    <row r="20" spans="1:5">
      <c r="A20" s="318">
        <v>19</v>
      </c>
      <c r="B20" s="321" t="s">
        <v>4174</v>
      </c>
      <c r="C20" s="321" t="s">
        <v>4000</v>
      </c>
      <c r="D20" s="319" t="s">
        <v>4048</v>
      </c>
      <c r="E20" s="319" t="s">
        <v>4132</v>
      </c>
    </row>
    <row r="21" spans="1:5">
      <c r="A21" s="318">
        <v>20</v>
      </c>
      <c r="B21" s="321" t="s">
        <v>4175</v>
      </c>
      <c r="C21" s="321" t="s">
        <v>4176</v>
      </c>
      <c r="D21" s="319" t="s">
        <v>3988</v>
      </c>
      <c r="E21" s="319" t="s">
        <v>4001</v>
      </c>
    </row>
    <row r="22" spans="1:5">
      <c r="A22" s="318">
        <v>21</v>
      </c>
      <c r="B22" s="321" t="s">
        <v>4065</v>
      </c>
      <c r="C22" s="321" t="s">
        <v>4004</v>
      </c>
      <c r="D22" s="319" t="s">
        <v>4023</v>
      </c>
      <c r="E22" s="319" t="s">
        <v>3999</v>
      </c>
    </row>
    <row r="23" spans="1:5">
      <c r="A23" s="318">
        <v>22</v>
      </c>
      <c r="B23" s="321" t="s">
        <v>4068</v>
      </c>
      <c r="C23" s="321" t="s">
        <v>4007</v>
      </c>
      <c r="D23" s="319" t="s">
        <v>4002</v>
      </c>
      <c r="E23" s="319" t="s">
        <v>4003</v>
      </c>
    </row>
    <row r="24" spans="1:5">
      <c r="A24" s="318">
        <v>23</v>
      </c>
      <c r="B24" s="321" t="s">
        <v>4177</v>
      </c>
      <c r="C24" s="321" t="s">
        <v>4010</v>
      </c>
      <c r="D24" s="319" t="s">
        <v>4005</v>
      </c>
      <c r="E24" s="319" t="s">
        <v>4006</v>
      </c>
    </row>
    <row r="25" spans="1:5">
      <c r="A25" s="318">
        <v>24</v>
      </c>
      <c r="B25" s="321" t="s">
        <v>4178</v>
      </c>
      <c r="C25" s="321" t="s">
        <v>4012</v>
      </c>
      <c r="D25" s="319" t="s">
        <v>4008</v>
      </c>
      <c r="E25" s="319" t="s">
        <v>4009</v>
      </c>
    </row>
    <row r="26" spans="1:5">
      <c r="A26" s="318">
        <v>25</v>
      </c>
      <c r="B26" s="321" t="s">
        <v>4179</v>
      </c>
      <c r="C26" s="321" t="s">
        <v>4187</v>
      </c>
      <c r="D26" s="319" t="s">
        <v>4049</v>
      </c>
      <c r="E26" s="319" t="s">
        <v>4133</v>
      </c>
    </row>
    <row r="27" spans="1:5">
      <c r="A27" s="318">
        <v>26</v>
      </c>
      <c r="B27" s="321" t="s">
        <v>4180</v>
      </c>
      <c r="C27" s="321" t="s">
        <v>4188</v>
      </c>
      <c r="D27" s="319" t="s">
        <v>4013</v>
      </c>
      <c r="E27" s="319" t="s">
        <v>4014</v>
      </c>
    </row>
    <row r="28" spans="1:5">
      <c r="A28" s="318">
        <v>27</v>
      </c>
      <c r="B28" s="321" t="s">
        <v>4181</v>
      </c>
      <c r="C28" s="321" t="s">
        <v>4015</v>
      </c>
      <c r="D28" s="319" t="s">
        <v>4070</v>
      </c>
      <c r="E28" s="319" t="s">
        <v>5891</v>
      </c>
    </row>
    <row r="29" spans="1:5">
      <c r="A29" s="318">
        <v>28</v>
      </c>
      <c r="B29" s="321" t="s">
        <v>4182</v>
      </c>
      <c r="C29" s="321" t="s">
        <v>4017</v>
      </c>
      <c r="D29" s="319" t="s">
        <v>4140</v>
      </c>
      <c r="E29" s="319" t="s">
        <v>5892</v>
      </c>
    </row>
    <row r="30" spans="1:5">
      <c r="A30" s="318">
        <v>29</v>
      </c>
      <c r="B30" s="321" t="s">
        <v>4184</v>
      </c>
      <c r="C30" s="321" t="s">
        <v>4022</v>
      </c>
      <c r="D30" s="319" t="s">
        <v>4116</v>
      </c>
      <c r="E30" s="319" t="s">
        <v>5893</v>
      </c>
    </row>
    <row r="31" spans="1:5">
      <c r="A31" s="318">
        <v>30</v>
      </c>
      <c r="B31" s="321" t="s">
        <v>4185</v>
      </c>
      <c r="C31" s="321" t="s">
        <v>4024</v>
      </c>
      <c r="D31" s="319" t="s">
        <v>4025</v>
      </c>
      <c r="E31" s="319" t="s">
        <v>4325</v>
      </c>
    </row>
    <row r="32" spans="1:5">
      <c r="A32" s="318">
        <v>31</v>
      </c>
      <c r="B32" s="321" t="s">
        <v>4186</v>
      </c>
      <c r="C32" s="321" t="s">
        <v>4026</v>
      </c>
      <c r="D32" s="319" t="s">
        <v>4055</v>
      </c>
      <c r="E32" s="319" t="s">
        <v>4326</v>
      </c>
    </row>
    <row r="33" spans="1:5">
      <c r="A33" s="318">
        <v>32</v>
      </c>
      <c r="B33" s="321" t="s">
        <v>4183</v>
      </c>
      <c r="C33" s="321" t="s">
        <v>4020</v>
      </c>
      <c r="D33" s="319" t="s">
        <v>4062</v>
      </c>
      <c r="E33" s="319" t="s">
        <v>4327</v>
      </c>
    </row>
    <row r="34" spans="1:5">
      <c r="A34" s="318">
        <v>33</v>
      </c>
      <c r="B34" s="321" t="s">
        <v>4190</v>
      </c>
      <c r="C34" s="321" t="s">
        <v>4036</v>
      </c>
      <c r="D34" s="319" t="s">
        <v>4050</v>
      </c>
      <c r="E34" s="319" t="s">
        <v>4328</v>
      </c>
    </row>
    <row r="35" spans="1:5">
      <c r="A35" s="318">
        <v>34</v>
      </c>
      <c r="B35" s="321" t="s">
        <v>4191</v>
      </c>
      <c r="C35" s="321" t="s">
        <v>4038</v>
      </c>
      <c r="D35" s="319" t="s">
        <v>4054</v>
      </c>
      <c r="E35" s="319" t="s">
        <v>4329</v>
      </c>
    </row>
    <row r="36" spans="1:5">
      <c r="A36" s="318">
        <v>35</v>
      </c>
      <c r="B36" s="321" t="s">
        <v>4192</v>
      </c>
      <c r="C36" s="321" t="s">
        <v>4040</v>
      </c>
      <c r="D36" s="319" t="s">
        <v>5894</v>
      </c>
      <c r="E36" s="319" t="s">
        <v>4330</v>
      </c>
    </row>
    <row r="37" spans="1:5">
      <c r="A37" s="318">
        <v>36</v>
      </c>
      <c r="B37" s="321" t="s">
        <v>4193</v>
      </c>
      <c r="C37" s="321" t="s">
        <v>4042</v>
      </c>
      <c r="D37" s="319" t="s">
        <v>5895</v>
      </c>
      <c r="E37" s="319" t="s">
        <v>4331</v>
      </c>
    </row>
    <row r="38" spans="1:5">
      <c r="A38" s="318">
        <v>37</v>
      </c>
      <c r="B38" s="321" t="s">
        <v>4194</v>
      </c>
      <c r="C38" s="321" t="s">
        <v>4045</v>
      </c>
      <c r="D38" s="319" t="s">
        <v>5896</v>
      </c>
      <c r="E38" s="319" t="s">
        <v>4332</v>
      </c>
    </row>
    <row r="39" spans="1:5">
      <c r="A39" s="318">
        <v>38</v>
      </c>
      <c r="B39" s="321" t="s">
        <v>4195</v>
      </c>
      <c r="C39" s="321" t="s">
        <v>4201</v>
      </c>
      <c r="D39" s="319" t="s">
        <v>4110</v>
      </c>
      <c r="E39" s="319" t="s">
        <v>4111</v>
      </c>
    </row>
    <row r="40" spans="1:5">
      <c r="A40" s="318">
        <v>39</v>
      </c>
      <c r="B40" s="321" t="s">
        <v>4196</v>
      </c>
      <c r="C40" s="321" t="s">
        <v>4202</v>
      </c>
      <c r="D40" s="319" t="s">
        <v>4113</v>
      </c>
      <c r="E40" s="319" t="s">
        <v>4114</v>
      </c>
    </row>
    <row r="41" spans="1:5">
      <c r="A41" s="318">
        <v>40</v>
      </c>
      <c r="B41" s="321" t="s">
        <v>4197</v>
      </c>
      <c r="C41" s="321" t="s">
        <v>4057</v>
      </c>
      <c r="D41" s="319" t="s">
        <v>5897</v>
      </c>
      <c r="E41" s="319" t="s">
        <v>443</v>
      </c>
    </row>
    <row r="42" spans="1:5">
      <c r="A42" s="318">
        <v>41</v>
      </c>
      <c r="B42" s="321" t="s">
        <v>4198</v>
      </c>
      <c r="C42" s="321" t="s">
        <v>4203</v>
      </c>
      <c r="D42" s="319" t="s">
        <v>4037</v>
      </c>
      <c r="E42" s="319" t="s">
        <v>205</v>
      </c>
    </row>
    <row r="43" spans="1:5">
      <c r="A43" s="318">
        <v>42</v>
      </c>
      <c r="B43" s="321" t="s">
        <v>4199</v>
      </c>
      <c r="C43" s="321" t="s">
        <v>4061</v>
      </c>
      <c r="D43" s="319" t="s">
        <v>4039</v>
      </c>
      <c r="E43" s="319" t="s">
        <v>206</v>
      </c>
    </row>
    <row r="44" spans="1:5">
      <c r="A44" s="318">
        <v>43</v>
      </c>
      <c r="B44" s="321" t="s">
        <v>4200</v>
      </c>
      <c r="C44" s="321" t="s">
        <v>4204</v>
      </c>
      <c r="D44" s="319" t="s">
        <v>4052</v>
      </c>
      <c r="E44" s="319" t="s">
        <v>4134</v>
      </c>
    </row>
    <row r="45" spans="1:5">
      <c r="A45" s="318">
        <v>44</v>
      </c>
      <c r="B45" s="321" t="s">
        <v>4205</v>
      </c>
      <c r="C45" s="321" t="s">
        <v>4063</v>
      </c>
      <c r="D45" s="319" t="s">
        <v>4053</v>
      </c>
      <c r="E45" s="319" t="s">
        <v>4135</v>
      </c>
    </row>
    <row r="46" spans="1:5">
      <c r="A46" s="318">
        <v>45</v>
      </c>
      <c r="B46" s="321" t="s">
        <v>4206</v>
      </c>
      <c r="C46" s="321" t="s">
        <v>4066</v>
      </c>
      <c r="D46" s="319" t="s">
        <v>4028</v>
      </c>
      <c r="E46" s="319" t="s">
        <v>5898</v>
      </c>
    </row>
    <row r="47" spans="1:5">
      <c r="A47" s="318">
        <v>46</v>
      </c>
      <c r="B47" s="321" t="s">
        <v>4207</v>
      </c>
      <c r="C47" s="321" t="s">
        <v>4069</v>
      </c>
      <c r="D47" s="319" t="s">
        <v>3994</v>
      </c>
      <c r="E47" s="319" t="s">
        <v>4044</v>
      </c>
    </row>
    <row r="48" spans="1:5">
      <c r="A48" s="318">
        <v>47</v>
      </c>
      <c r="B48" s="321" t="s">
        <v>4071</v>
      </c>
      <c r="C48" s="321" t="s">
        <v>4208</v>
      </c>
      <c r="D48" s="319" t="s">
        <v>3992</v>
      </c>
      <c r="E48" s="319" t="s">
        <v>4047</v>
      </c>
    </row>
    <row r="49" spans="1:5">
      <c r="A49" s="318">
        <v>48</v>
      </c>
      <c r="B49" s="321" t="s">
        <v>4072</v>
      </c>
      <c r="C49" s="321" t="s">
        <v>4209</v>
      </c>
      <c r="D49" s="319" t="s">
        <v>4029</v>
      </c>
      <c r="E49" s="319" t="s">
        <v>4059</v>
      </c>
    </row>
    <row r="50" spans="1:5">
      <c r="A50" s="318">
        <v>49</v>
      </c>
      <c r="B50" s="321" t="s">
        <v>4073</v>
      </c>
      <c r="C50" s="321" t="s">
        <v>4074</v>
      </c>
      <c r="D50" s="319" t="s">
        <v>3990</v>
      </c>
      <c r="E50" s="319" t="s">
        <v>4136</v>
      </c>
    </row>
    <row r="51" spans="1:5">
      <c r="A51" s="318">
        <v>50</v>
      </c>
      <c r="B51" s="321" t="s">
        <v>4075</v>
      </c>
      <c r="C51" s="321" t="s">
        <v>4076</v>
      </c>
      <c r="D51" s="319" t="s">
        <v>4119</v>
      </c>
      <c r="E51" s="319" t="s">
        <v>4137</v>
      </c>
    </row>
    <row r="52" spans="1:5">
      <c r="A52" s="318">
        <v>51</v>
      </c>
      <c r="B52" s="321" t="s">
        <v>4078</v>
      </c>
      <c r="C52" s="321" t="s">
        <v>4211</v>
      </c>
      <c r="D52" s="319" t="s">
        <v>3997</v>
      </c>
      <c r="E52" s="319" t="s">
        <v>4189</v>
      </c>
    </row>
    <row r="53" spans="1:5">
      <c r="A53" s="318">
        <v>52</v>
      </c>
      <c r="B53" s="321" t="s">
        <v>4081</v>
      </c>
      <c r="C53" s="321" t="s">
        <v>4079</v>
      </c>
      <c r="D53" s="319" t="s">
        <v>4041</v>
      </c>
      <c r="E53" s="319" t="s">
        <v>5899</v>
      </c>
    </row>
    <row r="54" spans="1:5">
      <c r="A54" s="318">
        <v>53</v>
      </c>
      <c r="B54" s="321" t="s">
        <v>4084</v>
      </c>
      <c r="C54" s="321" t="s">
        <v>4082</v>
      </c>
      <c r="D54" s="319" t="s">
        <v>4011</v>
      </c>
      <c r="E54" s="319" t="s">
        <v>5900</v>
      </c>
    </row>
    <row r="55" spans="1:5">
      <c r="A55" s="318">
        <v>54</v>
      </c>
      <c r="B55" s="321" t="s">
        <v>4087</v>
      </c>
      <c r="C55" s="321" t="s">
        <v>4085</v>
      </c>
      <c r="D55" s="319" t="s">
        <v>3996</v>
      </c>
      <c r="E55" s="319" t="s">
        <v>5901</v>
      </c>
    </row>
    <row r="56" spans="1:5">
      <c r="A56" s="318">
        <v>55</v>
      </c>
      <c r="B56" s="321" t="s">
        <v>4090</v>
      </c>
      <c r="C56" s="321" t="s">
        <v>4088</v>
      </c>
      <c r="D56" s="319" t="s">
        <v>4077</v>
      </c>
      <c r="E56" s="319" t="s">
        <v>4142</v>
      </c>
    </row>
    <row r="57" spans="1:5">
      <c r="A57" s="318">
        <v>56</v>
      </c>
      <c r="B57" s="321" t="s">
        <v>4093</v>
      </c>
      <c r="C57" s="321" t="s">
        <v>4091</v>
      </c>
      <c r="D57" s="319" t="s">
        <v>4031</v>
      </c>
      <c r="E57" s="319" t="s">
        <v>4143</v>
      </c>
    </row>
    <row r="58" spans="1:5">
      <c r="A58" s="318">
        <v>57</v>
      </c>
      <c r="B58" s="321" t="s">
        <v>4096</v>
      </c>
      <c r="C58" s="321" t="s">
        <v>4094</v>
      </c>
      <c r="D58" s="319" t="s">
        <v>4083</v>
      </c>
      <c r="E58" s="319" t="s">
        <v>415</v>
      </c>
    </row>
    <row r="59" spans="1:5">
      <c r="A59" s="318">
        <v>58</v>
      </c>
      <c r="B59" s="321" t="s">
        <v>4099</v>
      </c>
      <c r="C59" s="321" t="s">
        <v>4097</v>
      </c>
      <c r="D59" s="319" t="s">
        <v>4086</v>
      </c>
      <c r="E59" s="319" t="s">
        <v>416</v>
      </c>
    </row>
    <row r="60" spans="1:5">
      <c r="A60" s="318">
        <v>59</v>
      </c>
      <c r="B60" s="321" t="s">
        <v>4102</v>
      </c>
      <c r="C60" s="321" t="s">
        <v>4100</v>
      </c>
      <c r="D60" s="319" t="s">
        <v>4089</v>
      </c>
      <c r="E60" s="319" t="s">
        <v>417</v>
      </c>
    </row>
    <row r="61" spans="1:5">
      <c r="A61" s="318">
        <v>60</v>
      </c>
      <c r="B61" s="321" t="s">
        <v>4104</v>
      </c>
      <c r="C61" s="321" t="s">
        <v>4103</v>
      </c>
      <c r="D61" s="319" t="s">
        <v>4092</v>
      </c>
      <c r="E61" s="319" t="s">
        <v>418</v>
      </c>
    </row>
    <row r="62" spans="1:5">
      <c r="A62" s="318">
        <v>61</v>
      </c>
      <c r="B62" s="321" t="s">
        <v>4106</v>
      </c>
      <c r="C62" s="321" t="s">
        <v>4105</v>
      </c>
      <c r="D62" s="319" t="s">
        <v>4095</v>
      </c>
      <c r="E62" s="319" t="s">
        <v>419</v>
      </c>
    </row>
    <row r="63" spans="1:5">
      <c r="A63" s="318">
        <v>62</v>
      </c>
      <c r="B63" s="321" t="s">
        <v>4210</v>
      </c>
      <c r="C63" s="321" t="s">
        <v>4107</v>
      </c>
      <c r="D63" s="319" t="s">
        <v>4098</v>
      </c>
      <c r="E63" s="319" t="s">
        <v>420</v>
      </c>
    </row>
    <row r="64" spans="1:5">
      <c r="A64" s="318">
        <v>63</v>
      </c>
      <c r="B64" s="321" t="s">
        <v>4108</v>
      </c>
      <c r="C64" s="321" t="s">
        <v>4109</v>
      </c>
      <c r="D64" s="319" t="s">
        <v>4032</v>
      </c>
      <c r="E64" s="319" t="s">
        <v>4101</v>
      </c>
    </row>
    <row r="65" spans="1:5">
      <c r="A65" s="318">
        <v>64</v>
      </c>
      <c r="B65" s="321" t="s">
        <v>4112</v>
      </c>
      <c r="C65" s="321" t="s">
        <v>4213</v>
      </c>
      <c r="D65" s="319" t="s">
        <v>4033</v>
      </c>
      <c r="E65" s="319" t="s">
        <v>4144</v>
      </c>
    </row>
    <row r="66" spans="1:5">
      <c r="A66" s="318">
        <v>65</v>
      </c>
      <c r="B66" s="321" t="s">
        <v>4115</v>
      </c>
      <c r="C66" s="321" t="s">
        <v>4214</v>
      </c>
      <c r="D66" s="319" t="s">
        <v>4034</v>
      </c>
      <c r="E66" s="319" t="s">
        <v>4145</v>
      </c>
    </row>
    <row r="67" spans="1:5">
      <c r="A67" s="318">
        <v>66</v>
      </c>
      <c r="B67" s="321" t="s">
        <v>4118</v>
      </c>
      <c r="C67" s="321" t="s">
        <v>4215</v>
      </c>
      <c r="D67" s="319" t="s">
        <v>4035</v>
      </c>
      <c r="E67" s="319" t="s">
        <v>4146</v>
      </c>
    </row>
    <row r="68" spans="1:5">
      <c r="A68" s="318">
        <v>67</v>
      </c>
      <c r="B68" s="320" t="s">
        <v>4212</v>
      </c>
      <c r="C68" s="320" t="s">
        <v>4216</v>
      </c>
      <c r="D68" s="320" t="s">
        <v>5902</v>
      </c>
      <c r="E68" s="320" t="s">
        <v>4117</v>
      </c>
    </row>
    <row r="69" spans="1:5">
      <c r="A69" s="198">
        <v>68</v>
      </c>
      <c r="D69" s="197" t="s">
        <v>4030</v>
      </c>
      <c r="E69" s="197" t="s">
        <v>4147</v>
      </c>
    </row>
    <row r="70" spans="1:5">
      <c r="A70" s="198">
        <v>69</v>
      </c>
      <c r="D70" s="197" t="s">
        <v>4060</v>
      </c>
      <c r="E70" s="197" t="s">
        <v>4148</v>
      </c>
    </row>
    <row r="71" spans="1:5">
      <c r="A71" s="198">
        <v>70</v>
      </c>
      <c r="D71" s="197" t="s">
        <v>3977</v>
      </c>
      <c r="E71" s="197" t="s">
        <v>4138</v>
      </c>
    </row>
    <row r="72" spans="1:5">
      <c r="A72" s="198">
        <v>71</v>
      </c>
      <c r="D72" s="197" t="s">
        <v>4016</v>
      </c>
      <c r="E72" s="197" t="s">
        <v>4139</v>
      </c>
    </row>
    <row r="73" spans="1:5">
      <c r="A73" s="198">
        <v>72</v>
      </c>
      <c r="D73" s="197" t="s">
        <v>4064</v>
      </c>
      <c r="E73" s="197" t="s">
        <v>4141</v>
      </c>
    </row>
    <row r="74" spans="1:5">
      <c r="A74" s="198">
        <v>73</v>
      </c>
      <c r="D74" s="197" t="s">
        <v>4080</v>
      </c>
      <c r="E74" s="197" t="s">
        <v>414</v>
      </c>
    </row>
  </sheetData>
  <conditionalFormatting sqref="B27:C29 B30:B44 C30:C41">
    <cfRule type="expression" dxfId="36" priority="51">
      <formula>AND(LEFT(TRIM($A27)&amp;"End ",4)&lt;&gt;"End ",TRIM($A27)&lt;&gt;"dialogBoxLauncher",COUNTA($B27:$D27)=0)</formula>
    </cfRule>
  </conditionalFormatting>
  <conditionalFormatting sqref="B2:B7">
    <cfRule type="expression" dxfId="35" priority="50">
      <formula>COUNTIF($B2:$B$4,B2)&gt;1</formula>
    </cfRule>
  </conditionalFormatting>
  <conditionalFormatting sqref="B2:B7">
    <cfRule type="expression" dxfId="34" priority="49">
      <formula>AND(LEFT(TRIM($A2)&amp;"End ",4)&lt;&gt;"End ",TRIM($A2)&lt;&gt;"dialogBoxLauncher",COUNTA($B2:$D2)=0)</formula>
    </cfRule>
  </conditionalFormatting>
  <conditionalFormatting sqref="C7 B8:C10 C11:C14 B11:B22">
    <cfRule type="expression" dxfId="33" priority="48">
      <formula>AND(LEFT(TRIM($A7)&amp;"End ",4)&lt;&gt;"End ",TRIM($A7)&lt;&gt;"dialogBoxLauncher",COUNTA($B7:$D7)=0)</formula>
    </cfRule>
  </conditionalFormatting>
  <conditionalFormatting sqref="C7 B8:C10 C11:C14 B11:B22 B27:C67">
    <cfRule type="expression" dxfId="32" priority="47">
      <formula>COUNTIF($B$4:$B7,B7)&gt;1</formula>
    </cfRule>
  </conditionalFormatting>
  <conditionalFormatting sqref="C15:C16">
    <cfRule type="expression" dxfId="31" priority="46">
      <formula>COUNTIF($B$4:$B15,C15)&gt;1</formula>
    </cfRule>
  </conditionalFormatting>
  <conditionalFormatting sqref="C15:C16">
    <cfRule type="expression" dxfId="30" priority="45">
      <formula>AND(LEFT(TRIM($A15)&amp;"End ",4)&lt;&gt;"End ",TRIM($A15)&lt;&gt;"dialogBoxLauncher",COUNTA($B15:$D15)=0)</formula>
    </cfRule>
  </conditionalFormatting>
  <conditionalFormatting sqref="C18">
    <cfRule type="expression" dxfId="29" priority="44">
      <formula>COUNTIF($B$4:$B18,C18)&gt;1</formula>
    </cfRule>
  </conditionalFormatting>
  <conditionalFormatting sqref="C18">
    <cfRule type="expression" dxfId="28" priority="43">
      <formula>AND(LEFT(TRIM($A18)&amp;"End ",4)&lt;&gt;"End ",TRIM($A18)&lt;&gt;"dialogBoxLauncher",COUNTA($B18:$D18)=0)</formula>
    </cfRule>
  </conditionalFormatting>
  <conditionalFormatting sqref="C19:C22 B23:C26">
    <cfRule type="expression" dxfId="27" priority="42">
      <formula>AND(LEFT(TRIM($A19)&amp;"End ",4)&lt;&gt;"End ",TRIM($A19)&lt;&gt;"dialogBoxLauncher",COUNTA($B19:$D19)=0)</formula>
    </cfRule>
  </conditionalFormatting>
  <conditionalFormatting sqref="C19:C22 B23:C26">
    <cfRule type="expression" dxfId="26" priority="41">
      <formula>COUNTIF($B$4:$B19,B19)&gt;1</formula>
    </cfRule>
  </conditionalFormatting>
  <conditionalFormatting sqref="C29">
    <cfRule type="expression" dxfId="25" priority="40">
      <formula>AND(LEFT(TRIM($A29)&amp;"End ",4)&lt;&gt;"End ",TRIM($A29)&lt;&gt;"dialogBoxLauncher",COUNTA($B29:$D29)=0)</formula>
    </cfRule>
  </conditionalFormatting>
  <conditionalFormatting sqref="C21">
    <cfRule type="expression" dxfId="24" priority="38">
      <formula>AND(LEFT(TRIM($A21)&amp;"End ",4)&lt;&gt;"End ",TRIM($A21)&lt;&gt;"dialogBoxLauncher",COUNTA($B21:$D21)=0)</formula>
    </cfRule>
  </conditionalFormatting>
  <conditionalFormatting sqref="B26:C26">
    <cfRule type="expression" dxfId="23" priority="37">
      <formula>AND(LEFT(TRIM($A26)&amp;"End ",4)&lt;&gt;"End ",TRIM($A26)&lt;&gt;"dialogBoxLauncher",COUNTA($B26:$D26)=0)</formula>
    </cfRule>
  </conditionalFormatting>
  <conditionalFormatting sqref="C19:C22 B23:C26">
    <cfRule type="expression" dxfId="22" priority="36">
      <formula>AND(LEFT(TRIM($A19)&amp;"End ",4)&lt;&gt;"End ",TRIM($A19)&lt;&gt;"dialogBoxLauncher",COUNTA($B19:$D19)=0)</formula>
    </cfRule>
  </conditionalFormatting>
  <conditionalFormatting sqref="C37">
    <cfRule type="expression" dxfId="21" priority="32">
      <formula>AND(LEFT(TRIM($A37)&amp;"End ",4)&lt;&gt;"End ",TRIM($A37)&lt;&gt;"dialogBoxLauncher",COUNTA($B37:$D37)=0)</formula>
    </cfRule>
  </conditionalFormatting>
  <conditionalFormatting sqref="C42:C44">
    <cfRule type="expression" dxfId="20" priority="29">
      <formula>AND(LEFT(TRIM($A42)&amp;"End ",4)&lt;&gt;"End ",TRIM($A42)&lt;&gt;"dialogBoxLauncher",COUNTA($B42:$D42)=0)</formula>
    </cfRule>
  </conditionalFormatting>
  <conditionalFormatting sqref="C44">
    <cfRule type="expression" dxfId="19" priority="27">
      <formula>AND(LEFT(TRIM($A44)&amp;"End ",4)&lt;&gt;"End ",TRIM($A44)&lt;&gt;"dialogBoxLauncher",COUNTA($B44:$D44)=0)</formula>
    </cfRule>
  </conditionalFormatting>
  <conditionalFormatting sqref="C42:C44">
    <cfRule type="expression" dxfId="18" priority="26">
      <formula>AND(LEFT(TRIM($A42)&amp;"End ",4)&lt;&gt;"End ",TRIM($A42)&lt;&gt;"dialogBoxLauncher",COUNTA($B42:$D42)=0)</formula>
    </cfRule>
  </conditionalFormatting>
  <conditionalFormatting sqref="C42:C44">
    <cfRule type="expression" dxfId="17" priority="25">
      <formula>AND(LEFT(TRIM($A42)&amp;"End ",4)&lt;&gt;"End ",TRIM($A42)&lt;&gt;"dialogBoxLauncher",COUNTA($B42:$D42)=0)</formula>
    </cfRule>
  </conditionalFormatting>
  <conditionalFormatting sqref="B47:C47">
    <cfRule type="expression" dxfId="16" priority="24">
      <formula>AND(LEFT(TRIM($A47)&amp;"End ",4)&lt;&gt;"End ",TRIM($A47)&lt;&gt;"dialogBoxLauncher",COUNTA($B47:$D47)=0)</formula>
    </cfRule>
  </conditionalFormatting>
  <conditionalFormatting sqref="B45:C47">
    <cfRule type="expression" dxfId="15" priority="22">
      <formula>AND(LEFT(TRIM($A45)&amp;"End ",4)&lt;&gt;"End ",TRIM($A45)&lt;&gt;"dialogBoxLauncher",COUNTA($B45:$D45)=0)</formula>
    </cfRule>
  </conditionalFormatting>
  <conditionalFormatting sqref="B45:C45">
    <cfRule type="expression" dxfId="14" priority="21">
      <formula>AND(LEFT(TRIM($A45)&amp;"End ",4)&lt;&gt;"End ",TRIM($A45)&lt;&gt;"dialogBoxLauncher",COUNTA($B45:$D45)=0)</formula>
    </cfRule>
  </conditionalFormatting>
  <conditionalFormatting sqref="B46:C46">
    <cfRule type="expression" dxfId="13" priority="20">
      <formula>AND(LEFT(TRIM($A46)&amp;"End ",4)&lt;&gt;"End ",TRIM($A46)&lt;&gt;"dialogBoxLauncher",COUNTA($B46:$D46)=0)</formula>
    </cfRule>
  </conditionalFormatting>
  <conditionalFormatting sqref="B45:C47">
    <cfRule type="expression" dxfId="12" priority="19">
      <formula>AND(LEFT(TRIM($A45)&amp;"End ",4)&lt;&gt;"End ",TRIM($A45)&lt;&gt;"dialogBoxLauncher",COUNTA($B45:$D45)=0)</formula>
    </cfRule>
  </conditionalFormatting>
  <conditionalFormatting sqref="B45:C47">
    <cfRule type="expression" dxfId="11" priority="18">
      <formula>AND(LEFT(TRIM($A45)&amp;"End ",4)&lt;&gt;"End ",TRIM($A45)&lt;&gt;"dialogBoxLauncher",COUNTA($B45:$D45)=0)</formula>
    </cfRule>
  </conditionalFormatting>
  <conditionalFormatting sqref="B45:C47">
    <cfRule type="expression" dxfId="10" priority="17">
      <formula>AND(LEFT(TRIM($A45)&amp;"End ",4)&lt;&gt;"End ",TRIM($A45)&lt;&gt;"dialogBoxLauncher",COUNTA($B45:$D45)=0)</formula>
    </cfRule>
  </conditionalFormatting>
  <conditionalFormatting sqref="B45:C47">
    <cfRule type="expression" dxfId="9" priority="16">
      <formula>AND(LEFT(TRIM($A45)&amp;"End ",4)&lt;&gt;"End ",TRIM($A45)&lt;&gt;"dialogBoxLauncher",COUNTA($B45:$D45)=0)</formula>
    </cfRule>
  </conditionalFormatting>
  <conditionalFormatting sqref="B48:C57">
    <cfRule type="expression" dxfId="8" priority="14">
      <formula>AND(LEFT(TRIM($A48)&amp;"End ",4)&lt;&gt;"End ",TRIM($A48)&lt;&gt;"dialogBoxLauncher",COUNTA($B48:$D48)=0)</formula>
    </cfRule>
  </conditionalFormatting>
  <conditionalFormatting sqref="B50:C50">
    <cfRule type="expression" dxfId="7" priority="13">
      <formula>AND(LEFT(TRIM($A50)&amp;"End ",4)&lt;&gt;"End ",TRIM($A50)&lt;&gt;"dialogBoxLauncher",COUNTA($B50:$D50)=0)</formula>
    </cfRule>
  </conditionalFormatting>
  <conditionalFormatting sqref="B55:C55">
    <cfRule type="expression" dxfId="6" priority="12">
      <formula>AND(LEFT(TRIM($A55)&amp;"End ",4)&lt;&gt;"End ",TRIM($A55)&lt;&gt;"dialogBoxLauncher",COUNTA($B55:$D55)=0)</formula>
    </cfRule>
  </conditionalFormatting>
  <conditionalFormatting sqref="B48:C57">
    <cfRule type="expression" dxfId="5" priority="11">
      <formula>AND(LEFT(TRIM($A48)&amp;"End ",4)&lt;&gt;"End ",TRIM($A48)&lt;&gt;"dialogBoxLauncher",COUNTA($B48:$D48)=0)</formula>
    </cfRule>
  </conditionalFormatting>
  <conditionalFormatting sqref="B65:C67">
    <cfRule type="expression" dxfId="4" priority="10">
      <formula>AND(LEFT(TRIM($A65)&amp;"End ",4)&lt;&gt;"End ",TRIM($A65)&lt;&gt;"dialogBoxLauncher",COUNTA($B65:$D65)=0)</formula>
    </cfRule>
  </conditionalFormatting>
  <conditionalFormatting sqref="B58:C67">
    <cfRule type="expression" dxfId="3" priority="8">
      <formula>AND(LEFT(TRIM($A58)&amp;"End ",4)&lt;&gt;"End ",TRIM($A58)&lt;&gt;"dialogBoxLauncher",COUNTA($B58:$D58)=0)</formula>
    </cfRule>
  </conditionalFormatting>
  <conditionalFormatting sqref="B60:C60">
    <cfRule type="expression" dxfId="2" priority="7">
      <formula>AND(LEFT(TRIM($A60)&amp;"End ",4)&lt;&gt;"End ",TRIM($A60)&lt;&gt;"dialogBoxLauncher",COUNTA($B60:$D60)=0)</formula>
    </cfRule>
  </conditionalFormatting>
  <conditionalFormatting sqref="B64:C64">
    <cfRule type="expression" dxfId="1" priority="6">
      <formula>AND(LEFT(TRIM($A64)&amp;"End ",4)&lt;&gt;"End ",TRIM($A64)&lt;&gt;"dialogBoxLauncher",COUNTA($B64:$D64)=0)</formula>
    </cfRule>
  </conditionalFormatting>
  <conditionalFormatting sqref="B58:C67">
    <cfRule type="expression" dxfId="0" priority="5">
      <formula>AND(LEFT(TRIM($A58)&amp;"End ",4)&lt;&gt;"End ",TRIM($A58)&lt;&gt;"dialogBoxLauncher",COUNTA($B58:$D58)=0)</formula>
    </cfRule>
  </conditionalFormatting>
  <dataValidations count="1">
    <dataValidation allowBlank="1" showInputMessage="1" showErrorMessage="1" errorTitle="Warning" error="The id and idMso attributes are mutually exclusive. Only one of them is specified." sqref="B2:B67" xr:uid="{00000000-0002-0000-4900-000000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0913" r:id="rId3" name="Button 1">
              <controlPr defaultSize="0" print="0" autoFill="0" autoPict="0" macro="[0]!SheetName">
                <anchor moveWithCells="1" sizeWithCells="1">
                  <from>
                    <xdr:col>2</xdr:col>
                    <xdr:colOff>0</xdr:colOff>
                    <xdr:row>0</xdr:row>
                    <xdr:rowOff>0</xdr:rowOff>
                  </from>
                  <to>
                    <xdr:col>2</xdr:col>
                    <xdr:colOff>771525</xdr:colOff>
                    <xdr:row>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FF0000"/>
  </sheetPr>
  <dimension ref="A1:F450"/>
  <sheetViews>
    <sheetView workbookViewId="0">
      <selection activeCell="H2" sqref="H2"/>
    </sheetView>
  </sheetViews>
  <sheetFormatPr defaultRowHeight="16.5"/>
  <cols>
    <col min="1" max="1" width="7.77734375" style="123" bestFit="1" customWidth="1"/>
    <col min="2" max="2" width="34.5546875" style="123" customWidth="1"/>
    <col min="3" max="5" width="11.77734375" style="123" customWidth="1"/>
    <col min="6" max="6" width="38.77734375" style="123" bestFit="1" customWidth="1"/>
    <col min="7" max="16384" width="8.88671875" style="123"/>
  </cols>
  <sheetData>
    <row r="1" spans="1:6">
      <c r="A1" s="180" t="s">
        <v>1102</v>
      </c>
      <c r="B1" s="180" t="s">
        <v>3473</v>
      </c>
      <c r="C1" s="180" t="s">
        <v>3474</v>
      </c>
      <c r="D1" s="180" t="s">
        <v>3475</v>
      </c>
      <c r="E1" s="180" t="s">
        <v>3476</v>
      </c>
      <c r="F1" s="180" t="s">
        <v>3477</v>
      </c>
    </row>
    <row r="2" spans="1:6" ht="30">
      <c r="A2" s="181" t="s">
        <v>1111</v>
      </c>
      <c r="B2" s="181" t="s">
        <v>5070</v>
      </c>
      <c r="C2" s="181" t="s">
        <v>5071</v>
      </c>
      <c r="D2" s="181" t="s">
        <v>1108</v>
      </c>
      <c r="E2" s="181"/>
      <c r="F2" s="121"/>
    </row>
    <row r="3" spans="1:6" ht="30">
      <c r="A3" s="181" t="s">
        <v>1117</v>
      </c>
      <c r="B3" s="181" t="s">
        <v>3479</v>
      </c>
      <c r="C3" s="181" t="s">
        <v>5072</v>
      </c>
      <c r="D3" s="181" t="s">
        <v>1108</v>
      </c>
      <c r="E3" s="181"/>
      <c r="F3" s="121"/>
    </row>
    <row r="4" spans="1:6">
      <c r="A4" s="181" t="s">
        <v>1123</v>
      </c>
      <c r="B4" s="181" t="s">
        <v>3480</v>
      </c>
      <c r="C4" s="181" t="s">
        <v>5073</v>
      </c>
      <c r="D4" s="181" t="s">
        <v>1108</v>
      </c>
      <c r="E4" s="181"/>
      <c r="F4" s="121"/>
    </row>
    <row r="5" spans="1:6" ht="30">
      <c r="A5" s="181" t="s">
        <v>1130</v>
      </c>
      <c r="B5" s="181" t="s">
        <v>3481</v>
      </c>
      <c r="C5" s="181" t="s">
        <v>5074</v>
      </c>
      <c r="D5" s="181" t="s">
        <v>1131</v>
      </c>
      <c r="E5" s="181"/>
      <c r="F5" s="121"/>
    </row>
    <row r="6" spans="1:6" ht="33">
      <c r="A6" s="181" t="s">
        <v>1140</v>
      </c>
      <c r="B6" s="181" t="s">
        <v>3482</v>
      </c>
      <c r="C6" s="181" t="s">
        <v>5074</v>
      </c>
      <c r="D6" s="181" t="s">
        <v>1131</v>
      </c>
      <c r="E6" s="181" t="s">
        <v>5075</v>
      </c>
      <c r="F6" s="121" t="s">
        <v>5491</v>
      </c>
    </row>
    <row r="7" spans="1:6" ht="30">
      <c r="A7" s="181" t="s">
        <v>1167</v>
      </c>
      <c r="B7" s="181" t="s">
        <v>3484</v>
      </c>
      <c r="C7" s="181" t="s">
        <v>5071</v>
      </c>
      <c r="D7" s="181"/>
      <c r="E7" s="181" t="s">
        <v>1164</v>
      </c>
      <c r="F7" s="121" t="s">
        <v>3876</v>
      </c>
    </row>
    <row r="8" spans="1:6">
      <c r="A8" s="181" t="s">
        <v>1170</v>
      </c>
      <c r="B8" s="181" t="s">
        <v>3485</v>
      </c>
      <c r="C8" s="181" t="s">
        <v>5074</v>
      </c>
      <c r="D8" s="181" t="s">
        <v>1131</v>
      </c>
      <c r="E8" s="181"/>
      <c r="F8" s="121"/>
    </row>
    <row r="9" spans="1:6" ht="30">
      <c r="A9" s="181" t="s">
        <v>1175</v>
      </c>
      <c r="B9" s="181" t="s">
        <v>3487</v>
      </c>
      <c r="C9" s="181" t="s">
        <v>3486</v>
      </c>
      <c r="D9" s="181" t="s">
        <v>1131</v>
      </c>
      <c r="E9" s="181" t="s">
        <v>1147</v>
      </c>
      <c r="F9" s="121" t="s">
        <v>3863</v>
      </c>
    </row>
    <row r="10" spans="1:6">
      <c r="A10" s="181" t="s">
        <v>1187</v>
      </c>
      <c r="B10" s="181" t="s">
        <v>3488</v>
      </c>
      <c r="C10" s="181" t="s">
        <v>5074</v>
      </c>
      <c r="D10" s="181" t="s">
        <v>1108</v>
      </c>
      <c r="E10" s="181"/>
      <c r="F10" s="121"/>
    </row>
    <row r="11" spans="1:6" ht="30">
      <c r="A11" s="181" t="s">
        <v>1205</v>
      </c>
      <c r="B11" s="181" t="s">
        <v>3489</v>
      </c>
      <c r="C11" s="181" t="s">
        <v>5074</v>
      </c>
      <c r="D11" s="181" t="s">
        <v>1131</v>
      </c>
      <c r="E11" s="181"/>
      <c r="F11" s="121"/>
    </row>
    <row r="12" spans="1:6" ht="30">
      <c r="A12" s="181" t="s">
        <v>82</v>
      </c>
      <c r="B12" s="181" t="s">
        <v>3490</v>
      </c>
      <c r="C12" s="181" t="s">
        <v>5074</v>
      </c>
      <c r="D12" s="181" t="s">
        <v>1108</v>
      </c>
      <c r="E12" s="181"/>
      <c r="F12" s="121"/>
    </row>
    <row r="13" spans="1:6" ht="30">
      <c r="A13" s="181" t="s">
        <v>1209</v>
      </c>
      <c r="B13" s="181" t="s">
        <v>3491</v>
      </c>
      <c r="C13" s="181" t="s">
        <v>5076</v>
      </c>
      <c r="D13" s="181" t="s">
        <v>1108</v>
      </c>
      <c r="E13" s="181" t="s">
        <v>5077</v>
      </c>
      <c r="F13" s="121" t="s">
        <v>5492</v>
      </c>
    </row>
    <row r="14" spans="1:6" ht="30">
      <c r="A14" s="181" t="s">
        <v>1218</v>
      </c>
      <c r="B14" s="181" t="s">
        <v>3492</v>
      </c>
      <c r="C14" s="181" t="s">
        <v>5076</v>
      </c>
      <c r="D14" s="181"/>
      <c r="E14" s="181" t="s">
        <v>1219</v>
      </c>
      <c r="F14" s="121" t="s">
        <v>3869</v>
      </c>
    </row>
    <row r="15" spans="1:6" ht="30">
      <c r="A15" s="181" t="s">
        <v>1226</v>
      </c>
      <c r="B15" s="181" t="s">
        <v>3493</v>
      </c>
      <c r="C15" s="181" t="s">
        <v>5076</v>
      </c>
      <c r="D15" s="181"/>
      <c r="E15" s="181" t="s">
        <v>5078</v>
      </c>
      <c r="F15" s="121" t="s">
        <v>5493</v>
      </c>
    </row>
    <row r="16" spans="1:6" ht="45">
      <c r="A16" s="181" t="s">
        <v>1231</v>
      </c>
      <c r="B16" s="181" t="s">
        <v>3494</v>
      </c>
      <c r="C16" s="181" t="s">
        <v>5076</v>
      </c>
      <c r="D16" s="181" t="s">
        <v>1108</v>
      </c>
      <c r="E16" s="181" t="s">
        <v>5077</v>
      </c>
      <c r="F16" s="121" t="s">
        <v>5492</v>
      </c>
    </row>
    <row r="17" spans="1:6" ht="30">
      <c r="A17" s="181" t="s">
        <v>1233</v>
      </c>
      <c r="B17" s="181" t="s">
        <v>3495</v>
      </c>
      <c r="C17" s="181" t="s">
        <v>5076</v>
      </c>
      <c r="D17" s="181" t="s">
        <v>1108</v>
      </c>
      <c r="E17" s="181" t="s">
        <v>1211</v>
      </c>
      <c r="F17" s="121" t="s">
        <v>3867</v>
      </c>
    </row>
    <row r="18" spans="1:6" ht="45">
      <c r="A18" s="181" t="s">
        <v>1238</v>
      </c>
      <c r="B18" s="181" t="s">
        <v>3496</v>
      </c>
      <c r="C18" s="181" t="s">
        <v>5076</v>
      </c>
      <c r="D18" s="181" t="s">
        <v>1108</v>
      </c>
      <c r="E18" s="181" t="s">
        <v>1211</v>
      </c>
      <c r="F18" s="121" t="s">
        <v>3867</v>
      </c>
    </row>
    <row r="19" spans="1:6" ht="30">
      <c r="A19" s="181" t="s">
        <v>1240</v>
      </c>
      <c r="B19" s="181" t="s">
        <v>3497</v>
      </c>
      <c r="C19" s="181" t="s">
        <v>5076</v>
      </c>
      <c r="D19" s="181" t="s">
        <v>1108</v>
      </c>
      <c r="E19" s="181" t="s">
        <v>1211</v>
      </c>
      <c r="F19" s="121" t="s">
        <v>3867</v>
      </c>
    </row>
    <row r="20" spans="1:6" ht="45">
      <c r="A20" s="181" t="s">
        <v>1246</v>
      </c>
      <c r="B20" s="181" t="s">
        <v>3498</v>
      </c>
      <c r="C20" s="181" t="s">
        <v>5076</v>
      </c>
      <c r="D20" s="181" t="s">
        <v>1108</v>
      </c>
      <c r="E20" s="181" t="s">
        <v>1211</v>
      </c>
      <c r="F20" s="121" t="s">
        <v>3867</v>
      </c>
    </row>
    <row r="21" spans="1:6" ht="45">
      <c r="A21" s="181" t="s">
        <v>1249</v>
      </c>
      <c r="B21" s="181" t="s">
        <v>3499</v>
      </c>
      <c r="C21" s="181" t="s">
        <v>5076</v>
      </c>
      <c r="D21" s="181" t="s">
        <v>1108</v>
      </c>
      <c r="E21" s="181" t="s">
        <v>5077</v>
      </c>
      <c r="F21" s="121" t="s">
        <v>5492</v>
      </c>
    </row>
    <row r="22" spans="1:6" ht="30">
      <c r="A22" s="181" t="s">
        <v>1252</v>
      </c>
      <c r="B22" s="181" t="s">
        <v>3500</v>
      </c>
      <c r="C22" s="181" t="s">
        <v>5076</v>
      </c>
      <c r="D22" s="181" t="s">
        <v>1108</v>
      </c>
      <c r="E22" s="181" t="s">
        <v>1219</v>
      </c>
      <c r="F22" s="121" t="s">
        <v>3869</v>
      </c>
    </row>
    <row r="23" spans="1:6" ht="45">
      <c r="A23" s="181" t="s">
        <v>1631</v>
      </c>
      <c r="B23" s="181" t="s">
        <v>3501</v>
      </c>
      <c r="C23" s="181" t="s">
        <v>5074</v>
      </c>
      <c r="D23" s="181" t="s">
        <v>1131</v>
      </c>
      <c r="E23" s="181" t="s">
        <v>5079</v>
      </c>
      <c r="F23" s="121" t="s">
        <v>5494</v>
      </c>
    </row>
    <row r="24" spans="1:6" ht="30">
      <c r="A24" s="181" t="s">
        <v>1648</v>
      </c>
      <c r="B24" s="181" t="s">
        <v>3502</v>
      </c>
      <c r="C24" s="181" t="s">
        <v>5074</v>
      </c>
      <c r="D24" s="181" t="s">
        <v>1131</v>
      </c>
      <c r="E24" s="181" t="s">
        <v>1602</v>
      </c>
      <c r="F24" s="121" t="s">
        <v>3859</v>
      </c>
    </row>
    <row r="25" spans="1:6" ht="45">
      <c r="A25" s="181" t="s">
        <v>1680</v>
      </c>
      <c r="B25" s="181" t="s">
        <v>3503</v>
      </c>
      <c r="C25" s="181" t="s">
        <v>5074</v>
      </c>
      <c r="D25" s="181" t="s">
        <v>1154</v>
      </c>
      <c r="E25" s="181" t="s">
        <v>5080</v>
      </c>
      <c r="F25" s="121" t="s">
        <v>5495</v>
      </c>
    </row>
    <row r="26" spans="1:6" ht="45">
      <c r="A26" s="181" t="s">
        <v>1714</v>
      </c>
      <c r="B26" s="181" t="s">
        <v>3504</v>
      </c>
      <c r="C26" s="181" t="s">
        <v>5074</v>
      </c>
      <c r="D26" s="181" t="s">
        <v>1154</v>
      </c>
      <c r="E26" s="181" t="s">
        <v>5081</v>
      </c>
      <c r="F26" s="121" t="s">
        <v>5496</v>
      </c>
    </row>
    <row r="27" spans="1:6" ht="60">
      <c r="A27" s="181" t="s">
        <v>1765</v>
      </c>
      <c r="B27" s="181" t="s">
        <v>3505</v>
      </c>
      <c r="C27" s="181" t="s">
        <v>5071</v>
      </c>
      <c r="D27" s="181" t="s">
        <v>1154</v>
      </c>
      <c r="E27" s="181" t="s">
        <v>5082</v>
      </c>
      <c r="F27" s="121" t="s">
        <v>5497</v>
      </c>
    </row>
    <row r="28" spans="1:6" ht="60">
      <c r="A28" s="181" t="s">
        <v>1786</v>
      </c>
      <c r="B28" s="181" t="s">
        <v>3506</v>
      </c>
      <c r="C28" s="181" t="s">
        <v>5071</v>
      </c>
      <c r="D28" s="181" t="s">
        <v>1264</v>
      </c>
      <c r="E28" s="181" t="s">
        <v>5083</v>
      </c>
      <c r="F28" s="121" t="s">
        <v>3855</v>
      </c>
    </row>
    <row r="29" spans="1:6" ht="45">
      <c r="A29" s="181" t="s">
        <v>1769</v>
      </c>
      <c r="B29" s="181" t="s">
        <v>3507</v>
      </c>
      <c r="C29" s="181" t="s">
        <v>5071</v>
      </c>
      <c r="D29" s="181" t="s">
        <v>1264</v>
      </c>
      <c r="E29" s="181" t="s">
        <v>5084</v>
      </c>
      <c r="F29" s="121" t="s">
        <v>5498</v>
      </c>
    </row>
    <row r="30" spans="1:6" ht="45">
      <c r="A30" s="181" t="s">
        <v>1773</v>
      </c>
      <c r="B30" s="181" t="s">
        <v>3508</v>
      </c>
      <c r="C30" s="181" t="s">
        <v>3486</v>
      </c>
      <c r="D30" s="181" t="s">
        <v>1264</v>
      </c>
      <c r="E30" s="181" t="s">
        <v>5085</v>
      </c>
      <c r="F30" s="121" t="s">
        <v>5499</v>
      </c>
    </row>
    <row r="31" spans="1:6" ht="30">
      <c r="A31" s="181" t="s">
        <v>2035</v>
      </c>
      <c r="B31" s="181" t="s">
        <v>3509</v>
      </c>
      <c r="C31" s="181" t="s">
        <v>5086</v>
      </c>
      <c r="D31" s="181" t="s">
        <v>1154</v>
      </c>
      <c r="E31" s="181" t="s">
        <v>5087</v>
      </c>
      <c r="F31" s="121" t="s">
        <v>3854</v>
      </c>
    </row>
    <row r="32" spans="1:6" ht="30">
      <c r="A32" s="181" t="s">
        <v>2034</v>
      </c>
      <c r="B32" s="181" t="s">
        <v>3510</v>
      </c>
      <c r="C32" s="181" t="s">
        <v>5086</v>
      </c>
      <c r="D32" s="181" t="s">
        <v>1131</v>
      </c>
      <c r="E32" s="181"/>
      <c r="F32" s="121"/>
    </row>
    <row r="33" spans="1:6" ht="30">
      <c r="A33" s="181" t="s">
        <v>2075</v>
      </c>
      <c r="B33" s="181" t="s">
        <v>3511</v>
      </c>
      <c r="C33" s="181" t="s">
        <v>5088</v>
      </c>
      <c r="D33" s="181" t="s">
        <v>1154</v>
      </c>
      <c r="E33" s="181" t="s">
        <v>5089</v>
      </c>
      <c r="F33" s="121" t="s">
        <v>5500</v>
      </c>
    </row>
    <row r="34" spans="1:6" ht="30">
      <c r="A34" s="181" t="s">
        <v>2067</v>
      </c>
      <c r="B34" s="181" t="s">
        <v>3512</v>
      </c>
      <c r="C34" s="181" t="s">
        <v>5088</v>
      </c>
      <c r="D34" s="181" t="s">
        <v>1131</v>
      </c>
      <c r="E34" s="181" t="s">
        <v>5090</v>
      </c>
      <c r="F34" s="121" t="s">
        <v>3863</v>
      </c>
    </row>
    <row r="35" spans="1:6" ht="45">
      <c r="A35" s="181" t="s">
        <v>2147</v>
      </c>
      <c r="B35" s="181" t="s">
        <v>3513</v>
      </c>
      <c r="C35" s="181" t="s">
        <v>3514</v>
      </c>
      <c r="D35" s="181" t="s">
        <v>1154</v>
      </c>
      <c r="E35" s="181" t="s">
        <v>5091</v>
      </c>
      <c r="F35" s="121"/>
    </row>
    <row r="36" spans="1:6" ht="45">
      <c r="A36" s="181" t="s">
        <v>2172</v>
      </c>
      <c r="B36" s="181" t="s">
        <v>3515</v>
      </c>
      <c r="C36" s="181" t="s">
        <v>3514</v>
      </c>
      <c r="D36" s="181" t="s">
        <v>1154</v>
      </c>
      <c r="E36" s="181" t="s">
        <v>5092</v>
      </c>
      <c r="F36" s="121" t="s">
        <v>5501</v>
      </c>
    </row>
    <row r="37" spans="1:6">
      <c r="A37" s="181" t="s">
        <v>2173</v>
      </c>
      <c r="B37" s="181" t="s">
        <v>3516</v>
      </c>
      <c r="C37" s="181" t="s">
        <v>5074</v>
      </c>
      <c r="D37" s="181" t="s">
        <v>1154</v>
      </c>
      <c r="E37" s="181" t="s">
        <v>5091</v>
      </c>
      <c r="F37" s="121"/>
    </row>
    <row r="38" spans="1:6" ht="33">
      <c r="A38" s="181" t="s">
        <v>2175</v>
      </c>
      <c r="B38" s="181" t="s">
        <v>3517</v>
      </c>
      <c r="C38" s="181" t="s">
        <v>5093</v>
      </c>
      <c r="D38" s="181" t="s">
        <v>1154</v>
      </c>
      <c r="E38" s="181" t="s">
        <v>2176</v>
      </c>
      <c r="F38" s="121" t="s">
        <v>2502</v>
      </c>
    </row>
    <row r="39" spans="1:6" ht="30">
      <c r="A39" s="181" t="s">
        <v>1255</v>
      </c>
      <c r="B39" s="181" t="s">
        <v>3518</v>
      </c>
      <c r="C39" s="181" t="s">
        <v>5076</v>
      </c>
      <c r="D39" s="181" t="s">
        <v>1108</v>
      </c>
      <c r="E39" s="181" t="s">
        <v>5078</v>
      </c>
      <c r="F39" s="121" t="s">
        <v>5493</v>
      </c>
    </row>
    <row r="40" spans="1:6" ht="30">
      <c r="A40" s="181" t="s">
        <v>1258</v>
      </c>
      <c r="B40" s="181" t="s">
        <v>3519</v>
      </c>
      <c r="C40" s="181" t="s">
        <v>5076</v>
      </c>
      <c r="D40" s="181"/>
      <c r="E40" s="181" t="s">
        <v>1114</v>
      </c>
      <c r="F40" s="121" t="s">
        <v>3869</v>
      </c>
    </row>
    <row r="41" spans="1:6" ht="30">
      <c r="A41" s="181" t="s">
        <v>1259</v>
      </c>
      <c r="B41" s="181" t="s">
        <v>3520</v>
      </c>
      <c r="C41" s="181" t="s">
        <v>5076</v>
      </c>
      <c r="D41" s="181" t="s">
        <v>1131</v>
      </c>
      <c r="E41" s="181" t="s">
        <v>1260</v>
      </c>
      <c r="F41" s="121" t="s">
        <v>3867</v>
      </c>
    </row>
    <row r="42" spans="1:6" ht="49.5">
      <c r="A42" s="181" t="s">
        <v>1261</v>
      </c>
      <c r="B42" s="181" t="s">
        <v>3521</v>
      </c>
      <c r="C42" s="181" t="s">
        <v>5074</v>
      </c>
      <c r="D42" s="181" t="s">
        <v>1264</v>
      </c>
      <c r="E42" s="181" t="s">
        <v>5094</v>
      </c>
      <c r="F42" s="121" t="s">
        <v>5502</v>
      </c>
    </row>
    <row r="43" spans="1:6" ht="30">
      <c r="A43" s="181" t="s">
        <v>1271</v>
      </c>
      <c r="B43" s="181" t="s">
        <v>3522</v>
      </c>
      <c r="C43" s="181" t="s">
        <v>5076</v>
      </c>
      <c r="D43" s="181"/>
      <c r="E43" s="181" t="s">
        <v>1272</v>
      </c>
      <c r="F43" s="121" t="s">
        <v>3876</v>
      </c>
    </row>
    <row r="44" spans="1:6" ht="30">
      <c r="A44" s="181" t="s">
        <v>1284</v>
      </c>
      <c r="B44" s="181" t="s">
        <v>3523</v>
      </c>
      <c r="C44" s="181" t="s">
        <v>5076</v>
      </c>
      <c r="D44" s="181"/>
      <c r="E44" s="181" t="s">
        <v>1272</v>
      </c>
      <c r="F44" s="121" t="s">
        <v>3876</v>
      </c>
    </row>
    <row r="45" spans="1:6" ht="33">
      <c r="A45" s="181" t="s">
        <v>1301</v>
      </c>
      <c r="B45" s="181" t="s">
        <v>3524</v>
      </c>
      <c r="C45" s="181" t="s">
        <v>5074</v>
      </c>
      <c r="D45" s="181" t="s">
        <v>1131</v>
      </c>
      <c r="E45" s="181" t="s">
        <v>5095</v>
      </c>
      <c r="F45" s="121" t="s">
        <v>5503</v>
      </c>
    </row>
    <row r="46" spans="1:6" ht="30">
      <c r="A46" s="181" t="s">
        <v>1308</v>
      </c>
      <c r="B46" s="181" t="s">
        <v>3525</v>
      </c>
      <c r="C46" s="181" t="s">
        <v>5076</v>
      </c>
      <c r="D46" s="181" t="s">
        <v>1108</v>
      </c>
      <c r="E46" s="181" t="s">
        <v>5096</v>
      </c>
      <c r="F46" s="121" t="s">
        <v>5492</v>
      </c>
    </row>
    <row r="47" spans="1:6" ht="30">
      <c r="A47" s="181" t="s">
        <v>1309</v>
      </c>
      <c r="B47" s="181" t="s">
        <v>3526</v>
      </c>
      <c r="C47" s="181" t="s">
        <v>5076</v>
      </c>
      <c r="D47" s="181"/>
      <c r="E47" s="181" t="s">
        <v>1277</v>
      </c>
      <c r="F47" s="121" t="s">
        <v>3876</v>
      </c>
    </row>
    <row r="48" spans="1:6" ht="30">
      <c r="A48" s="181" t="s">
        <v>1311</v>
      </c>
      <c r="B48" s="181" t="s">
        <v>3527</v>
      </c>
      <c r="C48" s="181" t="s">
        <v>5076</v>
      </c>
      <c r="D48" s="181"/>
      <c r="E48" s="181" t="s">
        <v>1277</v>
      </c>
      <c r="F48" s="121" t="s">
        <v>3876</v>
      </c>
    </row>
    <row r="49" spans="1:6" ht="49.5">
      <c r="A49" s="181" t="s">
        <v>1331</v>
      </c>
      <c r="B49" s="181" t="s">
        <v>3528</v>
      </c>
      <c r="C49" s="181" t="s">
        <v>5076</v>
      </c>
      <c r="D49" s="181" t="s">
        <v>1154</v>
      </c>
      <c r="E49" s="181" t="s">
        <v>5097</v>
      </c>
      <c r="F49" s="121" t="s">
        <v>5504</v>
      </c>
    </row>
    <row r="50" spans="1:6" ht="30">
      <c r="A50" s="181" t="s">
        <v>1333</v>
      </c>
      <c r="B50" s="181" t="s">
        <v>3529</v>
      </c>
      <c r="C50" s="181" t="s">
        <v>5076</v>
      </c>
      <c r="D50" s="181" t="s">
        <v>1108</v>
      </c>
      <c r="E50" s="181" t="s">
        <v>5098</v>
      </c>
      <c r="F50" s="121" t="s">
        <v>5505</v>
      </c>
    </row>
    <row r="51" spans="1:6" ht="30">
      <c r="A51" s="181" t="s">
        <v>1337</v>
      </c>
      <c r="B51" s="181" t="s">
        <v>3530</v>
      </c>
      <c r="C51" s="181" t="s">
        <v>5076</v>
      </c>
      <c r="D51" s="181" t="s">
        <v>1108</v>
      </c>
      <c r="E51" s="181" t="s">
        <v>5098</v>
      </c>
      <c r="F51" s="121" t="s">
        <v>5505</v>
      </c>
    </row>
    <row r="52" spans="1:6" ht="30">
      <c r="A52" s="181" t="s">
        <v>1359</v>
      </c>
      <c r="B52" s="181" t="s">
        <v>3531</v>
      </c>
      <c r="C52" s="181" t="s">
        <v>5076</v>
      </c>
      <c r="D52" s="181" t="s">
        <v>1108</v>
      </c>
      <c r="E52" s="181" t="s">
        <v>5099</v>
      </c>
      <c r="F52" s="121" t="s">
        <v>5505</v>
      </c>
    </row>
    <row r="53" spans="1:6" ht="30">
      <c r="A53" s="181" t="s">
        <v>1338</v>
      </c>
      <c r="B53" s="181" t="s">
        <v>3532</v>
      </c>
      <c r="C53" s="181" t="s">
        <v>5076</v>
      </c>
      <c r="D53" s="181" t="s">
        <v>1154</v>
      </c>
      <c r="E53" s="181" t="s">
        <v>1339</v>
      </c>
      <c r="F53" s="121" t="s">
        <v>3871</v>
      </c>
    </row>
    <row r="54" spans="1:6" ht="30">
      <c r="A54" s="181" t="s">
        <v>1341</v>
      </c>
      <c r="B54" s="181" t="s">
        <v>3533</v>
      </c>
      <c r="C54" s="181" t="s">
        <v>5076</v>
      </c>
      <c r="D54" s="181" t="s">
        <v>1108</v>
      </c>
      <c r="E54" s="181" t="s">
        <v>5099</v>
      </c>
      <c r="F54" s="121" t="s">
        <v>5505</v>
      </c>
    </row>
    <row r="55" spans="1:6" ht="45">
      <c r="A55" s="181" t="s">
        <v>1362</v>
      </c>
      <c r="B55" s="181" t="s">
        <v>3534</v>
      </c>
      <c r="C55" s="181" t="s">
        <v>5076</v>
      </c>
      <c r="D55" s="181" t="s">
        <v>1108</v>
      </c>
      <c r="E55" s="181" t="s">
        <v>5100</v>
      </c>
      <c r="F55" s="121" t="s">
        <v>5506</v>
      </c>
    </row>
    <row r="56" spans="1:6" ht="66">
      <c r="A56" s="181" t="s">
        <v>1367</v>
      </c>
      <c r="B56" s="181" t="s">
        <v>3535</v>
      </c>
      <c r="C56" s="181" t="s">
        <v>5076</v>
      </c>
      <c r="D56" s="181" t="s">
        <v>1343</v>
      </c>
      <c r="E56" s="181" t="s">
        <v>5101</v>
      </c>
      <c r="F56" s="121" t="s">
        <v>5507</v>
      </c>
    </row>
    <row r="57" spans="1:6" ht="66">
      <c r="A57" s="181" t="s">
        <v>1376</v>
      </c>
      <c r="B57" s="181" t="s">
        <v>3536</v>
      </c>
      <c r="C57" s="181" t="s">
        <v>5076</v>
      </c>
      <c r="D57" s="181" t="s">
        <v>1372</v>
      </c>
      <c r="E57" s="181" t="s">
        <v>5102</v>
      </c>
      <c r="F57" s="121" t="s">
        <v>5508</v>
      </c>
    </row>
    <row r="58" spans="1:6" ht="49.5">
      <c r="A58" s="181" t="s">
        <v>1379</v>
      </c>
      <c r="B58" s="181" t="s">
        <v>3537</v>
      </c>
      <c r="C58" s="181" t="s">
        <v>5076</v>
      </c>
      <c r="D58" s="181" t="s">
        <v>1343</v>
      </c>
      <c r="E58" s="181" t="s">
        <v>5103</v>
      </c>
      <c r="F58" s="121" t="s">
        <v>5509</v>
      </c>
    </row>
    <row r="59" spans="1:6" ht="45">
      <c r="A59" s="181" t="s">
        <v>1427</v>
      </c>
      <c r="B59" s="181" t="s">
        <v>3538</v>
      </c>
      <c r="C59" s="181" t="s">
        <v>5076</v>
      </c>
      <c r="D59" s="181" t="s">
        <v>1154</v>
      </c>
      <c r="E59" s="181" t="s">
        <v>5104</v>
      </c>
      <c r="F59" s="121" t="s">
        <v>5510</v>
      </c>
    </row>
    <row r="60" spans="1:6" ht="49.5">
      <c r="A60" s="181" t="s">
        <v>1428</v>
      </c>
      <c r="B60" s="181" t="s">
        <v>3539</v>
      </c>
      <c r="C60" s="181" t="s">
        <v>5076</v>
      </c>
      <c r="D60" s="181"/>
      <c r="E60" s="181" t="s">
        <v>5105</v>
      </c>
      <c r="F60" s="121" t="s">
        <v>5511</v>
      </c>
    </row>
    <row r="61" spans="1:6" ht="45">
      <c r="A61" s="181" t="s">
        <v>1429</v>
      </c>
      <c r="B61" s="181" t="s">
        <v>3540</v>
      </c>
      <c r="C61" s="181" t="s">
        <v>5076</v>
      </c>
      <c r="D61" s="181"/>
      <c r="E61" s="181" t="s">
        <v>1380</v>
      </c>
      <c r="F61" s="121" t="s">
        <v>3164</v>
      </c>
    </row>
    <row r="62" spans="1:6" ht="30">
      <c r="A62" s="181" t="s">
        <v>1430</v>
      </c>
      <c r="B62" s="181" t="s">
        <v>3541</v>
      </c>
      <c r="C62" s="181" t="s">
        <v>5086</v>
      </c>
      <c r="D62" s="181" t="s">
        <v>1131</v>
      </c>
      <c r="E62" s="181"/>
      <c r="F62" s="121"/>
    </row>
    <row r="63" spans="1:6" ht="33">
      <c r="A63" s="181" t="s">
        <v>1432</v>
      </c>
      <c r="B63" s="181" t="s">
        <v>3542</v>
      </c>
      <c r="C63" s="181" t="s">
        <v>5086</v>
      </c>
      <c r="D63" s="181" t="s">
        <v>1131</v>
      </c>
      <c r="E63" s="181" t="s">
        <v>5106</v>
      </c>
      <c r="F63" s="121" t="s">
        <v>2717</v>
      </c>
    </row>
    <row r="64" spans="1:6" ht="45">
      <c r="A64" s="181" t="s">
        <v>1403</v>
      </c>
      <c r="B64" s="181" t="s">
        <v>3543</v>
      </c>
      <c r="C64" s="181" t="s">
        <v>5086</v>
      </c>
      <c r="D64" s="181" t="s">
        <v>1131</v>
      </c>
      <c r="E64" s="181" t="s">
        <v>5106</v>
      </c>
      <c r="F64" s="121" t="s">
        <v>2717</v>
      </c>
    </row>
    <row r="65" spans="1:6" ht="45">
      <c r="A65" s="181" t="s">
        <v>1434</v>
      </c>
      <c r="B65" s="181" t="s">
        <v>3544</v>
      </c>
      <c r="C65" s="181" t="s">
        <v>5086</v>
      </c>
      <c r="D65" s="181" t="s">
        <v>1131</v>
      </c>
      <c r="E65" s="181" t="s">
        <v>5107</v>
      </c>
      <c r="F65" s="121" t="s">
        <v>2718</v>
      </c>
    </row>
    <row r="66" spans="1:6" ht="45">
      <c r="A66" s="181" t="s">
        <v>1410</v>
      </c>
      <c r="B66" s="181" t="s">
        <v>3545</v>
      </c>
      <c r="C66" s="181" t="s">
        <v>5086</v>
      </c>
      <c r="D66" s="181" t="s">
        <v>1131</v>
      </c>
      <c r="E66" s="181" t="s">
        <v>5108</v>
      </c>
      <c r="F66" s="121" t="s">
        <v>2721</v>
      </c>
    </row>
    <row r="67" spans="1:6" ht="45">
      <c r="A67" s="181" t="s">
        <v>1436</v>
      </c>
      <c r="B67" s="181" t="s">
        <v>3546</v>
      </c>
      <c r="C67" s="181" t="s">
        <v>5086</v>
      </c>
      <c r="D67" s="181" t="s">
        <v>1131</v>
      </c>
      <c r="E67" s="181" t="s">
        <v>5109</v>
      </c>
      <c r="F67" s="121" t="s">
        <v>3035</v>
      </c>
    </row>
    <row r="68" spans="1:6" ht="66">
      <c r="A68" s="181" t="s">
        <v>1414</v>
      </c>
      <c r="B68" s="181" t="s">
        <v>3547</v>
      </c>
      <c r="C68" s="181" t="s">
        <v>5086</v>
      </c>
      <c r="D68" s="181" t="s">
        <v>1131</v>
      </c>
      <c r="E68" s="181" t="s">
        <v>5110</v>
      </c>
      <c r="F68" s="121" t="s">
        <v>5512</v>
      </c>
    </row>
    <row r="69" spans="1:6" ht="66">
      <c r="A69" s="181" t="s">
        <v>1437</v>
      </c>
      <c r="B69" s="181" t="s">
        <v>3548</v>
      </c>
      <c r="C69" s="181" t="s">
        <v>5086</v>
      </c>
      <c r="D69" s="181" t="s">
        <v>1131</v>
      </c>
      <c r="E69" s="181" t="s">
        <v>5111</v>
      </c>
      <c r="F69" s="121" t="s">
        <v>5513</v>
      </c>
    </row>
    <row r="70" spans="1:6" ht="66">
      <c r="A70" s="181" t="s">
        <v>1417</v>
      </c>
      <c r="B70" s="181" t="s">
        <v>3549</v>
      </c>
      <c r="C70" s="181" t="s">
        <v>5086</v>
      </c>
      <c r="D70" s="181" t="s">
        <v>1131</v>
      </c>
      <c r="E70" s="181" t="s">
        <v>5112</v>
      </c>
      <c r="F70" s="121" t="s">
        <v>5514</v>
      </c>
    </row>
    <row r="71" spans="1:6" ht="33">
      <c r="A71" s="181" t="s">
        <v>1419</v>
      </c>
      <c r="B71" s="181" t="s">
        <v>3550</v>
      </c>
      <c r="C71" s="181" t="s">
        <v>5086</v>
      </c>
      <c r="D71" s="181" t="s">
        <v>1131</v>
      </c>
      <c r="E71" s="181" t="s">
        <v>5113</v>
      </c>
      <c r="F71" s="121" t="s">
        <v>5515</v>
      </c>
    </row>
    <row r="72" spans="1:6" ht="33">
      <c r="A72" s="181" t="s">
        <v>1440</v>
      </c>
      <c r="B72" s="181" t="s">
        <v>3551</v>
      </c>
      <c r="C72" s="181" t="s">
        <v>5086</v>
      </c>
      <c r="D72" s="181" t="s">
        <v>1154</v>
      </c>
      <c r="E72" s="181" t="s">
        <v>5107</v>
      </c>
      <c r="F72" s="121" t="s">
        <v>2718</v>
      </c>
    </row>
    <row r="73" spans="1:6" ht="30">
      <c r="A73" s="181" t="s">
        <v>1442</v>
      </c>
      <c r="B73" s="181" t="s">
        <v>3552</v>
      </c>
      <c r="C73" s="181" t="s">
        <v>5086</v>
      </c>
      <c r="D73" s="181" t="s">
        <v>1154</v>
      </c>
      <c r="E73" s="181" t="s">
        <v>5114</v>
      </c>
      <c r="F73" s="121" t="s">
        <v>3854</v>
      </c>
    </row>
    <row r="74" spans="1:6" ht="30">
      <c r="A74" s="181" t="s">
        <v>1470</v>
      </c>
      <c r="B74" s="181" t="s">
        <v>3553</v>
      </c>
      <c r="C74" s="181" t="s">
        <v>5086</v>
      </c>
      <c r="D74" s="181" t="s">
        <v>5115</v>
      </c>
      <c r="E74" s="181" t="s">
        <v>5116</v>
      </c>
      <c r="F74" s="121" t="s">
        <v>5516</v>
      </c>
    </row>
    <row r="75" spans="1:6" ht="30">
      <c r="A75" s="181" t="s">
        <v>1455</v>
      </c>
      <c r="B75" s="181" t="s">
        <v>3554</v>
      </c>
      <c r="C75" s="181" t="s">
        <v>5086</v>
      </c>
      <c r="D75" s="181" t="s">
        <v>5115</v>
      </c>
      <c r="E75" s="181" t="s">
        <v>5117</v>
      </c>
      <c r="F75" s="121" t="s">
        <v>5517</v>
      </c>
    </row>
    <row r="76" spans="1:6" ht="33">
      <c r="A76" s="181" t="s">
        <v>1471</v>
      </c>
      <c r="B76" s="181" t="s">
        <v>3555</v>
      </c>
      <c r="C76" s="181" t="s">
        <v>5086</v>
      </c>
      <c r="D76" s="181" t="s">
        <v>1154</v>
      </c>
      <c r="E76" s="181" t="s">
        <v>5118</v>
      </c>
      <c r="F76" s="121" t="s">
        <v>5518</v>
      </c>
    </row>
    <row r="77" spans="1:6" ht="30">
      <c r="A77" s="181" t="s">
        <v>1474</v>
      </c>
      <c r="B77" s="181" t="s">
        <v>3556</v>
      </c>
      <c r="C77" s="181" t="s">
        <v>5086</v>
      </c>
      <c r="D77" s="181" t="s">
        <v>5115</v>
      </c>
      <c r="E77" s="181" t="s">
        <v>5119</v>
      </c>
      <c r="F77" s="121" t="s">
        <v>3056</v>
      </c>
    </row>
    <row r="78" spans="1:6">
      <c r="A78" s="181" t="s">
        <v>1477</v>
      </c>
      <c r="B78" s="181" t="s">
        <v>3557</v>
      </c>
      <c r="C78" s="181" t="s">
        <v>5120</v>
      </c>
      <c r="D78" s="181" t="s">
        <v>1154</v>
      </c>
      <c r="E78" s="181" t="s">
        <v>5121</v>
      </c>
      <c r="F78" s="121" t="s">
        <v>5500</v>
      </c>
    </row>
    <row r="79" spans="1:6" ht="60">
      <c r="A79" s="181" t="s">
        <v>1462</v>
      </c>
      <c r="B79" s="181" t="s">
        <v>3558</v>
      </c>
      <c r="C79" s="181" t="s">
        <v>3514</v>
      </c>
      <c r="D79" s="181" t="s">
        <v>1154</v>
      </c>
      <c r="E79" s="181" t="s">
        <v>5122</v>
      </c>
      <c r="F79" s="121" t="s">
        <v>5519</v>
      </c>
    </row>
    <row r="80" spans="1:6" ht="60">
      <c r="A80" s="181" t="s">
        <v>1479</v>
      </c>
      <c r="B80" s="181" t="s">
        <v>3559</v>
      </c>
      <c r="C80" s="181" t="s">
        <v>3514</v>
      </c>
      <c r="D80" s="181" t="s">
        <v>1154</v>
      </c>
      <c r="E80" s="181" t="s">
        <v>5123</v>
      </c>
      <c r="F80" s="121" t="s">
        <v>5520</v>
      </c>
    </row>
    <row r="81" spans="1:6" ht="60">
      <c r="A81" s="181" t="s">
        <v>1497</v>
      </c>
      <c r="B81" s="181" t="s">
        <v>3560</v>
      </c>
      <c r="C81" s="181" t="s">
        <v>3514</v>
      </c>
      <c r="D81" s="181" t="s">
        <v>1264</v>
      </c>
      <c r="E81" s="181" t="s">
        <v>5124</v>
      </c>
      <c r="F81" s="121"/>
    </row>
    <row r="82" spans="1:6" ht="30">
      <c r="A82" s="181" t="s">
        <v>1532</v>
      </c>
      <c r="B82" s="181" t="s">
        <v>3561</v>
      </c>
      <c r="C82" s="181" t="s">
        <v>5125</v>
      </c>
      <c r="D82" s="181" t="s">
        <v>1154</v>
      </c>
      <c r="E82" s="181" t="s">
        <v>5126</v>
      </c>
      <c r="F82" s="121" t="s">
        <v>5521</v>
      </c>
    </row>
    <row r="83" spans="1:6" ht="30">
      <c r="A83" s="181" t="s">
        <v>1505</v>
      </c>
      <c r="B83" s="181" t="s">
        <v>3562</v>
      </c>
      <c r="C83" s="181" t="s">
        <v>5074</v>
      </c>
      <c r="D83" s="181" t="s">
        <v>1108</v>
      </c>
      <c r="E83" s="181" t="s">
        <v>1507</v>
      </c>
      <c r="F83" s="121" t="s">
        <v>3874</v>
      </c>
    </row>
    <row r="84" spans="1:6" ht="45">
      <c r="A84" s="181" t="s">
        <v>1535</v>
      </c>
      <c r="B84" s="181" t="s">
        <v>3563</v>
      </c>
      <c r="C84" s="181" t="s">
        <v>5076</v>
      </c>
      <c r="D84" s="181" t="s">
        <v>1154</v>
      </c>
      <c r="E84" s="181" t="s">
        <v>5127</v>
      </c>
      <c r="F84" s="121" t="s">
        <v>5522</v>
      </c>
    </row>
    <row r="85" spans="1:6" ht="30">
      <c r="A85" s="181" t="s">
        <v>1536</v>
      </c>
      <c r="B85" s="181" t="s">
        <v>3564</v>
      </c>
      <c r="C85" s="181" t="s">
        <v>5071</v>
      </c>
      <c r="D85" s="181" t="s">
        <v>5128</v>
      </c>
      <c r="E85" s="181" t="s">
        <v>5129</v>
      </c>
      <c r="F85" s="121" t="s">
        <v>5523</v>
      </c>
    </row>
    <row r="86" spans="1:6" ht="30">
      <c r="A86" s="181" t="s">
        <v>1538</v>
      </c>
      <c r="B86" s="181" t="s">
        <v>3565</v>
      </c>
      <c r="C86" s="181" t="s">
        <v>5071</v>
      </c>
      <c r="D86" s="181" t="s">
        <v>1108</v>
      </c>
      <c r="E86" s="181" t="s">
        <v>5130</v>
      </c>
      <c r="F86" s="121" t="s">
        <v>5523</v>
      </c>
    </row>
    <row r="87" spans="1:6" ht="33">
      <c r="A87" s="181" t="s">
        <v>1523</v>
      </c>
      <c r="B87" s="181" t="s">
        <v>3566</v>
      </c>
      <c r="C87" s="181" t="s">
        <v>5071</v>
      </c>
      <c r="D87" s="181" t="s">
        <v>1154</v>
      </c>
      <c r="E87" s="181" t="s">
        <v>5131</v>
      </c>
      <c r="F87" s="121" t="s">
        <v>5524</v>
      </c>
    </row>
    <row r="88" spans="1:6" ht="33">
      <c r="A88" s="181" t="s">
        <v>1527</v>
      </c>
      <c r="B88" s="181" t="s">
        <v>3567</v>
      </c>
      <c r="C88" s="181" t="s">
        <v>5071</v>
      </c>
      <c r="D88" s="181" t="s">
        <v>1131</v>
      </c>
      <c r="E88" s="181" t="s">
        <v>5132</v>
      </c>
      <c r="F88" s="121" t="s">
        <v>5525</v>
      </c>
    </row>
    <row r="89" spans="1:6" ht="30">
      <c r="A89" s="181" t="s">
        <v>1539</v>
      </c>
      <c r="B89" s="181" t="s">
        <v>3568</v>
      </c>
      <c r="C89" s="181" t="s">
        <v>5071</v>
      </c>
      <c r="D89" s="181" t="s">
        <v>1131</v>
      </c>
      <c r="E89" s="181" t="s">
        <v>5133</v>
      </c>
      <c r="F89" s="121" t="s">
        <v>5526</v>
      </c>
    </row>
    <row r="90" spans="1:6" ht="49.5">
      <c r="A90" s="181" t="s">
        <v>1540</v>
      </c>
      <c r="B90" s="181" t="s">
        <v>3569</v>
      </c>
      <c r="C90" s="181" t="s">
        <v>5134</v>
      </c>
      <c r="D90" s="181" t="s">
        <v>1264</v>
      </c>
      <c r="E90" s="181" t="s">
        <v>5135</v>
      </c>
      <c r="F90" s="121" t="s">
        <v>5527</v>
      </c>
    </row>
    <row r="91" spans="1:6" ht="45">
      <c r="A91" s="181" t="s">
        <v>1574</v>
      </c>
      <c r="B91" s="181" t="s">
        <v>3570</v>
      </c>
      <c r="C91" s="181" t="s">
        <v>5136</v>
      </c>
      <c r="D91" s="181"/>
      <c r="E91" s="181" t="s">
        <v>1272</v>
      </c>
      <c r="F91" s="121" t="s">
        <v>3876</v>
      </c>
    </row>
    <row r="92" spans="1:6">
      <c r="A92" s="181" t="s">
        <v>1546</v>
      </c>
      <c r="B92" s="181" t="s">
        <v>3571</v>
      </c>
      <c r="C92" s="181" t="s">
        <v>5088</v>
      </c>
      <c r="D92" s="181" t="s">
        <v>5115</v>
      </c>
      <c r="E92" s="181"/>
      <c r="F92" s="121"/>
    </row>
    <row r="93" spans="1:6" ht="33">
      <c r="A93" s="181" t="s">
        <v>1575</v>
      </c>
      <c r="B93" s="181" t="s">
        <v>3572</v>
      </c>
      <c r="C93" s="181" t="s">
        <v>5088</v>
      </c>
      <c r="D93" s="181" t="s">
        <v>5137</v>
      </c>
      <c r="E93" s="181" t="s">
        <v>5138</v>
      </c>
      <c r="F93" s="121" t="s">
        <v>5528</v>
      </c>
    </row>
    <row r="94" spans="1:6">
      <c r="A94" s="181" t="s">
        <v>1579</v>
      </c>
      <c r="B94" s="181" t="s">
        <v>3573</v>
      </c>
      <c r="C94" s="181" t="s">
        <v>5139</v>
      </c>
      <c r="D94" s="181" t="s">
        <v>1131</v>
      </c>
      <c r="E94" s="181" t="s">
        <v>5140</v>
      </c>
      <c r="F94" s="121" t="s">
        <v>3876</v>
      </c>
    </row>
    <row r="95" spans="1:6">
      <c r="A95" s="181" t="s">
        <v>134</v>
      </c>
      <c r="B95" s="181" t="s">
        <v>135</v>
      </c>
      <c r="C95" s="181" t="s">
        <v>5088</v>
      </c>
      <c r="D95" s="181" t="s">
        <v>1154</v>
      </c>
      <c r="E95" s="181"/>
      <c r="F95" s="121"/>
    </row>
    <row r="96" spans="1:6" ht="45">
      <c r="A96" s="181" t="s">
        <v>1619</v>
      </c>
      <c r="B96" s="181" t="s">
        <v>3574</v>
      </c>
      <c r="C96" s="181" t="s">
        <v>5088</v>
      </c>
      <c r="D96" s="181" t="s">
        <v>1264</v>
      </c>
      <c r="E96" s="181" t="s">
        <v>5141</v>
      </c>
      <c r="F96" s="121" t="s">
        <v>5529</v>
      </c>
    </row>
    <row r="97" spans="1:6">
      <c r="A97" s="181" t="s">
        <v>1620</v>
      </c>
      <c r="B97" s="181" t="s">
        <v>3575</v>
      </c>
      <c r="C97" s="181" t="s">
        <v>5088</v>
      </c>
      <c r="D97" s="181" t="s">
        <v>5142</v>
      </c>
      <c r="E97" s="181" t="s">
        <v>1346</v>
      </c>
      <c r="F97" s="121" t="s">
        <v>3092</v>
      </c>
    </row>
    <row r="98" spans="1:6" ht="30">
      <c r="A98" s="181" t="s">
        <v>1622</v>
      </c>
      <c r="B98" s="181" t="s">
        <v>3576</v>
      </c>
      <c r="C98" s="181" t="s">
        <v>5074</v>
      </c>
      <c r="D98" s="181" t="s">
        <v>1131</v>
      </c>
      <c r="E98" s="181"/>
      <c r="F98" s="121"/>
    </row>
    <row r="99" spans="1:6">
      <c r="A99" s="181" t="s">
        <v>1623</v>
      </c>
      <c r="B99" s="181" t="s">
        <v>3577</v>
      </c>
      <c r="C99" s="181" t="s">
        <v>5074</v>
      </c>
      <c r="D99" s="181" t="s">
        <v>1131</v>
      </c>
      <c r="E99" s="181"/>
      <c r="F99" s="121"/>
    </row>
    <row r="100" spans="1:6" ht="30">
      <c r="A100" s="181" t="s">
        <v>1628</v>
      </c>
      <c r="B100" s="181" t="s">
        <v>3578</v>
      </c>
      <c r="C100" s="181" t="s">
        <v>5074</v>
      </c>
      <c r="D100" s="181" t="s">
        <v>1131</v>
      </c>
      <c r="E100" s="181"/>
      <c r="F100" s="121"/>
    </row>
    <row r="101" spans="1:6" ht="30">
      <c r="A101" s="181" t="s">
        <v>1607</v>
      </c>
      <c r="B101" s="181" t="s">
        <v>3579</v>
      </c>
      <c r="C101" s="181" t="s">
        <v>5074</v>
      </c>
      <c r="D101" s="181" t="s">
        <v>1131</v>
      </c>
      <c r="E101" s="181" t="s">
        <v>1602</v>
      </c>
      <c r="F101" s="121" t="s">
        <v>3859</v>
      </c>
    </row>
    <row r="102" spans="1:6" ht="30">
      <c r="A102" s="181" t="s">
        <v>1629</v>
      </c>
      <c r="B102" s="181" t="s">
        <v>3580</v>
      </c>
      <c r="C102" s="181" t="s">
        <v>5074</v>
      </c>
      <c r="D102" s="181" t="s">
        <v>1131</v>
      </c>
      <c r="E102" s="181" t="s">
        <v>1602</v>
      </c>
      <c r="F102" s="121" t="s">
        <v>3859</v>
      </c>
    </row>
    <row r="103" spans="1:6" ht="45">
      <c r="A103" s="181" t="s">
        <v>1630</v>
      </c>
      <c r="B103" s="181" t="s">
        <v>3581</v>
      </c>
      <c r="C103" s="181" t="s">
        <v>5074</v>
      </c>
      <c r="D103" s="181" t="s">
        <v>1131</v>
      </c>
      <c r="E103" s="181" t="s">
        <v>1602</v>
      </c>
      <c r="F103" s="121" t="s">
        <v>3859</v>
      </c>
    </row>
    <row r="104" spans="1:6" ht="30">
      <c r="A104" s="181" t="s">
        <v>1613</v>
      </c>
      <c r="B104" s="181" t="s">
        <v>3582</v>
      </c>
      <c r="C104" s="181" t="s">
        <v>5074</v>
      </c>
      <c r="D104" s="181" t="s">
        <v>1131</v>
      </c>
      <c r="E104" s="181" t="s">
        <v>1602</v>
      </c>
      <c r="F104" s="121" t="s">
        <v>3859</v>
      </c>
    </row>
    <row r="105" spans="1:6" ht="30">
      <c r="A105" s="181" t="s">
        <v>1614</v>
      </c>
      <c r="B105" s="181" t="s">
        <v>3583</v>
      </c>
      <c r="C105" s="181" t="s">
        <v>5074</v>
      </c>
      <c r="D105" s="181" t="s">
        <v>1131</v>
      </c>
      <c r="E105" s="181" t="s">
        <v>1602</v>
      </c>
      <c r="F105" s="121" t="s">
        <v>3859</v>
      </c>
    </row>
    <row r="106" spans="1:6" ht="30">
      <c r="A106" s="181" t="s">
        <v>1615</v>
      </c>
      <c r="B106" s="181" t="s">
        <v>3584</v>
      </c>
      <c r="C106" s="181" t="s">
        <v>5074</v>
      </c>
      <c r="D106" s="181" t="s">
        <v>1264</v>
      </c>
      <c r="E106" s="181" t="s">
        <v>1602</v>
      </c>
      <c r="F106" s="121" t="s">
        <v>3859</v>
      </c>
    </row>
    <row r="107" spans="1:6" ht="30">
      <c r="A107" s="181" t="s">
        <v>1653</v>
      </c>
      <c r="B107" s="181" t="s">
        <v>3585</v>
      </c>
      <c r="C107" s="181" t="s">
        <v>3483</v>
      </c>
      <c r="D107" s="181" t="s">
        <v>5115</v>
      </c>
      <c r="E107" s="181"/>
      <c r="F107" s="121"/>
    </row>
    <row r="108" spans="1:6" ht="75">
      <c r="A108" s="181" t="s">
        <v>1690</v>
      </c>
      <c r="B108" s="181" t="s">
        <v>3586</v>
      </c>
      <c r="C108" s="181" t="s">
        <v>5074</v>
      </c>
      <c r="D108" s="181" t="s">
        <v>1108</v>
      </c>
      <c r="E108" s="181" t="s">
        <v>5143</v>
      </c>
      <c r="F108" s="121" t="s">
        <v>5530</v>
      </c>
    </row>
    <row r="109" spans="1:6" ht="75">
      <c r="A109" s="181" t="s">
        <v>1715</v>
      </c>
      <c r="B109" s="181" t="s">
        <v>3587</v>
      </c>
      <c r="C109" s="181" t="s">
        <v>5074</v>
      </c>
      <c r="D109" s="181" t="s">
        <v>1131</v>
      </c>
      <c r="E109" s="181" t="s">
        <v>5144</v>
      </c>
      <c r="F109" s="121" t="s">
        <v>5530</v>
      </c>
    </row>
    <row r="110" spans="1:6" ht="30">
      <c r="A110" s="181" t="s">
        <v>1664</v>
      </c>
      <c r="B110" s="181" t="s">
        <v>3588</v>
      </c>
      <c r="C110" s="181" t="s">
        <v>5145</v>
      </c>
      <c r="D110" s="181" t="s">
        <v>1131</v>
      </c>
      <c r="E110" s="181"/>
      <c r="F110" s="121"/>
    </row>
    <row r="111" spans="1:6" ht="33">
      <c r="A111" s="181" t="s">
        <v>1666</v>
      </c>
      <c r="B111" s="181" t="s">
        <v>3589</v>
      </c>
      <c r="C111" s="181" t="s">
        <v>3486</v>
      </c>
      <c r="D111" s="181" t="s">
        <v>1264</v>
      </c>
      <c r="E111" s="181" t="s">
        <v>5146</v>
      </c>
      <c r="F111" s="121" t="s">
        <v>5531</v>
      </c>
    </row>
    <row r="112" spans="1:6" ht="30">
      <c r="A112" s="181" t="s">
        <v>1671</v>
      </c>
      <c r="B112" s="181" t="s">
        <v>3590</v>
      </c>
      <c r="C112" s="181" t="s">
        <v>3486</v>
      </c>
      <c r="D112" s="181" t="s">
        <v>1264</v>
      </c>
      <c r="E112" s="181" t="s">
        <v>5147</v>
      </c>
      <c r="F112" s="121" t="s">
        <v>5532</v>
      </c>
    </row>
    <row r="113" spans="1:6" ht="45">
      <c r="A113" s="181" t="s">
        <v>1672</v>
      </c>
      <c r="B113" s="181" t="s">
        <v>3591</v>
      </c>
      <c r="C113" s="181" t="s">
        <v>5074</v>
      </c>
      <c r="D113" s="181" t="s">
        <v>1108</v>
      </c>
      <c r="E113" s="181" t="s">
        <v>5148</v>
      </c>
      <c r="F113" s="121" t="s">
        <v>5496</v>
      </c>
    </row>
    <row r="114" spans="1:6" ht="45">
      <c r="A114" s="181" t="s">
        <v>1712</v>
      </c>
      <c r="B114" s="181" t="s">
        <v>3592</v>
      </c>
      <c r="C114" s="181" t="s">
        <v>5074</v>
      </c>
      <c r="D114" s="181" t="s">
        <v>1131</v>
      </c>
      <c r="E114" s="181" t="s">
        <v>5081</v>
      </c>
      <c r="F114" s="121" t="s">
        <v>5496</v>
      </c>
    </row>
    <row r="115" spans="1:6" ht="45">
      <c r="A115" s="181" t="s">
        <v>1678</v>
      </c>
      <c r="B115" s="181" t="s">
        <v>3593</v>
      </c>
      <c r="C115" s="181" t="s">
        <v>5074</v>
      </c>
      <c r="D115" s="181" t="s">
        <v>1131</v>
      </c>
      <c r="E115" s="181" t="s">
        <v>1673</v>
      </c>
      <c r="F115" s="121" t="s">
        <v>3858</v>
      </c>
    </row>
    <row r="116" spans="1:6" ht="45">
      <c r="A116" s="181" t="s">
        <v>1684</v>
      </c>
      <c r="B116" s="181" t="s">
        <v>3594</v>
      </c>
      <c r="C116" s="181" t="s">
        <v>5074</v>
      </c>
      <c r="D116" s="181" t="s">
        <v>1131</v>
      </c>
      <c r="E116" s="181" t="s">
        <v>5149</v>
      </c>
      <c r="F116" s="121" t="s">
        <v>5496</v>
      </c>
    </row>
    <row r="117" spans="1:6" ht="60">
      <c r="A117" s="181" t="s">
        <v>1685</v>
      </c>
      <c r="B117" s="181" t="s">
        <v>3595</v>
      </c>
      <c r="C117" s="181" t="s">
        <v>5074</v>
      </c>
      <c r="D117" s="181" t="s">
        <v>1131</v>
      </c>
      <c r="E117" s="181" t="s">
        <v>5081</v>
      </c>
      <c r="F117" s="121" t="s">
        <v>5496</v>
      </c>
    </row>
    <row r="118" spans="1:6" ht="75">
      <c r="A118" s="181" t="s">
        <v>1693</v>
      </c>
      <c r="B118" s="181" t="s">
        <v>3596</v>
      </c>
      <c r="C118" s="181" t="s">
        <v>5074</v>
      </c>
      <c r="D118" s="181" t="s">
        <v>1131</v>
      </c>
      <c r="E118" s="181" t="s">
        <v>5150</v>
      </c>
      <c r="F118" s="121" t="s">
        <v>5530</v>
      </c>
    </row>
    <row r="119" spans="1:6" ht="75">
      <c r="A119" s="181" t="s">
        <v>1716</v>
      </c>
      <c r="B119" s="181" t="s">
        <v>3597</v>
      </c>
      <c r="C119" s="181" t="s">
        <v>5074</v>
      </c>
      <c r="D119" s="181" t="s">
        <v>1154</v>
      </c>
      <c r="E119" s="181" t="s">
        <v>5151</v>
      </c>
      <c r="F119" s="121" t="s">
        <v>5533</v>
      </c>
    </row>
    <row r="120" spans="1:6" ht="75">
      <c r="A120" s="181" t="s">
        <v>1717</v>
      </c>
      <c r="B120" s="181" t="s">
        <v>3598</v>
      </c>
      <c r="C120" s="181" t="s">
        <v>5074</v>
      </c>
      <c r="D120" s="181" t="s">
        <v>1264</v>
      </c>
      <c r="E120" s="181" t="s">
        <v>5152</v>
      </c>
      <c r="F120" s="121" t="s">
        <v>3854</v>
      </c>
    </row>
    <row r="121" spans="1:6" ht="75">
      <c r="A121" s="181" t="s">
        <v>1718</v>
      </c>
      <c r="B121" s="181" t="s">
        <v>3599</v>
      </c>
      <c r="C121" s="181" t="s">
        <v>5074</v>
      </c>
      <c r="D121" s="181" t="s">
        <v>1131</v>
      </c>
      <c r="E121" s="181" t="s">
        <v>5153</v>
      </c>
      <c r="F121" s="121" t="s">
        <v>5534</v>
      </c>
    </row>
    <row r="122" spans="1:6" ht="75">
      <c r="A122" s="181" t="s">
        <v>1695</v>
      </c>
      <c r="B122" s="181" t="s">
        <v>3600</v>
      </c>
      <c r="C122" s="181" t="s">
        <v>5074</v>
      </c>
      <c r="D122" s="181" t="s">
        <v>1154</v>
      </c>
      <c r="E122" s="181" t="s">
        <v>5154</v>
      </c>
      <c r="F122" s="121" t="s">
        <v>5535</v>
      </c>
    </row>
    <row r="123" spans="1:6" ht="30">
      <c r="A123" s="181" t="s">
        <v>1698</v>
      </c>
      <c r="B123" s="181" t="s">
        <v>3601</v>
      </c>
      <c r="C123" s="181" t="s">
        <v>5071</v>
      </c>
      <c r="D123" s="181" t="s">
        <v>1154</v>
      </c>
      <c r="E123" s="181" t="s">
        <v>5155</v>
      </c>
      <c r="F123" s="121" t="s">
        <v>5536</v>
      </c>
    </row>
    <row r="124" spans="1:6" ht="75">
      <c r="A124" s="181" t="s">
        <v>1700</v>
      </c>
      <c r="B124" s="181" t="s">
        <v>3602</v>
      </c>
      <c r="C124" s="181" t="s">
        <v>5074</v>
      </c>
      <c r="D124" s="181" t="s">
        <v>1108</v>
      </c>
      <c r="E124" s="181" t="s">
        <v>5156</v>
      </c>
      <c r="F124" s="121" t="s">
        <v>5537</v>
      </c>
    </row>
    <row r="125" spans="1:6" ht="75">
      <c r="A125" s="181" t="s">
        <v>1702</v>
      </c>
      <c r="B125" s="181" t="s">
        <v>3603</v>
      </c>
      <c r="C125" s="181" t="s">
        <v>5074</v>
      </c>
      <c r="D125" s="181" t="s">
        <v>1131</v>
      </c>
      <c r="E125" s="181" t="s">
        <v>5156</v>
      </c>
      <c r="F125" s="121" t="s">
        <v>5537</v>
      </c>
    </row>
    <row r="126" spans="1:6" ht="75">
      <c r="A126" s="181" t="s">
        <v>1719</v>
      </c>
      <c r="B126" s="181" t="s">
        <v>3604</v>
      </c>
      <c r="C126" s="181" t="s">
        <v>5074</v>
      </c>
      <c r="D126" s="181" t="s">
        <v>1131</v>
      </c>
      <c r="E126" s="181" t="s">
        <v>5157</v>
      </c>
      <c r="F126" s="121" t="s">
        <v>5538</v>
      </c>
    </row>
    <row r="127" spans="1:6" ht="75">
      <c r="A127" s="181" t="s">
        <v>1704</v>
      </c>
      <c r="B127" s="181" t="s">
        <v>3605</v>
      </c>
      <c r="C127" s="181" t="s">
        <v>5074</v>
      </c>
      <c r="D127" s="181" t="s">
        <v>1154</v>
      </c>
      <c r="E127" s="181" t="s">
        <v>5158</v>
      </c>
      <c r="F127" s="121" t="s">
        <v>5539</v>
      </c>
    </row>
    <row r="128" spans="1:6" ht="90">
      <c r="A128" s="181" t="s">
        <v>1705</v>
      </c>
      <c r="B128" s="181" t="s">
        <v>3606</v>
      </c>
      <c r="C128" s="181" t="s">
        <v>5074</v>
      </c>
      <c r="D128" s="181" t="s">
        <v>1131</v>
      </c>
      <c r="E128" s="181" t="s">
        <v>5159</v>
      </c>
      <c r="F128" s="121" t="s">
        <v>5540</v>
      </c>
    </row>
    <row r="129" spans="1:6" ht="60">
      <c r="A129" s="181" t="s">
        <v>1720</v>
      </c>
      <c r="B129" s="181" t="s">
        <v>3607</v>
      </c>
      <c r="C129" s="181" t="s">
        <v>5074</v>
      </c>
      <c r="D129" s="181" t="s">
        <v>1154</v>
      </c>
      <c r="E129" s="181" t="s">
        <v>5160</v>
      </c>
      <c r="F129" s="121" t="s">
        <v>5541</v>
      </c>
    </row>
    <row r="130" spans="1:6" ht="75">
      <c r="A130" s="181" t="s">
        <v>1709</v>
      </c>
      <c r="B130" s="181" t="s">
        <v>3608</v>
      </c>
      <c r="C130" s="181" t="s">
        <v>5074</v>
      </c>
      <c r="D130" s="181" t="s">
        <v>1131</v>
      </c>
      <c r="E130" s="181" t="s">
        <v>5161</v>
      </c>
      <c r="F130" s="121" t="s">
        <v>5542</v>
      </c>
    </row>
    <row r="131" spans="1:6" ht="30">
      <c r="A131" s="181" t="s">
        <v>1721</v>
      </c>
      <c r="B131" s="181" t="s">
        <v>3609</v>
      </c>
      <c r="C131" s="181" t="s">
        <v>5074</v>
      </c>
      <c r="D131" s="181" t="s">
        <v>1108</v>
      </c>
      <c r="E131" s="181" t="s">
        <v>5162</v>
      </c>
      <c r="F131" s="121" t="s">
        <v>5530</v>
      </c>
    </row>
    <row r="132" spans="1:6" ht="75">
      <c r="A132" s="181" t="s">
        <v>1789</v>
      </c>
      <c r="B132" s="181" t="s">
        <v>3610</v>
      </c>
      <c r="C132" s="181" t="s">
        <v>5074</v>
      </c>
      <c r="D132" s="181" t="s">
        <v>1154</v>
      </c>
      <c r="E132" s="181" t="s">
        <v>5163</v>
      </c>
      <c r="F132" s="121" t="s">
        <v>5534</v>
      </c>
    </row>
    <row r="133" spans="1:6" ht="30">
      <c r="A133" s="181" t="s">
        <v>1783</v>
      </c>
      <c r="B133" s="181" t="s">
        <v>3611</v>
      </c>
      <c r="C133" s="181" t="s">
        <v>3486</v>
      </c>
      <c r="D133" s="181" t="s">
        <v>1131</v>
      </c>
      <c r="E133" s="181" t="s">
        <v>1730</v>
      </c>
      <c r="F133" s="121" t="s">
        <v>3878</v>
      </c>
    </row>
    <row r="134" spans="1:6" ht="33">
      <c r="A134" s="181" t="s">
        <v>1732</v>
      </c>
      <c r="B134" s="181" t="s">
        <v>3612</v>
      </c>
      <c r="C134" s="181" t="s">
        <v>5074</v>
      </c>
      <c r="D134" s="181" t="s">
        <v>1108</v>
      </c>
      <c r="E134" s="181" t="s">
        <v>5164</v>
      </c>
      <c r="F134" s="121" t="s">
        <v>5543</v>
      </c>
    </row>
    <row r="135" spans="1:6" ht="33">
      <c r="A135" s="181" t="s">
        <v>1737</v>
      </c>
      <c r="B135" s="181" t="s">
        <v>3613</v>
      </c>
      <c r="C135" s="181" t="s">
        <v>5076</v>
      </c>
      <c r="D135" s="181"/>
      <c r="E135" s="181" t="s">
        <v>1738</v>
      </c>
      <c r="F135" s="121" t="s">
        <v>2489</v>
      </c>
    </row>
    <row r="136" spans="1:6" ht="30">
      <c r="A136" s="181" t="s">
        <v>1728</v>
      </c>
      <c r="B136" s="181" t="s">
        <v>3614</v>
      </c>
      <c r="C136" s="181" t="s">
        <v>3486</v>
      </c>
      <c r="D136" s="181" t="s">
        <v>1131</v>
      </c>
      <c r="E136" s="181" t="s">
        <v>1730</v>
      </c>
      <c r="F136" s="121" t="s">
        <v>3878</v>
      </c>
    </row>
    <row r="137" spans="1:6" ht="30">
      <c r="A137" s="181" t="s">
        <v>1742</v>
      </c>
      <c r="B137" s="181" t="s">
        <v>3615</v>
      </c>
      <c r="C137" s="181" t="s">
        <v>3486</v>
      </c>
      <c r="D137" s="181" t="s">
        <v>1154</v>
      </c>
      <c r="E137" s="181" t="s">
        <v>5165</v>
      </c>
      <c r="F137" s="121" t="s">
        <v>5544</v>
      </c>
    </row>
    <row r="138" spans="1:6" ht="30">
      <c r="A138" s="181" t="s">
        <v>1757</v>
      </c>
      <c r="B138" s="181" t="s">
        <v>3616</v>
      </c>
      <c r="C138" s="181" t="s">
        <v>3486</v>
      </c>
      <c r="D138" s="181" t="s">
        <v>1131</v>
      </c>
      <c r="E138" s="181" t="s">
        <v>1730</v>
      </c>
      <c r="F138" s="121" t="s">
        <v>3878</v>
      </c>
    </row>
    <row r="139" spans="1:6" ht="30">
      <c r="A139" s="181" t="s">
        <v>1758</v>
      </c>
      <c r="B139" s="181" t="s">
        <v>3617</v>
      </c>
      <c r="C139" s="181" t="s">
        <v>3486</v>
      </c>
      <c r="D139" s="181" t="s">
        <v>1131</v>
      </c>
      <c r="E139" s="181" t="s">
        <v>1730</v>
      </c>
      <c r="F139" s="121" t="s">
        <v>3878</v>
      </c>
    </row>
    <row r="140" spans="1:6" ht="30">
      <c r="A140" s="181" t="s">
        <v>1745</v>
      </c>
      <c r="B140" s="181" t="s">
        <v>3618</v>
      </c>
      <c r="C140" s="181" t="s">
        <v>3486</v>
      </c>
      <c r="D140" s="181" t="s">
        <v>1154</v>
      </c>
      <c r="E140" s="181" t="s">
        <v>5166</v>
      </c>
      <c r="F140" s="121" t="s">
        <v>5545</v>
      </c>
    </row>
    <row r="141" spans="1:6" ht="82.5">
      <c r="A141" s="181" t="s">
        <v>1747</v>
      </c>
      <c r="B141" s="181" t="s">
        <v>3619</v>
      </c>
      <c r="C141" s="181" t="s">
        <v>3486</v>
      </c>
      <c r="D141" s="181" t="s">
        <v>1264</v>
      </c>
      <c r="E141" s="181" t="s">
        <v>5167</v>
      </c>
      <c r="F141" s="121" t="s">
        <v>5546</v>
      </c>
    </row>
    <row r="142" spans="1:6" ht="30">
      <c r="A142" s="181" t="s">
        <v>1759</v>
      </c>
      <c r="B142" s="181" t="s">
        <v>3620</v>
      </c>
      <c r="C142" s="181" t="s">
        <v>3486</v>
      </c>
      <c r="D142" s="181" t="s">
        <v>1154</v>
      </c>
      <c r="E142" s="181" t="s">
        <v>5168</v>
      </c>
      <c r="F142" s="121" t="s">
        <v>5547</v>
      </c>
    </row>
    <row r="143" spans="1:6" ht="30">
      <c r="A143" s="181" t="s">
        <v>1760</v>
      </c>
      <c r="B143" s="181" t="s">
        <v>3621</v>
      </c>
      <c r="C143" s="181" t="s">
        <v>3486</v>
      </c>
      <c r="D143" s="181" t="s">
        <v>1154</v>
      </c>
      <c r="E143" s="181" t="s">
        <v>5169</v>
      </c>
      <c r="F143" s="121" t="s">
        <v>5548</v>
      </c>
    </row>
    <row r="144" spans="1:6" ht="45">
      <c r="A144" s="181" t="s">
        <v>1754</v>
      </c>
      <c r="B144" s="181" t="s">
        <v>3622</v>
      </c>
      <c r="C144" s="181" t="s">
        <v>3486</v>
      </c>
      <c r="D144" s="181" t="s">
        <v>1131</v>
      </c>
      <c r="E144" s="181" t="s">
        <v>5166</v>
      </c>
      <c r="F144" s="121" t="s">
        <v>5545</v>
      </c>
    </row>
    <row r="145" spans="1:6" ht="30">
      <c r="A145" s="181" t="s">
        <v>1761</v>
      </c>
      <c r="B145" s="181" t="s">
        <v>3623</v>
      </c>
      <c r="C145" s="181" t="s">
        <v>5071</v>
      </c>
      <c r="D145" s="181" t="s">
        <v>1131</v>
      </c>
      <c r="E145" s="181"/>
      <c r="F145" s="121"/>
    </row>
    <row r="146" spans="1:6" ht="45">
      <c r="A146" s="181" t="s">
        <v>1777</v>
      </c>
      <c r="B146" s="181" t="s">
        <v>3624</v>
      </c>
      <c r="C146" s="181" t="s">
        <v>3486</v>
      </c>
      <c r="D146" s="181" t="s">
        <v>1154</v>
      </c>
      <c r="E146" s="181" t="s">
        <v>5170</v>
      </c>
      <c r="F146" s="121" t="s">
        <v>5549</v>
      </c>
    </row>
    <row r="147" spans="1:6" ht="30">
      <c r="A147" s="181" t="s">
        <v>1781</v>
      </c>
      <c r="B147" s="181" t="s">
        <v>3625</v>
      </c>
      <c r="C147" s="181" t="s">
        <v>5074</v>
      </c>
      <c r="D147" s="181" t="s">
        <v>1108</v>
      </c>
      <c r="E147" s="181" t="s">
        <v>5149</v>
      </c>
      <c r="F147" s="121" t="s">
        <v>5496</v>
      </c>
    </row>
    <row r="148" spans="1:6" ht="33">
      <c r="A148" s="181" t="s">
        <v>1791</v>
      </c>
      <c r="B148" s="181" t="s">
        <v>3626</v>
      </c>
      <c r="C148" s="181" t="s">
        <v>5145</v>
      </c>
      <c r="D148" s="181" t="s">
        <v>5115</v>
      </c>
      <c r="E148" s="181" t="s">
        <v>5171</v>
      </c>
      <c r="F148" s="121" t="s">
        <v>5550</v>
      </c>
    </row>
    <row r="149" spans="1:6" ht="30">
      <c r="A149" s="181" t="s">
        <v>1792</v>
      </c>
      <c r="B149" s="181" t="s">
        <v>3627</v>
      </c>
      <c r="C149" s="181" t="s">
        <v>5071</v>
      </c>
      <c r="D149" s="181" t="s">
        <v>1108</v>
      </c>
      <c r="E149" s="181"/>
      <c r="F149" s="121"/>
    </row>
    <row r="150" spans="1:6" ht="30">
      <c r="A150" s="181" t="s">
        <v>1794</v>
      </c>
      <c r="B150" s="181" t="s">
        <v>3628</v>
      </c>
      <c r="C150" s="181" t="s">
        <v>5145</v>
      </c>
      <c r="D150" s="181" t="s">
        <v>1264</v>
      </c>
      <c r="E150" s="181" t="s">
        <v>5172</v>
      </c>
      <c r="F150" s="121" t="s">
        <v>5551</v>
      </c>
    </row>
    <row r="151" spans="1:6" ht="30">
      <c r="A151" s="181" t="s">
        <v>1795</v>
      </c>
      <c r="B151" s="181" t="s">
        <v>3629</v>
      </c>
      <c r="C151" s="181" t="s">
        <v>5088</v>
      </c>
      <c r="D151" s="181" t="s">
        <v>1154</v>
      </c>
      <c r="E151" s="181" t="s">
        <v>5173</v>
      </c>
      <c r="F151" s="121" t="s">
        <v>5552</v>
      </c>
    </row>
    <row r="152" spans="1:6" ht="30">
      <c r="A152" s="181" t="s">
        <v>1818</v>
      </c>
      <c r="B152" s="181" t="s">
        <v>3630</v>
      </c>
      <c r="C152" s="181" t="s">
        <v>5088</v>
      </c>
      <c r="D152" s="181" t="s">
        <v>1154</v>
      </c>
      <c r="E152" s="181"/>
      <c r="F152" s="121"/>
    </row>
    <row r="153" spans="1:6" ht="45">
      <c r="A153" s="181" t="s">
        <v>1798</v>
      </c>
      <c r="B153" s="181" t="s">
        <v>3631</v>
      </c>
      <c r="C153" s="181" t="s">
        <v>3486</v>
      </c>
      <c r="D153" s="181" t="s">
        <v>1264</v>
      </c>
      <c r="E153" s="181" t="s">
        <v>5174</v>
      </c>
      <c r="F153" s="121" t="s">
        <v>5553</v>
      </c>
    </row>
    <row r="154" spans="1:6" ht="30">
      <c r="A154" s="181" t="s">
        <v>1801</v>
      </c>
      <c r="B154" s="181" t="s">
        <v>3632</v>
      </c>
      <c r="C154" s="181" t="s">
        <v>3514</v>
      </c>
      <c r="D154" s="181" t="s">
        <v>1264</v>
      </c>
      <c r="E154" s="181" t="s">
        <v>5175</v>
      </c>
      <c r="F154" s="121" t="s">
        <v>5554</v>
      </c>
    </row>
    <row r="155" spans="1:6">
      <c r="A155" s="181" t="s">
        <v>1819</v>
      </c>
      <c r="B155" s="181" t="s">
        <v>3633</v>
      </c>
      <c r="C155" s="181" t="s">
        <v>5176</v>
      </c>
      <c r="D155" s="181" t="s">
        <v>1264</v>
      </c>
      <c r="E155" s="181"/>
      <c r="F155" s="121"/>
    </row>
    <row r="156" spans="1:6" ht="30">
      <c r="A156" s="181" t="s">
        <v>1821</v>
      </c>
      <c r="B156" s="181" t="s">
        <v>3634</v>
      </c>
      <c r="C156" s="181" t="s">
        <v>5074</v>
      </c>
      <c r="D156" s="181" t="s">
        <v>1131</v>
      </c>
      <c r="E156" s="181"/>
      <c r="F156" s="121"/>
    </row>
    <row r="157" spans="1:6" ht="30">
      <c r="A157" s="181" t="s">
        <v>1822</v>
      </c>
      <c r="B157" s="181" t="s">
        <v>3635</v>
      </c>
      <c r="C157" s="181" t="s">
        <v>5074</v>
      </c>
      <c r="D157" s="181" t="s">
        <v>1131</v>
      </c>
      <c r="E157" s="181"/>
      <c r="F157" s="121"/>
    </row>
    <row r="158" spans="1:6">
      <c r="A158" s="181" t="s">
        <v>1823</v>
      </c>
      <c r="B158" s="181" t="s">
        <v>3636</v>
      </c>
      <c r="C158" s="181" t="s">
        <v>5074</v>
      </c>
      <c r="D158" s="181" t="s">
        <v>1131</v>
      </c>
      <c r="E158" s="181"/>
      <c r="F158" s="121"/>
    </row>
    <row r="159" spans="1:6">
      <c r="A159" s="181" t="s">
        <v>1824</v>
      </c>
      <c r="B159" s="181" t="s">
        <v>3637</v>
      </c>
      <c r="C159" s="181" t="s">
        <v>5074</v>
      </c>
      <c r="D159" s="181" t="s">
        <v>1131</v>
      </c>
      <c r="E159" s="181" t="s">
        <v>1692</v>
      </c>
      <c r="F159" s="121" t="s">
        <v>3854</v>
      </c>
    </row>
    <row r="160" spans="1:6">
      <c r="A160" s="181" t="s">
        <v>1806</v>
      </c>
      <c r="B160" s="181" t="s">
        <v>3638</v>
      </c>
      <c r="C160" s="181" t="s">
        <v>3514</v>
      </c>
      <c r="D160" s="181" t="s">
        <v>1131</v>
      </c>
      <c r="E160" s="181"/>
      <c r="F160" s="121"/>
    </row>
    <row r="161" spans="1:6">
      <c r="A161" s="181" t="s">
        <v>1807</v>
      </c>
      <c r="B161" s="181" t="s">
        <v>3639</v>
      </c>
      <c r="C161" s="181" t="s">
        <v>5145</v>
      </c>
      <c r="D161" s="181" t="s">
        <v>1131</v>
      </c>
      <c r="E161" s="181"/>
      <c r="F161" s="121"/>
    </row>
    <row r="162" spans="1:6" ht="30">
      <c r="A162" s="181" t="s">
        <v>1808</v>
      </c>
      <c r="B162" s="181" t="s">
        <v>3640</v>
      </c>
      <c r="C162" s="181" t="s">
        <v>3486</v>
      </c>
      <c r="D162" s="181" t="s">
        <v>1154</v>
      </c>
      <c r="E162" s="181" t="s">
        <v>5177</v>
      </c>
      <c r="F162" s="121" t="s">
        <v>5555</v>
      </c>
    </row>
    <row r="163" spans="1:6" ht="33">
      <c r="A163" s="181" t="s">
        <v>1825</v>
      </c>
      <c r="B163" s="181" t="s">
        <v>3641</v>
      </c>
      <c r="C163" s="181" t="s">
        <v>3486</v>
      </c>
      <c r="D163" s="181" t="s">
        <v>1264</v>
      </c>
      <c r="E163" s="181" t="s">
        <v>5178</v>
      </c>
      <c r="F163" s="121" t="s">
        <v>5556</v>
      </c>
    </row>
    <row r="164" spans="1:6" ht="30">
      <c r="A164" s="181" t="s">
        <v>1813</v>
      </c>
      <c r="B164" s="181" t="s">
        <v>3642</v>
      </c>
      <c r="C164" s="181" t="s">
        <v>3486</v>
      </c>
      <c r="D164" s="181" t="s">
        <v>5179</v>
      </c>
      <c r="E164" s="181" t="s">
        <v>5180</v>
      </c>
      <c r="F164" s="121" t="s">
        <v>5557</v>
      </c>
    </row>
    <row r="165" spans="1:6" ht="45">
      <c r="A165" s="181" t="s">
        <v>1816</v>
      </c>
      <c r="B165" s="181" t="s">
        <v>3643</v>
      </c>
      <c r="C165" s="181" t="s">
        <v>3486</v>
      </c>
      <c r="D165" s="181" t="s">
        <v>5179</v>
      </c>
      <c r="E165" s="181" t="s">
        <v>5181</v>
      </c>
      <c r="F165" s="121" t="s">
        <v>5558</v>
      </c>
    </row>
    <row r="166" spans="1:6" ht="75">
      <c r="A166" s="181" t="s">
        <v>1828</v>
      </c>
      <c r="B166" s="181" t="s">
        <v>3644</v>
      </c>
      <c r="C166" s="181" t="s">
        <v>3486</v>
      </c>
      <c r="D166" s="181" t="s">
        <v>1154</v>
      </c>
      <c r="E166" s="181" t="s">
        <v>5182</v>
      </c>
      <c r="F166" s="121" t="s">
        <v>5559</v>
      </c>
    </row>
    <row r="167" spans="1:6" ht="49.5">
      <c r="A167" s="181" t="s">
        <v>1833</v>
      </c>
      <c r="B167" s="181" t="s">
        <v>3645</v>
      </c>
      <c r="C167" s="181" t="s">
        <v>3486</v>
      </c>
      <c r="D167" s="181" t="s">
        <v>1264</v>
      </c>
      <c r="E167" s="181" t="s">
        <v>5183</v>
      </c>
      <c r="F167" s="121" t="s">
        <v>5560</v>
      </c>
    </row>
    <row r="168" spans="1:6" ht="30">
      <c r="A168" s="181" t="s">
        <v>1858</v>
      </c>
      <c r="B168" s="181" t="s">
        <v>3646</v>
      </c>
      <c r="C168" s="181" t="s">
        <v>3486</v>
      </c>
      <c r="D168" s="181" t="s">
        <v>1264</v>
      </c>
      <c r="E168" s="181" t="s">
        <v>5184</v>
      </c>
      <c r="F168" s="121" t="s">
        <v>5561</v>
      </c>
    </row>
    <row r="169" spans="1:6" ht="45">
      <c r="A169" s="181" t="s">
        <v>1859</v>
      </c>
      <c r="B169" s="181" t="s">
        <v>3647</v>
      </c>
      <c r="C169" s="181" t="s">
        <v>3486</v>
      </c>
      <c r="D169" s="181" t="s">
        <v>1131</v>
      </c>
      <c r="E169" s="181" t="s">
        <v>5185</v>
      </c>
      <c r="F169" s="121" t="s">
        <v>5562</v>
      </c>
    </row>
    <row r="170" spans="1:6" ht="45">
      <c r="A170" s="181" t="s">
        <v>1837</v>
      </c>
      <c r="B170" s="181" t="s">
        <v>3648</v>
      </c>
      <c r="C170" s="181" t="s">
        <v>3486</v>
      </c>
      <c r="D170" s="181" t="s">
        <v>1264</v>
      </c>
      <c r="E170" s="181" t="s">
        <v>5186</v>
      </c>
      <c r="F170" s="121" t="s">
        <v>5563</v>
      </c>
    </row>
    <row r="171" spans="1:6">
      <c r="A171" s="181" t="s">
        <v>1838</v>
      </c>
      <c r="B171" s="181" t="s">
        <v>3649</v>
      </c>
      <c r="C171" s="181" t="s">
        <v>5145</v>
      </c>
      <c r="D171" s="181" t="s">
        <v>1154</v>
      </c>
      <c r="E171" s="181" t="s">
        <v>1147</v>
      </c>
      <c r="F171" s="121" t="s">
        <v>3863</v>
      </c>
    </row>
    <row r="172" spans="1:6" ht="30">
      <c r="A172" s="181" t="s">
        <v>137</v>
      </c>
      <c r="B172" s="181" t="s">
        <v>138</v>
      </c>
      <c r="C172" s="181" t="s">
        <v>3514</v>
      </c>
      <c r="D172" s="181" t="s">
        <v>1264</v>
      </c>
      <c r="E172" s="181" t="s">
        <v>5187</v>
      </c>
      <c r="F172" s="121" t="s">
        <v>3879</v>
      </c>
    </row>
    <row r="173" spans="1:6" ht="45">
      <c r="A173" s="181" t="s">
        <v>1839</v>
      </c>
      <c r="B173" s="181" t="s">
        <v>3650</v>
      </c>
      <c r="C173" s="181" t="s">
        <v>3486</v>
      </c>
      <c r="D173" s="181" t="s">
        <v>1264</v>
      </c>
      <c r="E173" s="181" t="s">
        <v>5188</v>
      </c>
      <c r="F173" s="121" t="s">
        <v>5564</v>
      </c>
    </row>
    <row r="174" spans="1:6" ht="30">
      <c r="A174" s="181" t="s">
        <v>1842</v>
      </c>
      <c r="B174" s="181" t="s">
        <v>3651</v>
      </c>
      <c r="C174" s="181" t="s">
        <v>3486</v>
      </c>
      <c r="D174" s="181" t="s">
        <v>1264</v>
      </c>
      <c r="E174" s="181" t="s">
        <v>5189</v>
      </c>
      <c r="F174" s="121" t="s">
        <v>5500</v>
      </c>
    </row>
    <row r="175" spans="1:6">
      <c r="A175" s="181" t="s">
        <v>1862</v>
      </c>
      <c r="B175" s="181" t="s">
        <v>3652</v>
      </c>
      <c r="C175" s="181" t="s">
        <v>5071</v>
      </c>
      <c r="D175" s="181" t="s">
        <v>1108</v>
      </c>
      <c r="E175" s="181" t="s">
        <v>1602</v>
      </c>
      <c r="F175" s="121" t="s">
        <v>3859</v>
      </c>
    </row>
    <row r="176" spans="1:6">
      <c r="A176" s="181" t="s">
        <v>1844</v>
      </c>
      <c r="B176" s="181" t="s">
        <v>3653</v>
      </c>
      <c r="C176" s="181" t="s">
        <v>5071</v>
      </c>
      <c r="D176" s="181" t="s">
        <v>1131</v>
      </c>
      <c r="E176" s="181"/>
      <c r="F176" s="121"/>
    </row>
    <row r="177" spans="1:6" ht="30">
      <c r="A177" s="181" t="s">
        <v>1847</v>
      </c>
      <c r="B177" s="181" t="s">
        <v>3654</v>
      </c>
      <c r="C177" s="181" t="s">
        <v>5145</v>
      </c>
      <c r="D177" s="181" t="s">
        <v>1154</v>
      </c>
      <c r="E177" s="181"/>
      <c r="F177" s="121"/>
    </row>
    <row r="178" spans="1:6" ht="30">
      <c r="A178" s="181" t="s">
        <v>1849</v>
      </c>
      <c r="B178" s="181" t="s">
        <v>3655</v>
      </c>
      <c r="C178" s="181" t="s">
        <v>5145</v>
      </c>
      <c r="D178" s="181" t="s">
        <v>1154</v>
      </c>
      <c r="E178" s="181" t="s">
        <v>5190</v>
      </c>
      <c r="F178" s="121" t="s">
        <v>3859</v>
      </c>
    </row>
    <row r="179" spans="1:6" ht="30">
      <c r="A179" s="181" t="s">
        <v>1863</v>
      </c>
      <c r="B179" s="181" t="s">
        <v>3656</v>
      </c>
      <c r="C179" s="181" t="s">
        <v>5145</v>
      </c>
      <c r="D179" s="181" t="s">
        <v>1154</v>
      </c>
      <c r="E179" s="181" t="s">
        <v>5190</v>
      </c>
      <c r="F179" s="121" t="s">
        <v>3859</v>
      </c>
    </row>
    <row r="180" spans="1:6">
      <c r="A180" s="181" t="s">
        <v>1864</v>
      </c>
      <c r="B180" s="181" t="s">
        <v>3657</v>
      </c>
      <c r="C180" s="181" t="s">
        <v>5145</v>
      </c>
      <c r="D180" s="181" t="s">
        <v>1154</v>
      </c>
      <c r="E180" s="181" t="s">
        <v>5190</v>
      </c>
      <c r="F180" s="121" t="s">
        <v>3859</v>
      </c>
    </row>
    <row r="181" spans="1:6">
      <c r="A181" s="181" t="s">
        <v>1865</v>
      </c>
      <c r="B181" s="181" t="s">
        <v>141</v>
      </c>
      <c r="C181" s="181" t="s">
        <v>3514</v>
      </c>
      <c r="D181" s="181" t="s">
        <v>1264</v>
      </c>
      <c r="E181" s="181"/>
      <c r="F181" s="121"/>
    </row>
    <row r="182" spans="1:6">
      <c r="A182" s="181" t="s">
        <v>1866</v>
      </c>
      <c r="B182" s="181" t="s">
        <v>3658</v>
      </c>
      <c r="C182" s="181" t="s">
        <v>5145</v>
      </c>
      <c r="D182" s="181" t="s">
        <v>1264</v>
      </c>
      <c r="E182" s="181"/>
      <c r="F182" s="121"/>
    </row>
    <row r="183" spans="1:6" ht="30">
      <c r="A183" s="181" t="s">
        <v>1867</v>
      </c>
      <c r="B183" s="181" t="s">
        <v>3659</v>
      </c>
      <c r="C183" s="181" t="s">
        <v>3514</v>
      </c>
      <c r="D183" s="181" t="s">
        <v>1264</v>
      </c>
      <c r="E183" s="181"/>
      <c r="F183" s="121"/>
    </row>
    <row r="184" spans="1:6">
      <c r="A184" s="181" t="s">
        <v>1852</v>
      </c>
      <c r="B184" s="181" t="s">
        <v>3660</v>
      </c>
      <c r="C184" s="181" t="s">
        <v>5145</v>
      </c>
      <c r="D184" s="181" t="s">
        <v>1154</v>
      </c>
      <c r="E184" s="181" t="s">
        <v>1602</v>
      </c>
      <c r="F184" s="121" t="s">
        <v>3859</v>
      </c>
    </row>
    <row r="185" spans="1:6">
      <c r="A185" s="181" t="s">
        <v>1853</v>
      </c>
      <c r="B185" s="181" t="s">
        <v>3661</v>
      </c>
      <c r="C185" s="181" t="s">
        <v>5145</v>
      </c>
      <c r="D185" s="181" t="s">
        <v>1154</v>
      </c>
      <c r="E185" s="181" t="s">
        <v>1668</v>
      </c>
      <c r="F185" s="121" t="s">
        <v>2959</v>
      </c>
    </row>
    <row r="186" spans="1:6" ht="30">
      <c r="A186" s="181" t="s">
        <v>1855</v>
      </c>
      <c r="B186" s="181" t="s">
        <v>3662</v>
      </c>
      <c r="C186" s="181" t="s">
        <v>5145</v>
      </c>
      <c r="D186" s="181" t="s">
        <v>1264</v>
      </c>
      <c r="E186" s="181" t="s">
        <v>5191</v>
      </c>
      <c r="F186" s="121" t="s">
        <v>2959</v>
      </c>
    </row>
    <row r="187" spans="1:6" ht="30">
      <c r="A187" s="181" t="s">
        <v>1868</v>
      </c>
      <c r="B187" s="181" t="s">
        <v>3664</v>
      </c>
      <c r="C187" s="181" t="s">
        <v>5145</v>
      </c>
      <c r="D187" s="181" t="s">
        <v>1154</v>
      </c>
      <c r="E187" s="181" t="s">
        <v>1602</v>
      </c>
      <c r="F187" s="121" t="s">
        <v>3859</v>
      </c>
    </row>
    <row r="188" spans="1:6" ht="30">
      <c r="A188" s="181" t="s">
        <v>1869</v>
      </c>
      <c r="B188" s="181" t="s">
        <v>3665</v>
      </c>
      <c r="C188" s="181" t="s">
        <v>5145</v>
      </c>
      <c r="D188" s="181" t="s">
        <v>1154</v>
      </c>
      <c r="E188" s="181" t="s">
        <v>1602</v>
      </c>
      <c r="F188" s="121" t="s">
        <v>3859</v>
      </c>
    </row>
    <row r="189" spans="1:6">
      <c r="A189" s="181" t="s">
        <v>1870</v>
      </c>
      <c r="B189" s="181" t="s">
        <v>3666</v>
      </c>
      <c r="C189" s="181" t="s">
        <v>5145</v>
      </c>
      <c r="D189" s="181" t="s">
        <v>1154</v>
      </c>
      <c r="E189" s="181"/>
      <c r="F189" s="121"/>
    </row>
    <row r="190" spans="1:6" ht="30">
      <c r="A190" s="181" t="s">
        <v>1873</v>
      </c>
      <c r="B190" s="181" t="s">
        <v>3667</v>
      </c>
      <c r="C190" s="181" t="s">
        <v>5145</v>
      </c>
      <c r="D190" s="181" t="s">
        <v>1154</v>
      </c>
      <c r="E190" s="181" t="s">
        <v>1602</v>
      </c>
      <c r="F190" s="121" t="s">
        <v>3859</v>
      </c>
    </row>
    <row r="191" spans="1:6">
      <c r="A191" s="181" t="s">
        <v>1875</v>
      </c>
      <c r="B191" s="181" t="s">
        <v>3668</v>
      </c>
      <c r="C191" s="181" t="s">
        <v>5145</v>
      </c>
      <c r="D191" s="181" t="s">
        <v>1131</v>
      </c>
      <c r="E191" s="181"/>
      <c r="F191" s="121"/>
    </row>
    <row r="192" spans="1:6">
      <c r="A192" s="181" t="s">
        <v>1878</v>
      </c>
      <c r="B192" s="181" t="s">
        <v>3669</v>
      </c>
      <c r="C192" s="181" t="s">
        <v>5145</v>
      </c>
      <c r="D192" s="181" t="s">
        <v>1154</v>
      </c>
      <c r="E192" s="181" t="s">
        <v>1668</v>
      </c>
      <c r="F192" s="121" t="s">
        <v>2959</v>
      </c>
    </row>
    <row r="193" spans="1:6">
      <c r="A193" s="181" t="s">
        <v>1882</v>
      </c>
      <c r="B193" s="181" t="s">
        <v>3670</v>
      </c>
      <c r="C193" s="181" t="s">
        <v>5145</v>
      </c>
      <c r="D193" s="181" t="s">
        <v>1131</v>
      </c>
      <c r="E193" s="181"/>
      <c r="F193" s="121"/>
    </row>
    <row r="194" spans="1:6" ht="30">
      <c r="A194" s="181" t="s">
        <v>1883</v>
      </c>
      <c r="B194" s="181" t="s">
        <v>3671</v>
      </c>
      <c r="C194" s="181" t="s">
        <v>3663</v>
      </c>
      <c r="D194" s="181" t="s">
        <v>1154</v>
      </c>
      <c r="E194" s="181"/>
      <c r="F194" s="121"/>
    </row>
    <row r="195" spans="1:6">
      <c r="A195" s="181" t="s">
        <v>1885</v>
      </c>
      <c r="B195" s="181" t="s">
        <v>3672</v>
      </c>
      <c r="C195" s="181" t="s">
        <v>5145</v>
      </c>
      <c r="D195" s="181" t="s">
        <v>1154</v>
      </c>
      <c r="E195" s="181" t="s">
        <v>1668</v>
      </c>
      <c r="F195" s="121" t="s">
        <v>2959</v>
      </c>
    </row>
    <row r="196" spans="1:6" ht="30">
      <c r="A196" s="181" t="s">
        <v>1917</v>
      </c>
      <c r="B196" s="181" t="s">
        <v>3673</v>
      </c>
      <c r="C196" s="181" t="s">
        <v>3514</v>
      </c>
      <c r="D196" s="181" t="s">
        <v>1154</v>
      </c>
      <c r="E196" s="181"/>
      <c r="F196" s="121"/>
    </row>
    <row r="197" spans="1:6">
      <c r="A197" s="181" t="s">
        <v>1919</v>
      </c>
      <c r="B197" s="181" t="s">
        <v>3674</v>
      </c>
      <c r="C197" s="181" t="s">
        <v>3663</v>
      </c>
      <c r="D197" s="181" t="s">
        <v>1154</v>
      </c>
      <c r="E197" s="181"/>
      <c r="F197" s="121"/>
    </row>
    <row r="198" spans="1:6" ht="30">
      <c r="A198" s="181" t="s">
        <v>1921</v>
      </c>
      <c r="B198" s="181" t="s">
        <v>3675</v>
      </c>
      <c r="C198" s="181" t="s">
        <v>5145</v>
      </c>
      <c r="D198" s="181" t="s">
        <v>1264</v>
      </c>
      <c r="E198" s="181"/>
      <c r="F198" s="121"/>
    </row>
    <row r="199" spans="1:6" ht="30">
      <c r="A199" s="181" t="s">
        <v>1886</v>
      </c>
      <c r="B199" s="181" t="s">
        <v>3676</v>
      </c>
      <c r="C199" s="181" t="s">
        <v>5145</v>
      </c>
      <c r="D199" s="181" t="s">
        <v>1154</v>
      </c>
      <c r="E199" s="181"/>
      <c r="F199" s="121"/>
    </row>
    <row r="200" spans="1:6">
      <c r="A200" s="181" t="s">
        <v>1889</v>
      </c>
      <c r="B200" s="181" t="s">
        <v>3677</v>
      </c>
      <c r="C200" s="181" t="s">
        <v>3663</v>
      </c>
      <c r="D200" s="181" t="s">
        <v>1154</v>
      </c>
      <c r="E200" s="181"/>
      <c r="F200" s="121"/>
    </row>
    <row r="201" spans="1:6">
      <c r="A201" s="181" t="s">
        <v>1890</v>
      </c>
      <c r="B201" s="181" t="s">
        <v>3678</v>
      </c>
      <c r="C201" s="181" t="s">
        <v>5145</v>
      </c>
      <c r="D201" s="181" t="s">
        <v>1154</v>
      </c>
      <c r="E201" s="181"/>
      <c r="F201" s="121"/>
    </row>
    <row r="202" spans="1:6" ht="30">
      <c r="A202" s="181" t="s">
        <v>1892</v>
      </c>
      <c r="B202" s="181" t="s">
        <v>3679</v>
      </c>
      <c r="C202" s="181" t="s">
        <v>5145</v>
      </c>
      <c r="D202" s="181" t="s">
        <v>1264</v>
      </c>
      <c r="E202" s="181"/>
      <c r="F202" s="121"/>
    </row>
    <row r="203" spans="1:6">
      <c r="A203" s="181" t="s">
        <v>1894</v>
      </c>
      <c r="B203" s="181" t="s">
        <v>3680</v>
      </c>
      <c r="C203" s="181" t="s">
        <v>5145</v>
      </c>
      <c r="D203" s="181" t="s">
        <v>1154</v>
      </c>
      <c r="E203" s="181"/>
      <c r="F203" s="121"/>
    </row>
    <row r="204" spans="1:6" ht="30">
      <c r="A204" s="181" t="s">
        <v>1922</v>
      </c>
      <c r="B204" s="181" t="s">
        <v>3681</v>
      </c>
      <c r="C204" s="181" t="s">
        <v>3514</v>
      </c>
      <c r="D204" s="181" t="s">
        <v>1264</v>
      </c>
      <c r="E204" s="181"/>
      <c r="F204" s="121"/>
    </row>
    <row r="205" spans="1:6" ht="30">
      <c r="A205" s="181" t="s">
        <v>1897</v>
      </c>
      <c r="B205" s="181" t="s">
        <v>3682</v>
      </c>
      <c r="C205" s="181" t="s">
        <v>5074</v>
      </c>
      <c r="D205" s="181" t="s">
        <v>1154</v>
      </c>
      <c r="E205" s="181"/>
      <c r="F205" s="121"/>
    </row>
    <row r="206" spans="1:6">
      <c r="A206" s="181" t="s">
        <v>1898</v>
      </c>
      <c r="B206" s="181" t="s">
        <v>3683</v>
      </c>
      <c r="C206" s="181" t="s">
        <v>5145</v>
      </c>
      <c r="D206" s="181" t="s">
        <v>1154</v>
      </c>
      <c r="E206" s="181"/>
      <c r="F206" s="121"/>
    </row>
    <row r="207" spans="1:6">
      <c r="A207" s="181" t="s">
        <v>1899</v>
      </c>
      <c r="B207" s="181" t="s">
        <v>3684</v>
      </c>
      <c r="C207" s="181" t="s">
        <v>5145</v>
      </c>
      <c r="D207" s="181" t="s">
        <v>1264</v>
      </c>
      <c r="E207" s="181"/>
      <c r="F207" s="121"/>
    </row>
    <row r="208" spans="1:6" ht="30">
      <c r="A208" s="181" t="s">
        <v>1900</v>
      </c>
      <c r="B208" s="181" t="s">
        <v>3685</v>
      </c>
      <c r="C208" s="181" t="s">
        <v>5145</v>
      </c>
      <c r="D208" s="181" t="s">
        <v>1154</v>
      </c>
      <c r="E208" s="181"/>
      <c r="F208" s="121"/>
    </row>
    <row r="209" spans="1:6">
      <c r="A209" s="181" t="s">
        <v>1901</v>
      </c>
      <c r="B209" s="181" t="s">
        <v>3686</v>
      </c>
      <c r="C209" s="181" t="s">
        <v>5145</v>
      </c>
      <c r="D209" s="181" t="s">
        <v>1154</v>
      </c>
      <c r="E209" s="181"/>
      <c r="F209" s="121"/>
    </row>
    <row r="210" spans="1:6">
      <c r="A210" s="181" t="s">
        <v>1923</v>
      </c>
      <c r="B210" s="181" t="s">
        <v>136</v>
      </c>
      <c r="C210" s="181" t="s">
        <v>3663</v>
      </c>
      <c r="D210" s="181" t="s">
        <v>1154</v>
      </c>
      <c r="E210" s="181"/>
      <c r="F210" s="121"/>
    </row>
    <row r="211" spans="1:6">
      <c r="A211" s="181" t="s">
        <v>1906</v>
      </c>
      <c r="B211" s="181" t="s">
        <v>3687</v>
      </c>
      <c r="C211" s="181" t="s">
        <v>5145</v>
      </c>
      <c r="D211" s="181" t="s">
        <v>1154</v>
      </c>
      <c r="E211" s="181"/>
      <c r="F211" s="121"/>
    </row>
    <row r="212" spans="1:6">
      <c r="A212" s="181" t="s">
        <v>1907</v>
      </c>
      <c r="B212" s="181" t="s">
        <v>3688</v>
      </c>
      <c r="C212" s="181" t="s">
        <v>5145</v>
      </c>
      <c r="D212" s="181" t="s">
        <v>1131</v>
      </c>
      <c r="E212" s="181"/>
      <c r="F212" s="121"/>
    </row>
    <row r="213" spans="1:6" ht="30">
      <c r="A213" s="181" t="s">
        <v>139</v>
      </c>
      <c r="B213" s="181" t="s">
        <v>140</v>
      </c>
      <c r="C213" s="181" t="s">
        <v>5145</v>
      </c>
      <c r="D213" s="181" t="s">
        <v>1131</v>
      </c>
      <c r="E213" s="181"/>
      <c r="F213" s="121"/>
    </row>
    <row r="214" spans="1:6" ht="30">
      <c r="A214" s="181" t="s">
        <v>1911</v>
      </c>
      <c r="B214" s="181" t="s">
        <v>3689</v>
      </c>
      <c r="C214" s="181" t="s">
        <v>5145</v>
      </c>
      <c r="D214" s="181" t="s">
        <v>1131</v>
      </c>
      <c r="E214" s="181"/>
      <c r="F214" s="121"/>
    </row>
    <row r="215" spans="1:6" ht="33">
      <c r="A215" s="181" t="s">
        <v>1913</v>
      </c>
      <c r="B215" s="181" t="s">
        <v>3690</v>
      </c>
      <c r="C215" s="181" t="s">
        <v>5145</v>
      </c>
      <c r="D215" s="181" t="s">
        <v>1264</v>
      </c>
      <c r="E215" s="181" t="s">
        <v>5192</v>
      </c>
      <c r="F215" s="121" t="s">
        <v>5565</v>
      </c>
    </row>
    <row r="216" spans="1:6">
      <c r="A216" s="181" t="s">
        <v>1925</v>
      </c>
      <c r="B216" s="181" t="s">
        <v>3691</v>
      </c>
      <c r="C216" s="181" t="s">
        <v>5145</v>
      </c>
      <c r="D216" s="181" t="s">
        <v>1108</v>
      </c>
      <c r="E216" s="181"/>
      <c r="F216" s="121"/>
    </row>
    <row r="217" spans="1:6">
      <c r="A217" s="181" t="s">
        <v>1927</v>
      </c>
      <c r="B217" s="181" t="s">
        <v>3692</v>
      </c>
      <c r="C217" s="181" t="s">
        <v>5145</v>
      </c>
      <c r="D217" s="181" t="s">
        <v>1264</v>
      </c>
      <c r="E217" s="181"/>
      <c r="F217" s="121"/>
    </row>
    <row r="218" spans="1:6">
      <c r="A218" s="181" t="s">
        <v>1929</v>
      </c>
      <c r="B218" s="181" t="s">
        <v>3693</v>
      </c>
      <c r="C218" s="181" t="s">
        <v>5145</v>
      </c>
      <c r="D218" s="181" t="s">
        <v>1131</v>
      </c>
      <c r="E218" s="181"/>
      <c r="F218" s="121"/>
    </row>
    <row r="219" spans="1:6" ht="30">
      <c r="A219" s="181" t="s">
        <v>1931</v>
      </c>
      <c r="B219" s="181" t="s">
        <v>3694</v>
      </c>
      <c r="C219" s="181" t="s">
        <v>5193</v>
      </c>
      <c r="D219" s="181" t="s">
        <v>1131</v>
      </c>
      <c r="E219" s="181"/>
      <c r="F219" s="121"/>
    </row>
    <row r="220" spans="1:6" ht="30">
      <c r="A220" s="181" t="s">
        <v>1932</v>
      </c>
      <c r="B220" s="181" t="s">
        <v>3695</v>
      </c>
      <c r="C220" s="181" t="s">
        <v>5076</v>
      </c>
      <c r="D220" s="181" t="s">
        <v>1108</v>
      </c>
      <c r="E220" s="181" t="s">
        <v>5194</v>
      </c>
      <c r="F220" s="121" t="s">
        <v>5566</v>
      </c>
    </row>
    <row r="221" spans="1:6">
      <c r="A221" s="181" t="s">
        <v>1933</v>
      </c>
      <c r="B221" s="181" t="s">
        <v>3696</v>
      </c>
      <c r="C221" s="181" t="s">
        <v>5145</v>
      </c>
      <c r="D221" s="181" t="s">
        <v>1131</v>
      </c>
      <c r="E221" s="181"/>
      <c r="F221" s="121"/>
    </row>
    <row r="222" spans="1:6">
      <c r="A222" s="181" t="s">
        <v>1934</v>
      </c>
      <c r="B222" s="181" t="s">
        <v>3697</v>
      </c>
      <c r="C222" s="181" t="s">
        <v>5074</v>
      </c>
      <c r="D222" s="181" t="s">
        <v>1154</v>
      </c>
      <c r="E222" s="181"/>
      <c r="F222" s="121"/>
    </row>
    <row r="223" spans="1:6" ht="33">
      <c r="A223" s="181" t="s">
        <v>1936</v>
      </c>
      <c r="B223" s="181" t="s">
        <v>3698</v>
      </c>
      <c r="C223" s="181" t="s">
        <v>5145</v>
      </c>
      <c r="D223" s="181" t="s">
        <v>1264</v>
      </c>
      <c r="E223" s="181" t="s">
        <v>5195</v>
      </c>
      <c r="F223" s="121" t="s">
        <v>5567</v>
      </c>
    </row>
    <row r="224" spans="1:6" ht="30">
      <c r="A224" s="181" t="s">
        <v>1939</v>
      </c>
      <c r="B224" s="181" t="s">
        <v>3699</v>
      </c>
      <c r="C224" s="181" t="s">
        <v>5076</v>
      </c>
      <c r="D224" s="181" t="s">
        <v>1108</v>
      </c>
      <c r="E224" s="181" t="s">
        <v>1976</v>
      </c>
      <c r="F224" s="121" t="s">
        <v>3867</v>
      </c>
    </row>
    <row r="225" spans="1:6" ht="30">
      <c r="A225" s="181" t="s">
        <v>1977</v>
      </c>
      <c r="B225" s="181" t="s">
        <v>3700</v>
      </c>
      <c r="C225" s="181" t="s">
        <v>5076</v>
      </c>
      <c r="D225" s="181" t="s">
        <v>1108</v>
      </c>
      <c r="E225" s="181" t="s">
        <v>5196</v>
      </c>
      <c r="F225" s="121" t="s">
        <v>5568</v>
      </c>
    </row>
    <row r="226" spans="1:6" ht="66">
      <c r="A226" s="181" t="s">
        <v>1979</v>
      </c>
      <c r="B226" s="181" t="s">
        <v>3701</v>
      </c>
      <c r="C226" s="181" t="s">
        <v>5074</v>
      </c>
      <c r="D226" s="181" t="s">
        <v>1264</v>
      </c>
      <c r="E226" s="181" t="s">
        <v>5197</v>
      </c>
      <c r="F226" s="121" t="s">
        <v>5569</v>
      </c>
    </row>
    <row r="227" spans="1:6">
      <c r="A227" s="181" t="s">
        <v>1943</v>
      </c>
      <c r="B227" s="181" t="s">
        <v>3702</v>
      </c>
      <c r="C227" s="181" t="s">
        <v>5198</v>
      </c>
      <c r="D227" s="181" t="s">
        <v>1131</v>
      </c>
      <c r="E227" s="181"/>
      <c r="F227" s="121"/>
    </row>
    <row r="228" spans="1:6">
      <c r="A228" s="181" t="s">
        <v>1945</v>
      </c>
      <c r="B228" s="181" t="s">
        <v>3703</v>
      </c>
      <c r="C228" s="181" t="s">
        <v>5086</v>
      </c>
      <c r="D228" s="181" t="s">
        <v>1131</v>
      </c>
      <c r="E228" s="181" t="s">
        <v>1947</v>
      </c>
      <c r="F228" s="121" t="s">
        <v>3058</v>
      </c>
    </row>
    <row r="229" spans="1:6" ht="30">
      <c r="A229" s="181" t="s">
        <v>1948</v>
      </c>
      <c r="B229" s="181" t="s">
        <v>3704</v>
      </c>
      <c r="C229" s="181" t="s">
        <v>5071</v>
      </c>
      <c r="D229" s="181" t="s">
        <v>1517</v>
      </c>
      <c r="E229" s="181"/>
      <c r="F229" s="121"/>
    </row>
    <row r="230" spans="1:6">
      <c r="A230" s="181" t="s">
        <v>1949</v>
      </c>
      <c r="B230" s="181" t="s">
        <v>3705</v>
      </c>
      <c r="C230" s="181" t="s">
        <v>5071</v>
      </c>
      <c r="D230" s="181" t="s">
        <v>1108</v>
      </c>
      <c r="E230" s="181" t="s">
        <v>5199</v>
      </c>
      <c r="F230" s="121" t="s">
        <v>3877</v>
      </c>
    </row>
    <row r="231" spans="1:6">
      <c r="A231" s="181" t="s">
        <v>3706</v>
      </c>
      <c r="B231" s="181" t="s">
        <v>3707</v>
      </c>
      <c r="C231" s="181" t="s">
        <v>5071</v>
      </c>
      <c r="D231" s="181"/>
      <c r="E231" s="181"/>
      <c r="F231" s="121"/>
    </row>
    <row r="232" spans="1:6" ht="30">
      <c r="A232" s="181" t="s">
        <v>1951</v>
      </c>
      <c r="B232" s="181" t="s">
        <v>3708</v>
      </c>
      <c r="C232" s="181" t="s">
        <v>5200</v>
      </c>
      <c r="D232" s="181" t="s">
        <v>1131</v>
      </c>
      <c r="E232" s="181" t="s">
        <v>5201</v>
      </c>
      <c r="F232" s="121" t="s">
        <v>5570</v>
      </c>
    </row>
    <row r="233" spans="1:6">
      <c r="A233" s="181" t="s">
        <v>1980</v>
      </c>
      <c r="B233" s="181" t="s">
        <v>3709</v>
      </c>
      <c r="C233" s="181" t="s">
        <v>5200</v>
      </c>
      <c r="D233" s="181" t="s">
        <v>1131</v>
      </c>
      <c r="E233" s="181" t="s">
        <v>1982</v>
      </c>
      <c r="F233" s="121" t="s">
        <v>2962</v>
      </c>
    </row>
    <row r="234" spans="1:6" ht="30">
      <c r="A234" s="181" t="s">
        <v>1983</v>
      </c>
      <c r="B234" s="181" t="s">
        <v>3710</v>
      </c>
      <c r="C234" s="181" t="s">
        <v>5200</v>
      </c>
      <c r="D234" s="181" t="s">
        <v>1131</v>
      </c>
      <c r="E234" s="181" t="s">
        <v>5202</v>
      </c>
      <c r="F234" s="121" t="s">
        <v>5571</v>
      </c>
    </row>
    <row r="235" spans="1:6" ht="33">
      <c r="A235" s="181" t="s">
        <v>1987</v>
      </c>
      <c r="B235" s="181" t="s">
        <v>3711</v>
      </c>
      <c r="C235" s="181" t="s">
        <v>3514</v>
      </c>
      <c r="D235" s="181" t="s">
        <v>1131</v>
      </c>
      <c r="E235" s="181" t="s">
        <v>5203</v>
      </c>
      <c r="F235" s="121" t="s">
        <v>5572</v>
      </c>
    </row>
    <row r="236" spans="1:6">
      <c r="A236" s="181" t="s">
        <v>1957</v>
      </c>
      <c r="B236" s="181" t="s">
        <v>3712</v>
      </c>
      <c r="C236" s="181" t="s">
        <v>5088</v>
      </c>
      <c r="D236" s="181" t="s">
        <v>1154</v>
      </c>
      <c r="E236" s="181"/>
      <c r="F236" s="121"/>
    </row>
    <row r="237" spans="1:6" ht="30">
      <c r="A237" s="181" t="s">
        <v>1959</v>
      </c>
      <c r="B237" s="181" t="s">
        <v>3713</v>
      </c>
      <c r="C237" s="181" t="s">
        <v>5145</v>
      </c>
      <c r="D237" s="181" t="s">
        <v>1154</v>
      </c>
      <c r="E237" s="181" t="s">
        <v>5190</v>
      </c>
      <c r="F237" s="121" t="s">
        <v>3859</v>
      </c>
    </row>
    <row r="238" spans="1:6">
      <c r="A238" s="181" t="s">
        <v>1988</v>
      </c>
      <c r="B238" s="181" t="s">
        <v>3714</v>
      </c>
      <c r="C238" s="181" t="s">
        <v>3514</v>
      </c>
      <c r="D238" s="181" t="s">
        <v>1154</v>
      </c>
      <c r="E238" s="181" t="s">
        <v>1147</v>
      </c>
      <c r="F238" s="121" t="s">
        <v>3863</v>
      </c>
    </row>
    <row r="239" spans="1:6" ht="66">
      <c r="A239" s="181" t="s">
        <v>1962</v>
      </c>
      <c r="B239" s="181" t="s">
        <v>3715</v>
      </c>
      <c r="C239" s="181" t="s">
        <v>3514</v>
      </c>
      <c r="D239" s="181" t="s">
        <v>1131</v>
      </c>
      <c r="E239" s="181" t="s">
        <v>5204</v>
      </c>
      <c r="F239" s="121" t="s">
        <v>5573</v>
      </c>
    </row>
    <row r="240" spans="1:6" ht="33">
      <c r="A240" s="181" t="s">
        <v>1969</v>
      </c>
      <c r="B240" s="181" t="s">
        <v>3716</v>
      </c>
      <c r="C240" s="181" t="s">
        <v>5145</v>
      </c>
      <c r="D240" s="181" t="s">
        <v>1154</v>
      </c>
      <c r="E240" s="181" t="s">
        <v>5205</v>
      </c>
      <c r="F240" s="121" t="s">
        <v>5503</v>
      </c>
    </row>
    <row r="241" spans="1:6" ht="49.5">
      <c r="A241" s="181" t="s">
        <v>1970</v>
      </c>
      <c r="B241" s="181" t="s">
        <v>3717</v>
      </c>
      <c r="C241" s="181" t="s">
        <v>5206</v>
      </c>
      <c r="D241" s="181" t="s">
        <v>1154</v>
      </c>
      <c r="E241" s="181" t="s">
        <v>5207</v>
      </c>
      <c r="F241" s="121" t="s">
        <v>5574</v>
      </c>
    </row>
    <row r="242" spans="1:6">
      <c r="A242" s="181" t="s">
        <v>1973</v>
      </c>
      <c r="B242" s="181" t="s">
        <v>3718</v>
      </c>
      <c r="C242" s="181" t="s">
        <v>5071</v>
      </c>
      <c r="D242" s="181" t="s">
        <v>1131</v>
      </c>
      <c r="E242" s="181" t="s">
        <v>5208</v>
      </c>
      <c r="F242" s="121" t="s">
        <v>3854</v>
      </c>
    </row>
    <row r="243" spans="1:6" ht="30">
      <c r="A243" s="181" t="s">
        <v>1974</v>
      </c>
      <c r="B243" s="181" t="s">
        <v>3719</v>
      </c>
      <c r="C243" s="181" t="s">
        <v>5074</v>
      </c>
      <c r="D243" s="181" t="s">
        <v>1131</v>
      </c>
      <c r="E243" s="181" t="s">
        <v>1609</v>
      </c>
      <c r="F243" s="121" t="s">
        <v>3855</v>
      </c>
    </row>
    <row r="244" spans="1:6">
      <c r="A244" s="181" t="s">
        <v>1975</v>
      </c>
      <c r="B244" s="181" t="s">
        <v>3720</v>
      </c>
      <c r="C244" s="181" t="s">
        <v>5209</v>
      </c>
      <c r="D244" s="181" t="s">
        <v>1131</v>
      </c>
      <c r="E244" s="181" t="s">
        <v>1609</v>
      </c>
      <c r="F244" s="121" t="s">
        <v>3855</v>
      </c>
    </row>
    <row r="245" spans="1:6" ht="30">
      <c r="A245" s="181" t="s">
        <v>1991</v>
      </c>
      <c r="B245" s="181" t="s">
        <v>3721</v>
      </c>
      <c r="C245" s="181" t="s">
        <v>3486</v>
      </c>
      <c r="D245" s="181" t="s">
        <v>1131</v>
      </c>
      <c r="E245" s="181" t="s">
        <v>1609</v>
      </c>
      <c r="F245" s="121" t="s">
        <v>3855</v>
      </c>
    </row>
    <row r="246" spans="1:6" ht="30">
      <c r="A246" s="181" t="s">
        <v>1992</v>
      </c>
      <c r="B246" s="181" t="s">
        <v>3722</v>
      </c>
      <c r="C246" s="181" t="s">
        <v>3486</v>
      </c>
      <c r="D246" s="181" t="s">
        <v>1131</v>
      </c>
      <c r="E246" s="181" t="s">
        <v>1609</v>
      </c>
      <c r="F246" s="121" t="s">
        <v>3855</v>
      </c>
    </row>
    <row r="247" spans="1:6">
      <c r="A247" s="181" t="s">
        <v>1993</v>
      </c>
      <c r="B247" s="181" t="s">
        <v>3723</v>
      </c>
      <c r="C247" s="181" t="s">
        <v>5210</v>
      </c>
      <c r="D247" s="181" t="s">
        <v>1131</v>
      </c>
      <c r="E247" s="181" t="s">
        <v>1609</v>
      </c>
      <c r="F247" s="121" t="s">
        <v>3855</v>
      </c>
    </row>
    <row r="248" spans="1:6" ht="30">
      <c r="A248" s="181" t="s">
        <v>1994</v>
      </c>
      <c r="B248" s="181" t="s">
        <v>3724</v>
      </c>
      <c r="C248" s="181" t="s">
        <v>3486</v>
      </c>
      <c r="D248" s="181" t="s">
        <v>1131</v>
      </c>
      <c r="E248" s="181" t="s">
        <v>1609</v>
      </c>
      <c r="F248" s="121" t="s">
        <v>3855</v>
      </c>
    </row>
    <row r="249" spans="1:6">
      <c r="A249" s="181" t="s">
        <v>2023</v>
      </c>
      <c r="B249" s="181" t="s">
        <v>3725</v>
      </c>
      <c r="C249" s="181" t="s">
        <v>5088</v>
      </c>
      <c r="D249" s="181" t="s">
        <v>1131</v>
      </c>
      <c r="E249" s="181" t="s">
        <v>2000</v>
      </c>
      <c r="F249" s="121"/>
    </row>
    <row r="250" spans="1:6" ht="30">
      <c r="A250" s="181" t="s">
        <v>2025</v>
      </c>
      <c r="B250" s="181" t="s">
        <v>3726</v>
      </c>
      <c r="C250" s="181" t="s">
        <v>5211</v>
      </c>
      <c r="D250" s="181" t="s">
        <v>1131</v>
      </c>
      <c r="E250" s="181" t="s">
        <v>2000</v>
      </c>
      <c r="F250" s="121"/>
    </row>
    <row r="251" spans="1:6">
      <c r="A251" s="181" t="s">
        <v>2002</v>
      </c>
      <c r="B251" s="181" t="s">
        <v>3727</v>
      </c>
      <c r="C251" s="181" t="s">
        <v>5212</v>
      </c>
      <c r="D251" s="181" t="s">
        <v>1131</v>
      </c>
      <c r="E251" s="181"/>
      <c r="F251" s="121"/>
    </row>
    <row r="252" spans="1:6" ht="30">
      <c r="A252" s="181" t="s">
        <v>2026</v>
      </c>
      <c r="B252" s="181" t="s">
        <v>3728</v>
      </c>
      <c r="C252" s="181" t="s">
        <v>3514</v>
      </c>
      <c r="D252" s="181" t="s">
        <v>1131</v>
      </c>
      <c r="E252" s="181" t="s">
        <v>2000</v>
      </c>
      <c r="F252" s="121"/>
    </row>
    <row r="253" spans="1:6" ht="30">
      <c r="A253" s="181" t="s">
        <v>2005</v>
      </c>
      <c r="B253" s="181" t="s">
        <v>3729</v>
      </c>
      <c r="C253" s="181" t="s">
        <v>5088</v>
      </c>
      <c r="D253" s="181" t="s">
        <v>1131</v>
      </c>
      <c r="E253" s="181"/>
      <c r="F253" s="121"/>
    </row>
    <row r="254" spans="1:6" ht="30">
      <c r="A254" s="181" t="s">
        <v>2007</v>
      </c>
      <c r="B254" s="181" t="s">
        <v>3730</v>
      </c>
      <c r="C254" s="181" t="s">
        <v>3514</v>
      </c>
      <c r="D254" s="181" t="s">
        <v>1131</v>
      </c>
      <c r="E254" s="181"/>
      <c r="F254" s="121"/>
    </row>
    <row r="255" spans="1:6">
      <c r="A255" s="181" t="s">
        <v>2009</v>
      </c>
      <c r="B255" s="181" t="s">
        <v>3731</v>
      </c>
      <c r="C255" s="181" t="s">
        <v>5088</v>
      </c>
      <c r="D255" s="181" t="s">
        <v>1131</v>
      </c>
      <c r="E255" s="181" t="s">
        <v>2000</v>
      </c>
      <c r="F255" s="121"/>
    </row>
    <row r="256" spans="1:6" ht="30">
      <c r="A256" s="181" t="s">
        <v>2011</v>
      </c>
      <c r="B256" s="181" t="s">
        <v>3732</v>
      </c>
      <c r="C256" s="181" t="s">
        <v>5088</v>
      </c>
      <c r="D256" s="181" t="s">
        <v>1131</v>
      </c>
      <c r="E256" s="181"/>
      <c r="F256" s="121"/>
    </row>
    <row r="257" spans="1:6" ht="30">
      <c r="A257" s="181" t="s">
        <v>2027</v>
      </c>
      <c r="B257" s="181" t="s">
        <v>3733</v>
      </c>
      <c r="C257" s="181" t="s">
        <v>5088</v>
      </c>
      <c r="D257" s="181" t="s">
        <v>1131</v>
      </c>
      <c r="E257" s="181"/>
      <c r="F257" s="121"/>
    </row>
    <row r="258" spans="1:6">
      <c r="A258" s="181" t="s">
        <v>2015</v>
      </c>
      <c r="B258" s="181" t="s">
        <v>3734</v>
      </c>
      <c r="C258" s="181" t="s">
        <v>5206</v>
      </c>
      <c r="D258" s="181" t="s">
        <v>1131</v>
      </c>
      <c r="E258" s="181"/>
      <c r="F258" s="121"/>
    </row>
    <row r="259" spans="1:6" ht="30">
      <c r="A259" s="181" t="s">
        <v>2043</v>
      </c>
      <c r="B259" s="181" t="s">
        <v>3735</v>
      </c>
      <c r="C259" s="181" t="s">
        <v>5086</v>
      </c>
      <c r="D259" s="181" t="s">
        <v>1131</v>
      </c>
      <c r="E259" s="181" t="s">
        <v>5090</v>
      </c>
      <c r="F259" s="121" t="s">
        <v>3863</v>
      </c>
    </row>
    <row r="260" spans="1:6" ht="45">
      <c r="A260" s="181" t="s">
        <v>2053</v>
      </c>
      <c r="B260" s="181" t="s">
        <v>3736</v>
      </c>
      <c r="C260" s="181" t="s">
        <v>5086</v>
      </c>
      <c r="D260" s="181" t="s">
        <v>1131</v>
      </c>
      <c r="E260" s="181"/>
      <c r="F260" s="121"/>
    </row>
    <row r="261" spans="1:6" ht="45">
      <c r="A261" s="181" t="s">
        <v>2050</v>
      </c>
      <c r="B261" s="181" t="s">
        <v>3737</v>
      </c>
      <c r="C261" s="181" t="s">
        <v>5086</v>
      </c>
      <c r="D261" s="181" t="s">
        <v>1131</v>
      </c>
      <c r="E261" s="181"/>
      <c r="F261" s="121"/>
    </row>
    <row r="262" spans="1:6" ht="45">
      <c r="A262" s="181" t="s">
        <v>2054</v>
      </c>
      <c r="B262" s="181" t="s">
        <v>3738</v>
      </c>
      <c r="C262" s="181" t="s">
        <v>5086</v>
      </c>
      <c r="D262" s="181" t="s">
        <v>1154</v>
      </c>
      <c r="E262" s="181"/>
      <c r="F262" s="121"/>
    </row>
    <row r="263" spans="1:6" ht="30">
      <c r="A263" s="181" t="s">
        <v>2057</v>
      </c>
      <c r="B263" s="181" t="s">
        <v>3739</v>
      </c>
      <c r="C263" s="181" t="s">
        <v>3514</v>
      </c>
      <c r="D263" s="181" t="s">
        <v>1154</v>
      </c>
      <c r="E263" s="181" t="s">
        <v>5213</v>
      </c>
      <c r="F263" s="121" t="s">
        <v>2982</v>
      </c>
    </row>
    <row r="264" spans="1:6" ht="30">
      <c r="A264" s="181" t="s">
        <v>2063</v>
      </c>
      <c r="B264" s="181" t="s">
        <v>3740</v>
      </c>
      <c r="C264" s="181" t="s">
        <v>5088</v>
      </c>
      <c r="D264" s="181" t="s">
        <v>1131</v>
      </c>
      <c r="E264" s="181" t="s">
        <v>5087</v>
      </c>
      <c r="F264" s="121" t="s">
        <v>3854</v>
      </c>
    </row>
    <row r="265" spans="1:6" ht="30">
      <c r="A265" s="181" t="s">
        <v>2066</v>
      </c>
      <c r="B265" s="181" t="s">
        <v>3741</v>
      </c>
      <c r="C265" s="181" t="s">
        <v>5088</v>
      </c>
      <c r="D265" s="181" t="s">
        <v>1131</v>
      </c>
      <c r="E265" s="181"/>
      <c r="F265" s="121"/>
    </row>
    <row r="266" spans="1:6" ht="30">
      <c r="A266" s="181" t="s">
        <v>2071</v>
      </c>
      <c r="B266" s="181" t="s">
        <v>3742</v>
      </c>
      <c r="C266" s="181" t="s">
        <v>5088</v>
      </c>
      <c r="D266" s="181" t="s">
        <v>1131</v>
      </c>
      <c r="E266" s="181"/>
      <c r="F266" s="121"/>
    </row>
    <row r="267" spans="1:6" ht="30">
      <c r="A267" s="181" t="s">
        <v>2073</v>
      </c>
      <c r="B267" s="181" t="s">
        <v>3743</v>
      </c>
      <c r="C267" s="181" t="s">
        <v>5088</v>
      </c>
      <c r="D267" s="181" t="s">
        <v>1131</v>
      </c>
      <c r="E267" s="181"/>
      <c r="F267" s="121"/>
    </row>
    <row r="268" spans="1:6" ht="30">
      <c r="A268" s="181" t="s">
        <v>2076</v>
      </c>
      <c r="B268" s="181" t="s">
        <v>3744</v>
      </c>
      <c r="C268" s="181" t="s">
        <v>5088</v>
      </c>
      <c r="D268" s="181" t="s">
        <v>1131</v>
      </c>
      <c r="E268" s="181"/>
      <c r="F268" s="121"/>
    </row>
    <row r="269" spans="1:6" ht="30">
      <c r="A269" s="181" t="s">
        <v>2081</v>
      </c>
      <c r="B269" s="181" t="s">
        <v>3745</v>
      </c>
      <c r="C269" s="181" t="s">
        <v>5088</v>
      </c>
      <c r="D269" s="181" t="s">
        <v>1131</v>
      </c>
      <c r="E269" s="181"/>
      <c r="F269" s="121"/>
    </row>
    <row r="270" spans="1:6" ht="66">
      <c r="A270" s="181" t="s">
        <v>2124</v>
      </c>
      <c r="B270" s="181" t="s">
        <v>3746</v>
      </c>
      <c r="C270" s="181" t="s">
        <v>3514</v>
      </c>
      <c r="D270" s="181" t="s">
        <v>1154</v>
      </c>
      <c r="E270" s="181" t="s">
        <v>5214</v>
      </c>
      <c r="F270" s="121" t="s">
        <v>5575</v>
      </c>
    </row>
    <row r="271" spans="1:6" ht="66">
      <c r="A271" s="181" t="s">
        <v>2140</v>
      </c>
      <c r="B271" s="181" t="s">
        <v>3747</v>
      </c>
      <c r="C271" s="181" t="s">
        <v>3514</v>
      </c>
      <c r="D271" s="181" t="s">
        <v>1154</v>
      </c>
      <c r="E271" s="181" t="s">
        <v>5214</v>
      </c>
      <c r="F271" s="121" t="s">
        <v>5575</v>
      </c>
    </row>
    <row r="272" spans="1:6" ht="66">
      <c r="A272" s="181" t="s">
        <v>2141</v>
      </c>
      <c r="B272" s="181" t="s">
        <v>3748</v>
      </c>
      <c r="C272" s="181" t="s">
        <v>3514</v>
      </c>
      <c r="D272" s="181" t="s">
        <v>1154</v>
      </c>
      <c r="E272" s="181" t="s">
        <v>5215</v>
      </c>
      <c r="F272" s="121" t="s">
        <v>5576</v>
      </c>
    </row>
    <row r="273" spans="1:6" ht="66">
      <c r="A273" s="181" t="s">
        <v>2136</v>
      </c>
      <c r="B273" s="181" t="s">
        <v>3749</v>
      </c>
      <c r="C273" s="181" t="s">
        <v>3514</v>
      </c>
      <c r="D273" s="181" t="s">
        <v>1154</v>
      </c>
      <c r="E273" s="181" t="s">
        <v>5215</v>
      </c>
      <c r="F273" s="121" t="s">
        <v>5576</v>
      </c>
    </row>
    <row r="274" spans="1:6" ht="66">
      <c r="A274" s="181" t="s">
        <v>2137</v>
      </c>
      <c r="B274" s="181" t="s">
        <v>3750</v>
      </c>
      <c r="C274" s="181" t="s">
        <v>3514</v>
      </c>
      <c r="D274" s="181" t="s">
        <v>1154</v>
      </c>
      <c r="E274" s="181" t="s">
        <v>5215</v>
      </c>
      <c r="F274" s="121" t="s">
        <v>5576</v>
      </c>
    </row>
    <row r="275" spans="1:6" ht="30">
      <c r="A275" s="181" t="s">
        <v>2086</v>
      </c>
      <c r="B275" s="181" t="s">
        <v>3751</v>
      </c>
      <c r="C275" s="181" t="s">
        <v>3486</v>
      </c>
      <c r="D275" s="181" t="s">
        <v>1131</v>
      </c>
      <c r="E275" s="181" t="s">
        <v>1147</v>
      </c>
      <c r="F275" s="121" t="s">
        <v>3863</v>
      </c>
    </row>
    <row r="276" spans="1:6">
      <c r="A276" s="181" t="s">
        <v>2087</v>
      </c>
      <c r="B276" s="181" t="s">
        <v>3752</v>
      </c>
      <c r="C276" s="181" t="s">
        <v>5088</v>
      </c>
      <c r="D276" s="181" t="s">
        <v>1131</v>
      </c>
      <c r="E276" s="181"/>
      <c r="F276" s="121"/>
    </row>
    <row r="277" spans="1:6">
      <c r="A277" s="181" t="s">
        <v>2089</v>
      </c>
      <c r="B277" s="181" t="s">
        <v>3753</v>
      </c>
      <c r="C277" s="181" t="s">
        <v>5088</v>
      </c>
      <c r="D277" s="181" t="s">
        <v>1131</v>
      </c>
      <c r="E277" s="181"/>
      <c r="F277" s="121"/>
    </row>
    <row r="278" spans="1:6" ht="30">
      <c r="A278" s="181" t="s">
        <v>2096</v>
      </c>
      <c r="B278" s="181" t="s">
        <v>3754</v>
      </c>
      <c r="C278" s="181" t="s">
        <v>5088</v>
      </c>
      <c r="D278" s="181" t="s">
        <v>1154</v>
      </c>
      <c r="E278" s="181"/>
      <c r="F278" s="121"/>
    </row>
    <row r="279" spans="1:6">
      <c r="A279" s="181" t="s">
        <v>2098</v>
      </c>
      <c r="B279" s="181" t="s">
        <v>3755</v>
      </c>
      <c r="C279" s="181" t="s">
        <v>5088</v>
      </c>
      <c r="D279" s="181" t="s">
        <v>1154</v>
      </c>
      <c r="E279" s="181"/>
      <c r="F279" s="121"/>
    </row>
    <row r="280" spans="1:6">
      <c r="A280" s="181" t="s">
        <v>2099</v>
      </c>
      <c r="B280" s="181" t="s">
        <v>3756</v>
      </c>
      <c r="C280" s="181" t="s">
        <v>5216</v>
      </c>
      <c r="D280" s="181" t="s">
        <v>1131</v>
      </c>
      <c r="E280" s="181" t="s">
        <v>5090</v>
      </c>
      <c r="F280" s="121" t="s">
        <v>3863</v>
      </c>
    </row>
    <row r="281" spans="1:6" ht="30">
      <c r="A281" s="181" t="s">
        <v>2094</v>
      </c>
      <c r="B281" s="181" t="s">
        <v>3757</v>
      </c>
      <c r="C281" s="181" t="s">
        <v>5088</v>
      </c>
      <c r="D281" s="181" t="s">
        <v>1131</v>
      </c>
      <c r="E281" s="181"/>
      <c r="F281" s="121"/>
    </row>
    <row r="282" spans="1:6" ht="30">
      <c r="A282" s="181" t="s">
        <v>2100</v>
      </c>
      <c r="B282" s="181" t="s">
        <v>3758</v>
      </c>
      <c r="C282" s="181" t="s">
        <v>5217</v>
      </c>
      <c r="D282" s="181" t="s">
        <v>1131</v>
      </c>
      <c r="E282" s="181"/>
      <c r="F282" s="121"/>
    </row>
    <row r="283" spans="1:6" ht="33">
      <c r="A283" s="181" t="s">
        <v>2103</v>
      </c>
      <c r="B283" s="181" t="s">
        <v>3759</v>
      </c>
      <c r="C283" s="181" t="s">
        <v>5086</v>
      </c>
      <c r="D283" s="181" t="s">
        <v>1131</v>
      </c>
      <c r="E283" s="181" t="s">
        <v>1688</v>
      </c>
      <c r="F283" s="121" t="s">
        <v>2855</v>
      </c>
    </row>
    <row r="284" spans="1:6">
      <c r="A284" s="181" t="s">
        <v>2107</v>
      </c>
      <c r="B284" s="181" t="s">
        <v>3760</v>
      </c>
      <c r="C284" s="181" t="s">
        <v>5212</v>
      </c>
      <c r="D284" s="181" t="s">
        <v>1131</v>
      </c>
      <c r="E284" s="181"/>
      <c r="F284" s="121"/>
    </row>
    <row r="285" spans="1:6">
      <c r="A285" s="181" t="s">
        <v>2109</v>
      </c>
      <c r="B285" s="181" t="s">
        <v>3761</v>
      </c>
      <c r="C285" s="181" t="s">
        <v>5212</v>
      </c>
      <c r="D285" s="181" t="s">
        <v>1131</v>
      </c>
      <c r="E285" s="181" t="s">
        <v>2111</v>
      </c>
      <c r="F285" s="121" t="s">
        <v>3866</v>
      </c>
    </row>
    <row r="286" spans="1:6">
      <c r="A286" s="181" t="s">
        <v>2112</v>
      </c>
      <c r="B286" s="181" t="s">
        <v>3762</v>
      </c>
      <c r="C286" s="181" t="s">
        <v>5218</v>
      </c>
      <c r="D286" s="181" t="s">
        <v>1131</v>
      </c>
      <c r="E286" s="181"/>
      <c r="F286" s="121"/>
    </row>
    <row r="287" spans="1:6" ht="30">
      <c r="A287" s="181" t="s">
        <v>2125</v>
      </c>
      <c r="B287" s="181" t="s">
        <v>3763</v>
      </c>
      <c r="C287" s="181" t="s">
        <v>5145</v>
      </c>
      <c r="D287" s="181" t="s">
        <v>1154</v>
      </c>
      <c r="E287" s="181"/>
      <c r="F287" s="121"/>
    </row>
    <row r="288" spans="1:6" ht="30">
      <c r="A288" s="181" t="s">
        <v>2127</v>
      </c>
      <c r="B288" s="181" t="s">
        <v>3764</v>
      </c>
      <c r="C288" s="181" t="s">
        <v>5145</v>
      </c>
      <c r="D288" s="181" t="s">
        <v>1154</v>
      </c>
      <c r="E288" s="181"/>
      <c r="F288" s="121"/>
    </row>
    <row r="289" spans="1:6" ht="30">
      <c r="A289" s="181" t="s">
        <v>2129</v>
      </c>
      <c r="B289" s="181" t="s">
        <v>3765</v>
      </c>
      <c r="C289" s="181" t="s">
        <v>5086</v>
      </c>
      <c r="D289" s="181" t="s">
        <v>1131</v>
      </c>
      <c r="E289" s="181"/>
      <c r="F289" s="121"/>
    </row>
    <row r="290" spans="1:6" ht="30">
      <c r="A290" s="181" t="s">
        <v>2130</v>
      </c>
      <c r="B290" s="181" t="s">
        <v>3766</v>
      </c>
      <c r="C290" s="181" t="s">
        <v>5086</v>
      </c>
      <c r="D290" s="181" t="s">
        <v>1131</v>
      </c>
      <c r="E290" s="181"/>
      <c r="F290" s="121"/>
    </row>
    <row r="291" spans="1:6" ht="33">
      <c r="A291" s="181" t="s">
        <v>2118</v>
      </c>
      <c r="B291" s="181" t="s">
        <v>3767</v>
      </c>
      <c r="C291" s="181" t="s">
        <v>5219</v>
      </c>
      <c r="D291" s="181" t="s">
        <v>1154</v>
      </c>
      <c r="E291" s="181" t="s">
        <v>5220</v>
      </c>
      <c r="F291" s="121" t="s">
        <v>3028</v>
      </c>
    </row>
    <row r="292" spans="1:6" ht="66">
      <c r="A292" s="181" t="s">
        <v>2142</v>
      </c>
      <c r="B292" s="181" t="s">
        <v>3768</v>
      </c>
      <c r="C292" s="181" t="s">
        <v>3514</v>
      </c>
      <c r="D292" s="181" t="s">
        <v>1154</v>
      </c>
      <c r="E292" s="181" t="s">
        <v>5215</v>
      </c>
      <c r="F292" s="121" t="s">
        <v>5576</v>
      </c>
    </row>
    <row r="293" spans="1:6" ht="66">
      <c r="A293" s="181" t="s">
        <v>2139</v>
      </c>
      <c r="B293" s="181" t="s">
        <v>3769</v>
      </c>
      <c r="C293" s="181" t="s">
        <v>3514</v>
      </c>
      <c r="D293" s="181" t="s">
        <v>1154</v>
      </c>
      <c r="E293" s="181" t="s">
        <v>5221</v>
      </c>
      <c r="F293" s="121" t="s">
        <v>5577</v>
      </c>
    </row>
    <row r="294" spans="1:6" ht="45">
      <c r="A294" s="181" t="s">
        <v>2239</v>
      </c>
      <c r="B294" s="181" t="s">
        <v>3770</v>
      </c>
      <c r="C294" s="181" t="s">
        <v>5222</v>
      </c>
      <c r="D294" s="181" t="s">
        <v>2150</v>
      </c>
      <c r="E294" s="181" t="s">
        <v>5223</v>
      </c>
      <c r="F294" s="121" t="s">
        <v>5578</v>
      </c>
    </row>
    <row r="295" spans="1:6" ht="45">
      <c r="A295" s="181" t="s">
        <v>2240</v>
      </c>
      <c r="B295" s="181" t="s">
        <v>3771</v>
      </c>
      <c r="C295" s="181" t="s">
        <v>5222</v>
      </c>
      <c r="D295" s="181" t="s">
        <v>2150</v>
      </c>
      <c r="E295" s="181" t="s">
        <v>5223</v>
      </c>
      <c r="F295" s="121" t="s">
        <v>5578</v>
      </c>
    </row>
    <row r="296" spans="1:6" ht="45">
      <c r="A296" s="181" t="s">
        <v>2241</v>
      </c>
      <c r="B296" s="181" t="s">
        <v>3772</v>
      </c>
      <c r="C296" s="181" t="s">
        <v>5222</v>
      </c>
      <c r="D296" s="181" t="s">
        <v>2150</v>
      </c>
      <c r="E296" s="181" t="s">
        <v>5223</v>
      </c>
      <c r="F296" s="121" t="s">
        <v>5578</v>
      </c>
    </row>
    <row r="297" spans="1:6" ht="66">
      <c r="A297" s="181" t="s">
        <v>2143</v>
      </c>
      <c r="B297" s="181" t="s">
        <v>3773</v>
      </c>
      <c r="C297" s="181" t="s">
        <v>3514</v>
      </c>
      <c r="D297" s="181" t="s">
        <v>1154</v>
      </c>
      <c r="E297" s="181" t="s">
        <v>5221</v>
      </c>
      <c r="F297" s="121" t="s">
        <v>5577</v>
      </c>
    </row>
    <row r="298" spans="1:6" ht="66">
      <c r="A298" s="181" t="s">
        <v>2144</v>
      </c>
      <c r="B298" s="181" t="s">
        <v>3774</v>
      </c>
      <c r="C298" s="181" t="s">
        <v>3514</v>
      </c>
      <c r="D298" s="181" t="s">
        <v>1154</v>
      </c>
      <c r="E298" s="181" t="s">
        <v>5221</v>
      </c>
      <c r="F298" s="121" t="s">
        <v>5577</v>
      </c>
    </row>
    <row r="299" spans="1:6" ht="66">
      <c r="A299" s="181" t="s">
        <v>2145</v>
      </c>
      <c r="B299" s="181" t="s">
        <v>3775</v>
      </c>
      <c r="C299" s="181" t="s">
        <v>3514</v>
      </c>
      <c r="D299" s="181" t="s">
        <v>1154</v>
      </c>
      <c r="E299" s="181" t="s">
        <v>5221</v>
      </c>
      <c r="F299" s="121" t="s">
        <v>5577</v>
      </c>
    </row>
    <row r="300" spans="1:6">
      <c r="A300" s="181" t="s">
        <v>2177</v>
      </c>
      <c r="B300" s="181" t="s">
        <v>3776</v>
      </c>
      <c r="C300" s="181" t="s">
        <v>5088</v>
      </c>
      <c r="D300" s="181" t="s">
        <v>1131</v>
      </c>
      <c r="E300" s="181"/>
      <c r="F300" s="121"/>
    </row>
    <row r="301" spans="1:6" ht="30">
      <c r="A301" s="181" t="s">
        <v>2179</v>
      </c>
      <c r="B301" s="181" t="s">
        <v>3777</v>
      </c>
      <c r="C301" s="181" t="s">
        <v>5074</v>
      </c>
      <c r="D301" s="181" t="s">
        <v>2150</v>
      </c>
      <c r="E301" s="181"/>
      <c r="F301" s="121"/>
    </row>
    <row r="302" spans="1:6" ht="30">
      <c r="A302" s="181" t="s">
        <v>2149</v>
      </c>
      <c r="B302" s="181" t="s">
        <v>3778</v>
      </c>
      <c r="C302" s="181" t="s">
        <v>5074</v>
      </c>
      <c r="D302" s="181" t="s">
        <v>2150</v>
      </c>
      <c r="E302" s="181"/>
      <c r="F302" s="121"/>
    </row>
    <row r="303" spans="1:6" ht="30">
      <c r="A303" s="181" t="s">
        <v>2166</v>
      </c>
      <c r="B303" s="181" t="s">
        <v>3779</v>
      </c>
      <c r="C303" s="181" t="s">
        <v>3514</v>
      </c>
      <c r="D303" s="181" t="s">
        <v>2150</v>
      </c>
      <c r="E303" s="181" t="s">
        <v>1504</v>
      </c>
      <c r="F303" s="121" t="s">
        <v>3174</v>
      </c>
    </row>
    <row r="304" spans="1:6" ht="30">
      <c r="A304" s="181" t="s">
        <v>2169</v>
      </c>
      <c r="B304" s="181" t="s">
        <v>3780</v>
      </c>
      <c r="C304" s="181" t="s">
        <v>3514</v>
      </c>
      <c r="D304" s="181" t="s">
        <v>2150</v>
      </c>
      <c r="E304" s="181" t="s">
        <v>5224</v>
      </c>
      <c r="F304" s="121" t="s">
        <v>3175</v>
      </c>
    </row>
    <row r="305" spans="1:6" ht="60">
      <c r="A305" s="181" t="s">
        <v>2180</v>
      </c>
      <c r="B305" s="181" t="s">
        <v>3781</v>
      </c>
      <c r="C305" s="181" t="s">
        <v>3514</v>
      </c>
      <c r="D305" s="181" t="s">
        <v>2150</v>
      </c>
      <c r="E305" s="181" t="s">
        <v>5225</v>
      </c>
      <c r="F305" s="121"/>
    </row>
    <row r="306" spans="1:6" ht="30">
      <c r="A306" s="181" t="s">
        <v>2182</v>
      </c>
      <c r="B306" s="181" t="s">
        <v>3782</v>
      </c>
      <c r="C306" s="181" t="s">
        <v>3514</v>
      </c>
      <c r="D306" s="181" t="s">
        <v>2150</v>
      </c>
      <c r="E306" s="181" t="s">
        <v>5224</v>
      </c>
      <c r="F306" s="121" t="s">
        <v>3175</v>
      </c>
    </row>
    <row r="307" spans="1:6" ht="45">
      <c r="A307" s="181" t="s">
        <v>2191</v>
      </c>
      <c r="B307" s="181" t="s">
        <v>3783</v>
      </c>
      <c r="C307" s="181" t="s">
        <v>3514</v>
      </c>
      <c r="D307" s="181" t="s">
        <v>2150</v>
      </c>
      <c r="E307" s="181" t="s">
        <v>2193</v>
      </c>
      <c r="F307" s="121" t="s">
        <v>3180</v>
      </c>
    </row>
    <row r="308" spans="1:6" ht="45">
      <c r="A308" s="181" t="s">
        <v>2194</v>
      </c>
      <c r="B308" s="181" t="s">
        <v>3784</v>
      </c>
      <c r="C308" s="181" t="s">
        <v>3514</v>
      </c>
      <c r="D308" s="181" t="s">
        <v>2150</v>
      </c>
      <c r="E308" s="181" t="s">
        <v>2193</v>
      </c>
      <c r="F308" s="121" t="s">
        <v>3180</v>
      </c>
    </row>
    <row r="309" spans="1:6" ht="30">
      <c r="A309" s="181" t="s">
        <v>2195</v>
      </c>
      <c r="B309" s="181" t="s">
        <v>3785</v>
      </c>
      <c r="C309" s="181" t="s">
        <v>3514</v>
      </c>
      <c r="D309" s="181" t="s">
        <v>2150</v>
      </c>
      <c r="E309" s="181"/>
      <c r="F309" s="121"/>
    </row>
    <row r="310" spans="1:6" ht="45">
      <c r="A310" s="181" t="s">
        <v>2197</v>
      </c>
      <c r="B310" s="181" t="s">
        <v>3786</v>
      </c>
      <c r="C310" s="181" t="s">
        <v>5226</v>
      </c>
      <c r="D310" s="181" t="s">
        <v>5227</v>
      </c>
      <c r="E310" s="181" t="s">
        <v>5228</v>
      </c>
      <c r="F310" s="121" t="s">
        <v>5579</v>
      </c>
    </row>
    <row r="311" spans="1:6" ht="45">
      <c r="A311" s="181" t="s">
        <v>2203</v>
      </c>
      <c r="B311" s="181" t="s">
        <v>3787</v>
      </c>
      <c r="C311" s="181" t="s">
        <v>5226</v>
      </c>
      <c r="D311" s="181" t="s">
        <v>5227</v>
      </c>
      <c r="E311" s="181" t="s">
        <v>5228</v>
      </c>
      <c r="F311" s="121" t="s">
        <v>5579</v>
      </c>
    </row>
    <row r="312" spans="1:6" ht="30">
      <c r="A312" s="181" t="s">
        <v>2221</v>
      </c>
      <c r="B312" s="181" t="s">
        <v>3788</v>
      </c>
      <c r="C312" s="181" t="s">
        <v>5226</v>
      </c>
      <c r="D312" s="181" t="s">
        <v>2150</v>
      </c>
      <c r="E312" s="181" t="s">
        <v>5229</v>
      </c>
      <c r="F312" s="121" t="s">
        <v>5580</v>
      </c>
    </row>
    <row r="313" spans="1:6" ht="30">
      <c r="A313" s="181" t="s">
        <v>2206</v>
      </c>
      <c r="B313" s="181" t="s">
        <v>3789</v>
      </c>
      <c r="C313" s="181" t="s">
        <v>5226</v>
      </c>
      <c r="D313" s="181" t="s">
        <v>2150</v>
      </c>
      <c r="E313" s="181" t="s">
        <v>5230</v>
      </c>
      <c r="F313" s="121" t="s">
        <v>5581</v>
      </c>
    </row>
    <row r="314" spans="1:6" ht="30">
      <c r="A314" s="181" t="s">
        <v>2222</v>
      </c>
      <c r="B314" s="181" t="s">
        <v>3790</v>
      </c>
      <c r="C314" s="181" t="s">
        <v>5231</v>
      </c>
      <c r="D314" s="181" t="s">
        <v>2150</v>
      </c>
      <c r="E314" s="181" t="s">
        <v>2208</v>
      </c>
      <c r="F314" s="121" t="s">
        <v>3198</v>
      </c>
    </row>
    <row r="315" spans="1:6" ht="30">
      <c r="A315" s="181" t="s">
        <v>2210</v>
      </c>
      <c r="B315" s="181" t="s">
        <v>3791</v>
      </c>
      <c r="C315" s="181" t="s">
        <v>5231</v>
      </c>
      <c r="D315" s="181" t="s">
        <v>2150</v>
      </c>
      <c r="E315" s="181" t="s">
        <v>2208</v>
      </c>
      <c r="F315" s="121" t="s">
        <v>3198</v>
      </c>
    </row>
    <row r="316" spans="1:6" ht="30">
      <c r="A316" s="181" t="s">
        <v>2211</v>
      </c>
      <c r="B316" s="181" t="s">
        <v>3792</v>
      </c>
      <c r="C316" s="181" t="s">
        <v>5231</v>
      </c>
      <c r="D316" s="181" t="s">
        <v>2150</v>
      </c>
      <c r="E316" s="181" t="s">
        <v>2208</v>
      </c>
      <c r="F316" s="121" t="s">
        <v>3198</v>
      </c>
    </row>
    <row r="317" spans="1:6" ht="45">
      <c r="A317" s="181" t="s">
        <v>2223</v>
      </c>
      <c r="B317" s="181" t="s">
        <v>3793</v>
      </c>
      <c r="C317" s="181" t="s">
        <v>5232</v>
      </c>
      <c r="D317" s="181" t="s">
        <v>2150</v>
      </c>
      <c r="E317" s="181" t="s">
        <v>5233</v>
      </c>
      <c r="F317" s="121" t="s">
        <v>5582</v>
      </c>
    </row>
    <row r="318" spans="1:6" ht="45">
      <c r="A318" s="181" t="s">
        <v>2217</v>
      </c>
      <c r="B318" s="181" t="s">
        <v>3794</v>
      </c>
      <c r="C318" s="181" t="s">
        <v>5232</v>
      </c>
      <c r="D318" s="181" t="s">
        <v>2150</v>
      </c>
      <c r="E318" s="181" t="s">
        <v>5233</v>
      </c>
      <c r="F318" s="121" t="s">
        <v>5582</v>
      </c>
    </row>
    <row r="319" spans="1:6" ht="45">
      <c r="A319" s="181" t="s">
        <v>2218</v>
      </c>
      <c r="B319" s="181" t="s">
        <v>3795</v>
      </c>
      <c r="C319" s="181" t="s">
        <v>5234</v>
      </c>
      <c r="D319" s="181" t="s">
        <v>2150</v>
      </c>
      <c r="E319" s="181" t="s">
        <v>5223</v>
      </c>
      <c r="F319" s="121" t="s">
        <v>5578</v>
      </c>
    </row>
    <row r="320" spans="1:6" ht="45">
      <c r="A320" s="181" t="s">
        <v>2219</v>
      </c>
      <c r="B320" s="181" t="s">
        <v>3796</v>
      </c>
      <c r="C320" s="181" t="s">
        <v>5234</v>
      </c>
      <c r="D320" s="181" t="s">
        <v>2150</v>
      </c>
      <c r="E320" s="181" t="s">
        <v>5235</v>
      </c>
      <c r="F320" s="121" t="s">
        <v>5583</v>
      </c>
    </row>
    <row r="321" spans="1:6" ht="45">
      <c r="A321" s="181" t="s">
        <v>2224</v>
      </c>
      <c r="B321" s="181" t="s">
        <v>3797</v>
      </c>
      <c r="C321" s="181" t="s">
        <v>5234</v>
      </c>
      <c r="D321" s="181" t="s">
        <v>2150</v>
      </c>
      <c r="E321" s="181" t="s">
        <v>5223</v>
      </c>
      <c r="F321" s="121" t="s">
        <v>5578</v>
      </c>
    </row>
    <row r="322" spans="1:6" ht="45">
      <c r="A322" s="181" t="s">
        <v>2225</v>
      </c>
      <c r="B322" s="181" t="s">
        <v>3798</v>
      </c>
      <c r="C322" s="181" t="s">
        <v>5234</v>
      </c>
      <c r="D322" s="181" t="s">
        <v>2150</v>
      </c>
      <c r="E322" s="181" t="s">
        <v>5223</v>
      </c>
      <c r="F322" s="121" t="s">
        <v>5578</v>
      </c>
    </row>
    <row r="323" spans="1:6" ht="33">
      <c r="A323" s="181" t="s">
        <v>2238</v>
      </c>
      <c r="B323" s="181" t="s">
        <v>3799</v>
      </c>
      <c r="C323" s="181" t="s">
        <v>5232</v>
      </c>
      <c r="D323" s="181" t="s">
        <v>5236</v>
      </c>
      <c r="E323" s="181" t="s">
        <v>5237</v>
      </c>
      <c r="F323" s="121" t="s">
        <v>5584</v>
      </c>
    </row>
    <row r="324" spans="1:6" ht="45">
      <c r="A324" s="181" t="s">
        <v>143</v>
      </c>
      <c r="B324" s="181" t="s">
        <v>144</v>
      </c>
      <c r="C324" s="181" t="s">
        <v>5232</v>
      </c>
      <c r="D324" s="181" t="s">
        <v>2150</v>
      </c>
      <c r="E324" s="181" t="s">
        <v>5233</v>
      </c>
      <c r="F324" s="121" t="s">
        <v>5582</v>
      </c>
    </row>
    <row r="325" spans="1:6" ht="45">
      <c r="A325" s="181" t="s">
        <v>2230</v>
      </c>
      <c r="B325" s="181" t="s">
        <v>3800</v>
      </c>
      <c r="C325" s="181" t="s">
        <v>5232</v>
      </c>
      <c r="D325" s="181" t="s">
        <v>2150</v>
      </c>
      <c r="E325" s="181" t="s">
        <v>5233</v>
      </c>
      <c r="F325" s="121" t="s">
        <v>5582</v>
      </c>
    </row>
    <row r="326" spans="1:6" ht="45">
      <c r="A326" s="181" t="s">
        <v>2231</v>
      </c>
      <c r="B326" s="181" t="s">
        <v>3801</v>
      </c>
      <c r="C326" s="181" t="s">
        <v>5222</v>
      </c>
      <c r="D326" s="181" t="s">
        <v>2150</v>
      </c>
      <c r="E326" s="181" t="s">
        <v>5223</v>
      </c>
      <c r="F326" s="121" t="s">
        <v>5578</v>
      </c>
    </row>
    <row r="327" spans="1:6" ht="30">
      <c r="A327" s="181" t="s">
        <v>2236</v>
      </c>
      <c r="B327" s="181" t="s">
        <v>3802</v>
      </c>
      <c r="C327" s="181" t="s">
        <v>5086</v>
      </c>
      <c r="D327" s="181" t="s">
        <v>2150</v>
      </c>
      <c r="E327" s="181" t="s">
        <v>5238</v>
      </c>
      <c r="F327" s="121" t="s">
        <v>5585</v>
      </c>
    </row>
    <row r="328" spans="1:6" ht="30">
      <c r="A328" s="181" t="s">
        <v>2242</v>
      </c>
      <c r="B328" s="181" t="s">
        <v>3803</v>
      </c>
      <c r="C328" s="181" t="s">
        <v>5239</v>
      </c>
      <c r="D328" s="181" t="s">
        <v>2150</v>
      </c>
      <c r="E328" s="181" t="s">
        <v>5240</v>
      </c>
      <c r="F328" s="121" t="s">
        <v>5586</v>
      </c>
    </row>
    <row r="329" spans="1:6" ht="75">
      <c r="A329" s="181" t="s">
        <v>2313</v>
      </c>
      <c r="B329" s="181" t="s">
        <v>3804</v>
      </c>
      <c r="C329" s="181" t="s">
        <v>5241</v>
      </c>
      <c r="D329" s="181" t="s">
        <v>2150</v>
      </c>
      <c r="E329" s="181" t="s">
        <v>5242</v>
      </c>
      <c r="F329" s="121" t="s">
        <v>5587</v>
      </c>
    </row>
    <row r="330" spans="1:6" ht="45">
      <c r="A330" s="181" t="s">
        <v>2319</v>
      </c>
      <c r="B330" s="181" t="s">
        <v>3805</v>
      </c>
      <c r="C330" s="181" t="s">
        <v>5241</v>
      </c>
      <c r="D330" s="181" t="s">
        <v>2150</v>
      </c>
      <c r="E330" s="181" t="s">
        <v>5243</v>
      </c>
      <c r="F330" s="121" t="s">
        <v>5588</v>
      </c>
    </row>
    <row r="331" spans="1:6" ht="75">
      <c r="A331" s="181" t="s">
        <v>148</v>
      </c>
      <c r="B331" s="181" t="s">
        <v>3806</v>
      </c>
      <c r="C331" s="181" t="s">
        <v>5241</v>
      </c>
      <c r="D331" s="181" t="s">
        <v>2150</v>
      </c>
      <c r="E331" s="181" t="s">
        <v>5244</v>
      </c>
      <c r="F331" s="121" t="s">
        <v>5589</v>
      </c>
    </row>
    <row r="332" spans="1:6" ht="82.5">
      <c r="A332" s="181" t="s">
        <v>2321</v>
      </c>
      <c r="B332" s="181" t="s">
        <v>3807</v>
      </c>
      <c r="C332" s="181" t="s">
        <v>5241</v>
      </c>
      <c r="D332" s="181" t="s">
        <v>2150</v>
      </c>
      <c r="E332" s="181" t="s">
        <v>5245</v>
      </c>
      <c r="F332" s="121" t="s">
        <v>5590</v>
      </c>
    </row>
    <row r="333" spans="1:6" ht="45">
      <c r="A333" s="181" t="s">
        <v>2326</v>
      </c>
      <c r="B333" s="181" t="s">
        <v>3808</v>
      </c>
      <c r="C333" s="181" t="s">
        <v>5241</v>
      </c>
      <c r="D333" s="181" t="s">
        <v>2150</v>
      </c>
      <c r="E333" s="181" t="s">
        <v>5246</v>
      </c>
      <c r="F333" s="121" t="s">
        <v>5591</v>
      </c>
    </row>
    <row r="334" spans="1:6" ht="105">
      <c r="A334" s="181" t="s">
        <v>2258</v>
      </c>
      <c r="B334" s="181" t="s">
        <v>3809</v>
      </c>
      <c r="C334" s="181" t="s">
        <v>5241</v>
      </c>
      <c r="D334" s="181" t="s">
        <v>2150</v>
      </c>
      <c r="E334" s="181" t="s">
        <v>5247</v>
      </c>
      <c r="F334" s="121" t="s">
        <v>5592</v>
      </c>
    </row>
    <row r="335" spans="1:6" ht="33">
      <c r="A335" s="181" t="s">
        <v>2266</v>
      </c>
      <c r="B335" s="181" t="s">
        <v>3810</v>
      </c>
      <c r="C335" s="181" t="s">
        <v>5241</v>
      </c>
      <c r="D335" s="181" t="s">
        <v>5236</v>
      </c>
      <c r="E335" s="181" t="s">
        <v>5248</v>
      </c>
      <c r="F335" s="121" t="s">
        <v>5593</v>
      </c>
    </row>
    <row r="336" spans="1:6" ht="30">
      <c r="A336" s="181" t="s">
        <v>2270</v>
      </c>
      <c r="B336" s="181" t="s">
        <v>3811</v>
      </c>
      <c r="C336" s="181" t="s">
        <v>5241</v>
      </c>
      <c r="D336" s="181" t="s">
        <v>5236</v>
      </c>
      <c r="E336" s="181" t="s">
        <v>5249</v>
      </c>
      <c r="F336" s="121" t="s">
        <v>5594</v>
      </c>
    </row>
    <row r="337" spans="1:6" ht="75">
      <c r="A337" s="181" t="s">
        <v>2273</v>
      </c>
      <c r="B337" s="181" t="s">
        <v>3812</v>
      </c>
      <c r="C337" s="181" t="s">
        <v>5241</v>
      </c>
      <c r="D337" s="181" t="s">
        <v>2150</v>
      </c>
      <c r="E337" s="181" t="s">
        <v>5250</v>
      </c>
      <c r="F337" s="121" t="s">
        <v>5595</v>
      </c>
    </row>
    <row r="338" spans="1:6">
      <c r="A338" s="181" t="s">
        <v>2330</v>
      </c>
      <c r="B338" s="181" t="s">
        <v>3813</v>
      </c>
      <c r="C338" s="181" t="s">
        <v>3514</v>
      </c>
      <c r="D338" s="181" t="s">
        <v>2150</v>
      </c>
      <c r="E338" s="181" t="s">
        <v>2332</v>
      </c>
      <c r="F338" s="121" t="s">
        <v>3184</v>
      </c>
    </row>
    <row r="339" spans="1:6">
      <c r="A339" s="181" t="s">
        <v>2334</v>
      </c>
      <c r="B339" s="181" t="s">
        <v>3814</v>
      </c>
      <c r="C339" s="181" t="s">
        <v>5226</v>
      </c>
      <c r="D339" s="181" t="s">
        <v>2150</v>
      </c>
      <c r="E339" s="181" t="s">
        <v>5251</v>
      </c>
      <c r="F339" s="121" t="s">
        <v>3185</v>
      </c>
    </row>
    <row r="340" spans="1:6" ht="33">
      <c r="A340" s="181" t="s">
        <v>2338</v>
      </c>
      <c r="B340" s="181" t="s">
        <v>3815</v>
      </c>
      <c r="C340" s="181" t="s">
        <v>5219</v>
      </c>
      <c r="D340" s="181" t="s">
        <v>2150</v>
      </c>
      <c r="E340" s="181" t="s">
        <v>5252</v>
      </c>
      <c r="F340" s="121" t="s">
        <v>5596</v>
      </c>
    </row>
    <row r="341" spans="1:6">
      <c r="A341" s="181" t="s">
        <v>2341</v>
      </c>
      <c r="B341" s="181" t="s">
        <v>3816</v>
      </c>
      <c r="C341" s="181" t="s">
        <v>5226</v>
      </c>
      <c r="D341" s="181" t="s">
        <v>2150</v>
      </c>
      <c r="E341" s="181" t="s">
        <v>2343</v>
      </c>
      <c r="F341" s="121" t="s">
        <v>3176</v>
      </c>
    </row>
    <row r="342" spans="1:6" ht="30">
      <c r="A342" s="181" t="s">
        <v>2275</v>
      </c>
      <c r="B342" s="181" t="s">
        <v>3817</v>
      </c>
      <c r="C342" s="181" t="s">
        <v>5253</v>
      </c>
      <c r="D342" s="181" t="s">
        <v>2150</v>
      </c>
      <c r="E342" s="181" t="s">
        <v>5254</v>
      </c>
      <c r="F342" s="121" t="s">
        <v>5597</v>
      </c>
    </row>
    <row r="343" spans="1:6" ht="45">
      <c r="A343" s="181" t="s">
        <v>2278</v>
      </c>
      <c r="B343" s="181" t="s">
        <v>3818</v>
      </c>
      <c r="C343" s="181" t="s">
        <v>5255</v>
      </c>
      <c r="D343" s="181" t="s">
        <v>2150</v>
      </c>
      <c r="E343" s="181" t="s">
        <v>5256</v>
      </c>
      <c r="F343" s="121" t="s">
        <v>5598</v>
      </c>
    </row>
    <row r="344" spans="1:6" ht="45">
      <c r="A344" s="181" t="s">
        <v>2281</v>
      </c>
      <c r="B344" s="181" t="s">
        <v>3819</v>
      </c>
      <c r="C344" s="181" t="s">
        <v>5257</v>
      </c>
      <c r="D344" s="181" t="s">
        <v>2150</v>
      </c>
      <c r="E344" s="181"/>
      <c r="F344" s="121"/>
    </row>
    <row r="345" spans="1:6" ht="45">
      <c r="A345" s="181" t="s">
        <v>2283</v>
      </c>
      <c r="B345" s="181" t="s">
        <v>3820</v>
      </c>
      <c r="C345" s="181" t="s">
        <v>5257</v>
      </c>
      <c r="D345" s="181" t="s">
        <v>2150</v>
      </c>
      <c r="E345" s="181"/>
      <c r="F345" s="121"/>
    </row>
    <row r="346" spans="1:6">
      <c r="A346" s="181" t="s">
        <v>2285</v>
      </c>
      <c r="B346" s="181" t="s">
        <v>3821</v>
      </c>
      <c r="C346" s="181" t="s">
        <v>5258</v>
      </c>
      <c r="D346" s="181" t="s">
        <v>2150</v>
      </c>
      <c r="E346" s="181" t="s">
        <v>1504</v>
      </c>
      <c r="F346" s="121" t="s">
        <v>3174</v>
      </c>
    </row>
    <row r="347" spans="1:6" ht="45">
      <c r="A347" s="181" t="s">
        <v>2287</v>
      </c>
      <c r="B347" s="181" t="s">
        <v>3822</v>
      </c>
      <c r="C347" s="181" t="s">
        <v>5259</v>
      </c>
      <c r="D347" s="181" t="s">
        <v>2150</v>
      </c>
      <c r="E347" s="181" t="s">
        <v>5260</v>
      </c>
      <c r="F347" s="121" t="s">
        <v>3862</v>
      </c>
    </row>
    <row r="348" spans="1:6" ht="33">
      <c r="A348" s="181" t="s">
        <v>2344</v>
      </c>
      <c r="B348" s="181" t="s">
        <v>3823</v>
      </c>
      <c r="C348" s="181" t="s">
        <v>5261</v>
      </c>
      <c r="D348" s="181" t="s">
        <v>2150</v>
      </c>
      <c r="E348" s="181" t="s">
        <v>5262</v>
      </c>
      <c r="F348" s="121" t="s">
        <v>5599</v>
      </c>
    </row>
    <row r="349" spans="1:6" ht="30">
      <c r="A349" s="181" t="s">
        <v>2348</v>
      </c>
      <c r="B349" s="181" t="s">
        <v>3824</v>
      </c>
      <c r="C349" s="181" t="s">
        <v>5261</v>
      </c>
      <c r="D349" s="181" t="s">
        <v>2150</v>
      </c>
      <c r="E349" s="181" t="s">
        <v>5263</v>
      </c>
      <c r="F349" s="121" t="s">
        <v>5600</v>
      </c>
    </row>
    <row r="350" spans="1:6" ht="45">
      <c r="A350" s="181" t="s">
        <v>2350</v>
      </c>
      <c r="B350" s="181" t="s">
        <v>3825</v>
      </c>
      <c r="C350" s="181" t="s">
        <v>5226</v>
      </c>
      <c r="D350" s="181" t="s">
        <v>2150</v>
      </c>
      <c r="E350" s="181" t="s">
        <v>5264</v>
      </c>
      <c r="F350" s="121" t="s">
        <v>3239</v>
      </c>
    </row>
    <row r="351" spans="1:6" ht="60">
      <c r="A351" s="181" t="s">
        <v>2352</v>
      </c>
      <c r="B351" s="181" t="s">
        <v>145</v>
      </c>
      <c r="C351" s="181" t="s">
        <v>5265</v>
      </c>
      <c r="D351" s="181" t="s">
        <v>2150</v>
      </c>
      <c r="E351" s="181" t="s">
        <v>5266</v>
      </c>
      <c r="F351" s="121"/>
    </row>
    <row r="352" spans="1:6" ht="60">
      <c r="A352" s="181" t="s">
        <v>2354</v>
      </c>
      <c r="B352" s="181" t="s">
        <v>3826</v>
      </c>
      <c r="C352" s="181" t="s">
        <v>5267</v>
      </c>
      <c r="D352" s="181" t="s">
        <v>5268</v>
      </c>
      <c r="E352" s="181" t="s">
        <v>5269</v>
      </c>
      <c r="F352" s="121" t="s">
        <v>3198</v>
      </c>
    </row>
    <row r="353" spans="1:6" ht="30">
      <c r="A353" s="181" t="s">
        <v>2291</v>
      </c>
      <c r="B353" s="181" t="s">
        <v>3827</v>
      </c>
      <c r="C353" s="181" t="s">
        <v>5270</v>
      </c>
      <c r="D353" s="181" t="s">
        <v>5268</v>
      </c>
      <c r="E353" s="181" t="s">
        <v>5271</v>
      </c>
      <c r="F353" s="121" t="s">
        <v>3224</v>
      </c>
    </row>
    <row r="354" spans="1:6" ht="30">
      <c r="A354" s="181" t="s">
        <v>2294</v>
      </c>
      <c r="B354" s="181" t="s">
        <v>3828</v>
      </c>
      <c r="C354" s="181" t="s">
        <v>5272</v>
      </c>
      <c r="D354" s="181" t="s">
        <v>5268</v>
      </c>
      <c r="E354" s="181" t="s">
        <v>5273</v>
      </c>
      <c r="F354" s="121" t="s">
        <v>3227</v>
      </c>
    </row>
    <row r="355" spans="1:6" ht="60">
      <c r="A355" s="181" t="s">
        <v>2297</v>
      </c>
      <c r="B355" s="181" t="s">
        <v>3829</v>
      </c>
      <c r="C355" s="181" t="s">
        <v>5261</v>
      </c>
      <c r="D355" s="181" t="s">
        <v>2150</v>
      </c>
      <c r="E355" s="181" t="s">
        <v>5274</v>
      </c>
      <c r="F355" s="121" t="s">
        <v>3215</v>
      </c>
    </row>
    <row r="356" spans="1:6" ht="33">
      <c r="A356" s="181" t="s">
        <v>2299</v>
      </c>
      <c r="B356" s="181" t="s">
        <v>3830</v>
      </c>
      <c r="C356" s="181" t="s">
        <v>5275</v>
      </c>
      <c r="D356" s="181" t="s">
        <v>2150</v>
      </c>
      <c r="E356" s="181" t="s">
        <v>5276</v>
      </c>
      <c r="F356" s="121" t="s">
        <v>3228</v>
      </c>
    </row>
    <row r="357" spans="1:6" ht="30">
      <c r="A357" s="181" t="s">
        <v>2355</v>
      </c>
      <c r="B357" s="181" t="s">
        <v>3831</v>
      </c>
      <c r="C357" s="181" t="s">
        <v>5275</v>
      </c>
      <c r="D357" s="181" t="s">
        <v>2150</v>
      </c>
      <c r="E357" s="181" t="s">
        <v>5277</v>
      </c>
      <c r="F357" s="121" t="s">
        <v>3193</v>
      </c>
    </row>
    <row r="358" spans="1:6" ht="30">
      <c r="A358" s="181" t="s">
        <v>2312</v>
      </c>
      <c r="B358" s="181" t="s">
        <v>3832</v>
      </c>
      <c r="C358" s="181" t="s">
        <v>5278</v>
      </c>
      <c r="D358" s="181" t="s">
        <v>5279</v>
      </c>
      <c r="E358" s="181" t="s">
        <v>5280</v>
      </c>
      <c r="F358" s="121" t="s">
        <v>5601</v>
      </c>
    </row>
    <row r="359" spans="1:6" ht="30">
      <c r="A359" s="181" t="s">
        <v>2357</v>
      </c>
      <c r="B359" s="181" t="s">
        <v>3833</v>
      </c>
      <c r="C359" s="181" t="s">
        <v>5278</v>
      </c>
      <c r="D359" s="181" t="s">
        <v>5279</v>
      </c>
      <c r="E359" s="181" t="s">
        <v>5280</v>
      </c>
      <c r="F359" s="121" t="s">
        <v>5601</v>
      </c>
    </row>
    <row r="360" spans="1:6" ht="30">
      <c r="A360" s="181" t="s">
        <v>2358</v>
      </c>
      <c r="B360" s="181" t="s">
        <v>3834</v>
      </c>
      <c r="C360" s="181" t="s">
        <v>5232</v>
      </c>
      <c r="D360" s="181" t="s">
        <v>5279</v>
      </c>
      <c r="E360" s="181" t="s">
        <v>5281</v>
      </c>
      <c r="F360" s="121" t="s">
        <v>5602</v>
      </c>
    </row>
    <row r="361" spans="1:6" ht="30">
      <c r="A361" s="181" t="s">
        <v>2359</v>
      </c>
      <c r="B361" s="181" t="s">
        <v>3835</v>
      </c>
      <c r="C361" s="181" t="s">
        <v>5232</v>
      </c>
      <c r="D361" s="181" t="s">
        <v>5279</v>
      </c>
      <c r="E361" s="181" t="s">
        <v>5281</v>
      </c>
      <c r="F361" s="121" t="s">
        <v>5602</v>
      </c>
    </row>
    <row r="362" spans="1:6" ht="30">
      <c r="A362" s="181" t="s">
        <v>2360</v>
      </c>
      <c r="B362" s="181" t="s">
        <v>3836</v>
      </c>
      <c r="C362" s="181" t="s">
        <v>5232</v>
      </c>
      <c r="D362" s="181" t="s">
        <v>5279</v>
      </c>
      <c r="E362" s="181" t="s">
        <v>5281</v>
      </c>
      <c r="F362" s="121" t="s">
        <v>5602</v>
      </c>
    </row>
    <row r="363" spans="1:6">
      <c r="A363" s="181" t="s">
        <v>1493</v>
      </c>
      <c r="B363" s="181" t="s">
        <v>1484</v>
      </c>
      <c r="C363" s="181" t="s">
        <v>1486</v>
      </c>
      <c r="D363" s="181"/>
      <c r="E363" s="181"/>
      <c r="F363" s="121"/>
    </row>
    <row r="364" spans="1:6">
      <c r="A364" s="181" t="s">
        <v>133</v>
      </c>
      <c r="B364" s="181" t="s">
        <v>1499</v>
      </c>
      <c r="C364" s="181" t="s">
        <v>1197</v>
      </c>
      <c r="D364" s="181"/>
      <c r="E364" s="181"/>
      <c r="F364" s="121"/>
    </row>
    <row r="365" spans="1:6">
      <c r="A365" s="181" t="s">
        <v>1502</v>
      </c>
      <c r="B365" s="181" t="s">
        <v>1503</v>
      </c>
      <c r="C365" s="181" t="s">
        <v>1431</v>
      </c>
      <c r="D365" s="181"/>
      <c r="E365" s="181"/>
      <c r="F365" s="121"/>
    </row>
    <row r="366" spans="1:6">
      <c r="A366" s="181" t="s">
        <v>1552</v>
      </c>
      <c r="B366" s="181" t="s">
        <v>1553</v>
      </c>
      <c r="C366" s="181">
        <v>9135</v>
      </c>
      <c r="D366" s="181"/>
      <c r="E366" s="181"/>
      <c r="F366" s="121"/>
    </row>
    <row r="367" spans="1:6">
      <c r="A367" s="181" t="s">
        <v>1555</v>
      </c>
      <c r="B367" s="181" t="s">
        <v>1553</v>
      </c>
      <c r="C367" s="181">
        <v>9744</v>
      </c>
      <c r="D367" s="181"/>
      <c r="E367" s="181"/>
      <c r="F367" s="121"/>
    </row>
    <row r="368" spans="1:6">
      <c r="A368" s="181" t="s">
        <v>1556</v>
      </c>
      <c r="B368" s="181" t="s">
        <v>1557</v>
      </c>
      <c r="C368" s="181">
        <v>160</v>
      </c>
      <c r="D368" s="181"/>
      <c r="E368" s="181"/>
      <c r="F368" s="121"/>
    </row>
    <row r="369" spans="1:6">
      <c r="A369" s="181" t="s">
        <v>1558</v>
      </c>
      <c r="B369" s="181" t="s">
        <v>1554</v>
      </c>
      <c r="C369" s="181">
        <v>974</v>
      </c>
      <c r="D369" s="181"/>
      <c r="E369" s="181"/>
      <c r="F369" s="121"/>
    </row>
    <row r="370" spans="1:6">
      <c r="A370" s="181" t="s">
        <v>1559</v>
      </c>
      <c r="B370" s="181" t="s">
        <v>1161</v>
      </c>
      <c r="C370" s="181" t="s">
        <v>1148</v>
      </c>
      <c r="D370" s="181"/>
      <c r="E370" s="181"/>
      <c r="F370" s="121"/>
    </row>
    <row r="371" spans="1:6">
      <c r="A371" s="181" t="s">
        <v>1561</v>
      </c>
      <c r="B371" s="181" t="s">
        <v>1560</v>
      </c>
      <c r="C371" s="181">
        <v>240</v>
      </c>
      <c r="D371" s="181"/>
      <c r="E371" s="181"/>
    </row>
    <row r="372" spans="1:6">
      <c r="A372" s="181" t="s">
        <v>1562</v>
      </c>
      <c r="B372" s="181" t="s">
        <v>1141</v>
      </c>
      <c r="C372" s="181" t="s">
        <v>1563</v>
      </c>
      <c r="D372" s="181"/>
      <c r="E372" s="181"/>
    </row>
    <row r="373" spans="1:6">
      <c r="A373" s="181" t="s">
        <v>1566</v>
      </c>
      <c r="B373" s="181" t="s">
        <v>1567</v>
      </c>
      <c r="C373" s="181" t="s">
        <v>1568</v>
      </c>
      <c r="D373" s="181"/>
      <c r="E373" s="181"/>
    </row>
    <row r="374" spans="1:6">
      <c r="A374" s="181" t="s">
        <v>1569</v>
      </c>
      <c r="B374" s="181" t="s">
        <v>1570</v>
      </c>
      <c r="C374" s="181" t="s">
        <v>1122</v>
      </c>
      <c r="D374" s="181"/>
      <c r="E374" s="181"/>
    </row>
    <row r="375" spans="1:6">
      <c r="A375" s="181" t="s">
        <v>1582</v>
      </c>
      <c r="B375" s="181" t="s">
        <v>1583</v>
      </c>
      <c r="C375" s="181">
        <v>400</v>
      </c>
      <c r="D375" s="181"/>
      <c r="E375" s="181"/>
    </row>
    <row r="376" spans="1:6">
      <c r="A376" s="181" t="s">
        <v>1584</v>
      </c>
      <c r="B376" s="181" t="s">
        <v>1585</v>
      </c>
      <c r="C376" s="181">
        <v>1</v>
      </c>
      <c r="D376" s="181"/>
      <c r="E376" s="181"/>
    </row>
    <row r="377" spans="1:6">
      <c r="A377" s="181" t="s">
        <v>1587</v>
      </c>
      <c r="B377" s="181" t="s">
        <v>1588</v>
      </c>
      <c r="C377" s="181" t="s">
        <v>1212</v>
      </c>
      <c r="D377" s="181"/>
      <c r="E377" s="181"/>
    </row>
    <row r="378" spans="1:6">
      <c r="A378" s="181" t="s">
        <v>1589</v>
      </c>
      <c r="B378" s="181" t="s">
        <v>1590</v>
      </c>
      <c r="C378" s="181">
        <v>2</v>
      </c>
      <c r="D378" s="181"/>
      <c r="E378" s="181"/>
    </row>
    <row r="379" spans="1:6">
      <c r="A379" s="181" t="s">
        <v>1591</v>
      </c>
      <c r="B379" s="181" t="s">
        <v>1592</v>
      </c>
      <c r="C379" s="181">
        <v>1</v>
      </c>
      <c r="D379" s="181"/>
      <c r="E379" s="181"/>
    </row>
    <row r="380" spans="1:6">
      <c r="A380" s="181" t="s">
        <v>1593</v>
      </c>
      <c r="B380" s="181" t="s">
        <v>1594</v>
      </c>
      <c r="C380" s="181">
        <v>56</v>
      </c>
      <c r="D380" s="181"/>
      <c r="E380" s="181"/>
    </row>
    <row r="381" spans="1:6">
      <c r="A381" s="181" t="s">
        <v>1600</v>
      </c>
      <c r="B381" s="181" t="s">
        <v>1601</v>
      </c>
      <c r="C381" s="181" t="s">
        <v>1402</v>
      </c>
      <c r="D381" s="181"/>
      <c r="E381" s="181"/>
    </row>
    <row r="382" spans="1:6">
      <c r="A382" s="181" t="s">
        <v>1603</v>
      </c>
      <c r="B382" s="181" t="s">
        <v>1604</v>
      </c>
      <c r="C382" s="181">
        <v>430</v>
      </c>
      <c r="D382" s="181"/>
      <c r="E382" s="181"/>
    </row>
    <row r="383" spans="1:6">
      <c r="A383" s="181" t="s">
        <v>1624</v>
      </c>
      <c r="B383" s="181" t="s">
        <v>1625</v>
      </c>
      <c r="C383" s="181">
        <v>72</v>
      </c>
      <c r="D383" s="181"/>
      <c r="E383" s="181"/>
    </row>
    <row r="384" spans="1:6">
      <c r="A384" s="181" t="s">
        <v>1626</v>
      </c>
      <c r="B384" s="181" t="s">
        <v>1627</v>
      </c>
      <c r="C384" s="181">
        <v>108</v>
      </c>
      <c r="D384" s="181"/>
      <c r="E384" s="181"/>
    </row>
    <row r="385" spans="1:6">
      <c r="A385" s="181" t="s">
        <v>1632</v>
      </c>
      <c r="B385" s="181" t="s">
        <v>1633</v>
      </c>
      <c r="C385" s="181">
        <v>810</v>
      </c>
      <c r="D385" s="181"/>
      <c r="E385" s="181"/>
      <c r="F385" s="121"/>
    </row>
    <row r="386" spans="1:6">
      <c r="A386" s="181" t="s">
        <v>1634</v>
      </c>
      <c r="B386" s="181" t="s">
        <v>1633</v>
      </c>
      <c r="C386" s="181">
        <v>830</v>
      </c>
      <c r="D386" s="181"/>
      <c r="E386" s="181"/>
      <c r="F386" s="121"/>
    </row>
    <row r="387" spans="1:6">
      <c r="A387" s="181" t="s">
        <v>1635</v>
      </c>
      <c r="B387" s="181" t="s">
        <v>1633</v>
      </c>
      <c r="C387" s="181">
        <v>782</v>
      </c>
      <c r="D387" s="181"/>
      <c r="E387" s="181"/>
      <c r="F387" s="121"/>
    </row>
    <row r="388" spans="1:6">
      <c r="A388" s="181" t="s">
        <v>1636</v>
      </c>
      <c r="B388" s="181" t="s">
        <v>1161</v>
      </c>
      <c r="C388" s="181" t="s">
        <v>1133</v>
      </c>
      <c r="D388" s="181"/>
      <c r="E388" s="181"/>
      <c r="F388" s="121"/>
    </row>
    <row r="389" spans="1:6">
      <c r="A389" s="181" t="s">
        <v>1638</v>
      </c>
      <c r="B389" s="181" t="s">
        <v>1637</v>
      </c>
      <c r="C389" s="181">
        <v>921</v>
      </c>
      <c r="D389" s="181"/>
      <c r="E389" s="181"/>
      <c r="F389" s="121"/>
    </row>
    <row r="390" spans="1:6">
      <c r="A390" s="181" t="s">
        <v>1639</v>
      </c>
      <c r="B390" s="181" t="s">
        <v>1640</v>
      </c>
      <c r="C390" s="181">
        <v>1315</v>
      </c>
      <c r="D390" s="181"/>
      <c r="E390" s="181"/>
      <c r="F390" s="121"/>
    </row>
    <row r="391" spans="1:6">
      <c r="A391" s="181" t="s">
        <v>1641</v>
      </c>
      <c r="B391" s="181" t="s">
        <v>1640</v>
      </c>
      <c r="C391" s="181">
        <v>1048</v>
      </c>
      <c r="D391" s="181"/>
      <c r="E391" s="181"/>
      <c r="F391" s="121"/>
    </row>
    <row r="392" spans="1:6">
      <c r="A392" s="181" t="s">
        <v>1642</v>
      </c>
      <c r="B392" s="181" t="s">
        <v>1608</v>
      </c>
      <c r="C392" s="181" t="s">
        <v>1172</v>
      </c>
      <c r="D392" s="181"/>
      <c r="E392" s="181"/>
      <c r="F392" s="121"/>
    </row>
    <row r="393" spans="1:6">
      <c r="A393" s="181" t="s">
        <v>1644</v>
      </c>
      <c r="B393" s="181" t="s">
        <v>1643</v>
      </c>
      <c r="C393" s="181">
        <v>350</v>
      </c>
      <c r="D393" s="181"/>
      <c r="E393" s="181"/>
    </row>
    <row r="394" spans="1:6">
      <c r="A394" s="181" t="s">
        <v>1645</v>
      </c>
      <c r="B394" s="181" t="s">
        <v>1180</v>
      </c>
      <c r="C394" s="181" t="s">
        <v>1148</v>
      </c>
      <c r="D394" s="181"/>
      <c r="E394" s="181"/>
    </row>
    <row r="395" spans="1:6">
      <c r="A395" s="181" t="s">
        <v>1647</v>
      </c>
      <c r="B395" s="181" t="s">
        <v>1571</v>
      </c>
      <c r="C395" s="181" t="s">
        <v>1184</v>
      </c>
      <c r="D395" s="181"/>
      <c r="E395" s="181"/>
    </row>
    <row r="396" spans="1:6">
      <c r="A396" s="181" t="s">
        <v>1650</v>
      </c>
      <c r="B396" s="181" t="s">
        <v>1571</v>
      </c>
      <c r="C396" s="181" t="s">
        <v>1166</v>
      </c>
      <c r="D396" s="181"/>
      <c r="E396" s="181"/>
    </row>
    <row r="397" spans="1:6">
      <c r="A397" s="181" t="s">
        <v>1651</v>
      </c>
      <c r="B397" s="181" t="s">
        <v>1652</v>
      </c>
      <c r="C397" s="181">
        <v>394</v>
      </c>
      <c r="D397" s="181"/>
      <c r="E397" s="181"/>
    </row>
    <row r="398" spans="1:6">
      <c r="A398" s="181" t="s">
        <v>1655</v>
      </c>
      <c r="B398" s="181" t="s">
        <v>1633</v>
      </c>
      <c r="C398" s="181">
        <v>810</v>
      </c>
      <c r="D398" s="181"/>
      <c r="E398" s="181"/>
    </row>
    <row r="399" spans="1:6">
      <c r="A399" s="181" t="s">
        <v>1656</v>
      </c>
      <c r="B399" s="181" t="s">
        <v>1633</v>
      </c>
      <c r="C399" s="181">
        <v>820</v>
      </c>
      <c r="D399" s="181"/>
      <c r="E399" s="181"/>
    </row>
    <row r="400" spans="1:6">
      <c r="A400" s="181" t="s">
        <v>1657</v>
      </c>
      <c r="B400" s="181" t="s">
        <v>1637</v>
      </c>
      <c r="C400" s="181">
        <v>937</v>
      </c>
      <c r="D400" s="181"/>
      <c r="E400" s="181"/>
    </row>
    <row r="401" spans="1:6">
      <c r="A401" s="181" t="s">
        <v>1658</v>
      </c>
      <c r="B401" s="181" t="s">
        <v>1637</v>
      </c>
      <c r="C401" s="181">
        <v>937</v>
      </c>
      <c r="D401" s="181"/>
      <c r="E401" s="181"/>
    </row>
    <row r="402" spans="1:6">
      <c r="A402" s="181" t="s">
        <v>1659</v>
      </c>
      <c r="B402" s="181" t="s">
        <v>1640</v>
      </c>
      <c r="C402" s="181">
        <v>1164</v>
      </c>
      <c r="D402" s="181"/>
      <c r="E402" s="181"/>
    </row>
    <row r="403" spans="1:6">
      <c r="A403" s="181" t="s">
        <v>1660</v>
      </c>
      <c r="B403" s="181" t="s">
        <v>1640</v>
      </c>
      <c r="C403" s="181">
        <v>1087</v>
      </c>
      <c r="D403" s="181"/>
      <c r="E403" s="181"/>
    </row>
    <row r="404" spans="1:6">
      <c r="A404" s="181" t="s">
        <v>1661</v>
      </c>
      <c r="B404" s="181" t="s">
        <v>1646</v>
      </c>
      <c r="C404" s="181">
        <v>542</v>
      </c>
      <c r="D404" s="181"/>
      <c r="E404" s="181"/>
    </row>
    <row r="405" spans="1:6">
      <c r="A405" s="181" t="s">
        <v>1662</v>
      </c>
      <c r="B405" s="181" t="s">
        <v>1663</v>
      </c>
      <c r="C405" s="181">
        <v>424</v>
      </c>
      <c r="D405" s="181"/>
      <c r="E405" s="181"/>
    </row>
    <row r="406" spans="1:6">
      <c r="A406" s="181" t="s">
        <v>1670</v>
      </c>
      <c r="B406" s="181" t="s">
        <v>1667</v>
      </c>
      <c r="C406" s="181">
        <v>1050</v>
      </c>
      <c r="D406" s="181"/>
      <c r="E406" s="181"/>
    </row>
    <row r="407" spans="1:6">
      <c r="A407" s="181" t="s">
        <v>1686</v>
      </c>
      <c r="B407" s="181" t="s">
        <v>1571</v>
      </c>
      <c r="C407" s="181" t="s">
        <v>1282</v>
      </c>
      <c r="D407" s="181"/>
      <c r="E407" s="181"/>
    </row>
    <row r="408" spans="1:6">
      <c r="A408" s="181" t="s">
        <v>1722</v>
      </c>
      <c r="B408" s="181" t="s">
        <v>1571</v>
      </c>
      <c r="C408" s="181">
        <v>1025</v>
      </c>
      <c r="D408" s="181"/>
      <c r="E408" s="181"/>
      <c r="F408" s="121"/>
    </row>
    <row r="409" spans="1:6">
      <c r="A409" s="181" t="s">
        <v>1724</v>
      </c>
      <c r="B409" s="181" t="s">
        <v>1571</v>
      </c>
      <c r="C409" s="181">
        <v>1025</v>
      </c>
      <c r="D409" s="181"/>
      <c r="E409" s="181"/>
      <c r="F409" s="121"/>
    </row>
    <row r="410" spans="1:6">
      <c r="A410" s="181" t="s">
        <v>1725</v>
      </c>
      <c r="B410" s="181" t="s">
        <v>1571</v>
      </c>
      <c r="C410" s="181">
        <v>1015</v>
      </c>
      <c r="D410" s="181"/>
      <c r="E410" s="181"/>
      <c r="F410" s="121"/>
    </row>
    <row r="411" spans="1:6">
      <c r="A411" s="181" t="s">
        <v>1755</v>
      </c>
      <c r="B411" s="181" t="s">
        <v>1729</v>
      </c>
      <c r="C411" s="181">
        <v>1005</v>
      </c>
      <c r="D411" s="181"/>
      <c r="E411" s="181"/>
      <c r="F411" s="121"/>
    </row>
    <row r="412" spans="1:6">
      <c r="A412" s="181" t="s">
        <v>1756</v>
      </c>
      <c r="B412" s="181" t="s">
        <v>1141</v>
      </c>
      <c r="C412" s="181" t="s">
        <v>1713</v>
      </c>
      <c r="D412" s="181"/>
      <c r="E412" s="181"/>
      <c r="F412" s="121"/>
    </row>
    <row r="413" spans="1:6">
      <c r="A413" s="181" t="s">
        <v>1766</v>
      </c>
      <c r="B413" s="181" t="s">
        <v>1264</v>
      </c>
      <c r="C413" s="181" t="s">
        <v>1473</v>
      </c>
      <c r="D413" s="181"/>
      <c r="E413" s="181"/>
      <c r="F413" s="121"/>
    </row>
    <row r="414" spans="1:6">
      <c r="A414" s="181" t="s">
        <v>1768</v>
      </c>
      <c r="B414" s="181" t="s">
        <v>1767</v>
      </c>
      <c r="C414" s="181" t="s">
        <v>1378</v>
      </c>
      <c r="D414" s="181"/>
      <c r="E414" s="181"/>
      <c r="F414" s="121"/>
    </row>
    <row r="415" spans="1:6">
      <c r="A415" s="181" t="s">
        <v>142</v>
      </c>
      <c r="B415" s="181" t="s">
        <v>1460</v>
      </c>
      <c r="C415" s="181">
        <v>1025</v>
      </c>
      <c r="D415" s="181"/>
      <c r="E415" s="181"/>
      <c r="F415" s="121"/>
    </row>
    <row r="416" spans="1:6">
      <c r="A416" s="181" t="s">
        <v>1826</v>
      </c>
      <c r="B416" s="181" t="s">
        <v>1459</v>
      </c>
      <c r="C416" s="181">
        <v>1025</v>
      </c>
      <c r="D416" s="181"/>
      <c r="E416" s="181"/>
      <c r="F416" s="121"/>
    </row>
    <row r="417" spans="1:5">
      <c r="A417" s="181" t="s">
        <v>1827</v>
      </c>
      <c r="B417" s="181" t="s">
        <v>1460</v>
      </c>
      <c r="C417" s="181">
        <v>1100</v>
      </c>
      <c r="D417" s="181"/>
      <c r="E417" s="181"/>
    </row>
    <row r="418" spans="1:5">
      <c r="A418" s="181" t="s">
        <v>1876</v>
      </c>
      <c r="B418" s="181" t="s">
        <v>1877</v>
      </c>
      <c r="C418" s="181">
        <v>1005</v>
      </c>
      <c r="D418" s="181"/>
      <c r="E418" s="181"/>
    </row>
    <row r="419" spans="1:5">
      <c r="A419" s="181" t="s">
        <v>1964</v>
      </c>
      <c r="B419" s="181" t="s">
        <v>1571</v>
      </c>
      <c r="C419" s="181" t="s">
        <v>1235</v>
      </c>
      <c r="D419" s="181"/>
      <c r="E419" s="181"/>
    </row>
    <row r="420" spans="1:5">
      <c r="A420" s="181" t="s">
        <v>1965</v>
      </c>
      <c r="B420" s="181" t="s">
        <v>1571</v>
      </c>
      <c r="C420" s="181">
        <v>4478</v>
      </c>
      <c r="D420" s="181"/>
      <c r="E420" s="181"/>
    </row>
    <row r="421" spans="1:5">
      <c r="A421" s="181" t="s">
        <v>1995</v>
      </c>
      <c r="B421" s="181" t="s">
        <v>1108</v>
      </c>
      <c r="C421" s="181" t="s">
        <v>1124</v>
      </c>
      <c r="D421" s="181"/>
      <c r="E421" s="181"/>
    </row>
    <row r="422" spans="1:5">
      <c r="A422" s="181" t="s">
        <v>1996</v>
      </c>
      <c r="B422" s="181" t="s">
        <v>1108</v>
      </c>
      <c r="C422" s="181" t="s">
        <v>1997</v>
      </c>
      <c r="D422" s="181"/>
      <c r="E422" s="181"/>
    </row>
    <row r="423" spans="1:5">
      <c r="A423" s="181" t="s">
        <v>1998</v>
      </c>
      <c r="B423" s="181" t="s">
        <v>1857</v>
      </c>
      <c r="C423" s="181">
        <v>200</v>
      </c>
      <c r="D423" s="181"/>
      <c r="E423" s="181"/>
    </row>
    <row r="424" spans="1:5">
      <c r="A424" s="181" t="s">
        <v>2030</v>
      </c>
      <c r="B424" s="181" t="s">
        <v>2031</v>
      </c>
      <c r="C424" s="181">
        <v>103</v>
      </c>
      <c r="D424" s="181"/>
      <c r="E424" s="181"/>
    </row>
    <row r="425" spans="1:5">
      <c r="A425" s="181" t="s">
        <v>2037</v>
      </c>
      <c r="B425" s="181" t="s">
        <v>2038</v>
      </c>
      <c r="C425" s="181" t="s">
        <v>2039</v>
      </c>
      <c r="D425" s="181" t="s">
        <v>2021</v>
      </c>
      <c r="E425" s="181"/>
    </row>
    <row r="426" spans="1:5">
      <c r="A426" s="181" t="s">
        <v>2041</v>
      </c>
      <c r="B426" s="181" t="s">
        <v>2038</v>
      </c>
      <c r="C426" s="181" t="s">
        <v>2029</v>
      </c>
      <c r="D426" s="181" t="s">
        <v>2021</v>
      </c>
      <c r="E426" s="181"/>
    </row>
    <row r="427" spans="1:5">
      <c r="A427" s="181" t="s">
        <v>2045</v>
      </c>
      <c r="B427" s="181" t="s">
        <v>2040</v>
      </c>
      <c r="C427" s="181" t="s">
        <v>1124</v>
      </c>
      <c r="D427" s="181"/>
      <c r="E427" s="181"/>
    </row>
    <row r="428" spans="1:5">
      <c r="A428" s="181" t="s">
        <v>2072</v>
      </c>
      <c r="B428" s="181" t="s">
        <v>2028</v>
      </c>
      <c r="C428" s="181" t="s">
        <v>1360</v>
      </c>
      <c r="D428" s="181" t="s">
        <v>2022</v>
      </c>
      <c r="E428" s="181"/>
    </row>
    <row r="429" spans="1:5">
      <c r="A429" s="181" t="s">
        <v>2080</v>
      </c>
      <c r="B429" s="181" t="s">
        <v>2049</v>
      </c>
      <c r="C429" s="181" t="s">
        <v>1172</v>
      </c>
      <c r="D429" s="181"/>
      <c r="E429" s="181"/>
    </row>
    <row r="430" spans="1:5">
      <c r="A430" s="181" t="s">
        <v>2156</v>
      </c>
      <c r="B430" s="181" t="s">
        <v>2157</v>
      </c>
      <c r="C430" s="181" t="s">
        <v>1297</v>
      </c>
      <c r="D430" s="181"/>
      <c r="E430" s="181"/>
    </row>
    <row r="431" spans="1:5">
      <c r="A431" s="181" t="s">
        <v>2183</v>
      </c>
      <c r="B431" s="181" t="s">
        <v>2168</v>
      </c>
      <c r="C431" s="181" t="s">
        <v>1134</v>
      </c>
      <c r="D431" s="181"/>
      <c r="E431" s="181"/>
    </row>
    <row r="432" spans="1:5">
      <c r="A432" s="181" t="s">
        <v>2186</v>
      </c>
      <c r="B432" s="181" t="s">
        <v>2168</v>
      </c>
      <c r="C432" s="181" t="s">
        <v>1134</v>
      </c>
      <c r="D432" s="181"/>
      <c r="E432" s="181"/>
    </row>
    <row r="433" spans="1:5">
      <c r="A433" s="181" t="s">
        <v>2187</v>
      </c>
      <c r="B433" s="181" t="s">
        <v>2185</v>
      </c>
      <c r="C433" s="181" t="s">
        <v>1467</v>
      </c>
      <c r="D433" s="181"/>
      <c r="E433" s="181"/>
    </row>
    <row r="434" spans="1:5">
      <c r="A434" s="181" t="s">
        <v>2188</v>
      </c>
      <c r="B434" s="181" t="s">
        <v>2184</v>
      </c>
      <c r="C434" s="181" t="s">
        <v>1736</v>
      </c>
      <c r="D434" s="181"/>
      <c r="E434" s="181"/>
    </row>
    <row r="435" spans="1:5">
      <c r="A435" s="181" t="s">
        <v>2189</v>
      </c>
      <c r="B435" s="181" t="s">
        <v>2185</v>
      </c>
      <c r="C435" s="181" t="s">
        <v>1467</v>
      </c>
      <c r="D435" s="181"/>
      <c r="E435" s="181"/>
    </row>
    <row r="436" spans="1:5">
      <c r="A436" s="181" t="s">
        <v>2190</v>
      </c>
      <c r="B436" s="181" t="s">
        <v>2184</v>
      </c>
      <c r="C436" s="181" t="s">
        <v>1736</v>
      </c>
      <c r="D436" s="181"/>
      <c r="E436" s="181"/>
    </row>
    <row r="437" spans="1:5">
      <c r="A437" s="181" t="s">
        <v>2304</v>
      </c>
      <c r="B437" s="181" t="s">
        <v>2150</v>
      </c>
      <c r="C437" s="181" t="s">
        <v>1245</v>
      </c>
      <c r="D437" s="181"/>
      <c r="E437" s="181" t="s">
        <v>2151</v>
      </c>
    </row>
    <row r="438" spans="1:5">
      <c r="A438" s="181" t="s">
        <v>2306</v>
      </c>
      <c r="B438" s="181" t="s">
        <v>2307</v>
      </c>
      <c r="C438" s="181" t="s">
        <v>1321</v>
      </c>
      <c r="D438" s="181"/>
      <c r="E438" s="181"/>
    </row>
    <row r="439" spans="1:5">
      <c r="A439" s="181" t="s">
        <v>2310</v>
      </c>
      <c r="B439" s="181" t="s">
        <v>2155</v>
      </c>
      <c r="C439" s="181">
        <v>10</v>
      </c>
      <c r="D439" s="181"/>
      <c r="E439" s="181"/>
    </row>
    <row r="440" spans="1:5">
      <c r="A440" s="181" t="s">
        <v>2311</v>
      </c>
      <c r="B440" s="181" t="s">
        <v>2307</v>
      </c>
      <c r="C440" s="181" t="s">
        <v>1138</v>
      </c>
      <c r="D440" s="181"/>
      <c r="E440" s="181"/>
    </row>
    <row r="441" spans="1:5">
      <c r="A441" s="181" t="s">
        <v>2356</v>
      </c>
      <c r="B441" s="181" t="s">
        <v>2307</v>
      </c>
      <c r="C441" s="181" t="s">
        <v>1320</v>
      </c>
      <c r="D441" s="181"/>
      <c r="E441" s="181"/>
    </row>
    <row r="442" spans="1:5">
      <c r="A442" s="181" t="s">
        <v>2361</v>
      </c>
      <c r="B442" s="181" t="s">
        <v>2362</v>
      </c>
      <c r="C442" s="181"/>
      <c r="D442" s="181"/>
      <c r="E442" s="181"/>
    </row>
    <row r="443" spans="1:5">
      <c r="A443" s="181" t="s">
        <v>2363</v>
      </c>
      <c r="B443" s="181" t="s">
        <v>2364</v>
      </c>
      <c r="C443" s="181"/>
      <c r="D443" s="181"/>
      <c r="E443" s="181"/>
    </row>
    <row r="444" spans="1:5">
      <c r="A444" s="181" t="s">
        <v>2365</v>
      </c>
      <c r="B444" s="181" t="s">
        <v>2366</v>
      </c>
      <c r="C444" s="181"/>
      <c r="D444" s="181"/>
      <c r="E444" s="181"/>
    </row>
    <row r="445" spans="1:5">
      <c r="A445" s="181" t="s">
        <v>2367</v>
      </c>
      <c r="B445" s="181" t="s">
        <v>1108</v>
      </c>
      <c r="C445" s="181"/>
      <c r="D445" s="181"/>
      <c r="E445" s="181"/>
    </row>
    <row r="446" spans="1:5">
      <c r="A446" s="181" t="s">
        <v>2368</v>
      </c>
      <c r="B446" s="181" t="s">
        <v>2369</v>
      </c>
      <c r="C446" s="181"/>
      <c r="D446" s="181"/>
      <c r="E446" s="181"/>
    </row>
    <row r="447" spans="1:5">
      <c r="A447" s="181" t="s">
        <v>2370</v>
      </c>
      <c r="B447" s="181" t="s">
        <v>1108</v>
      </c>
      <c r="C447" s="181"/>
      <c r="D447" s="181"/>
      <c r="E447" s="181"/>
    </row>
    <row r="448" spans="1:5">
      <c r="A448" s="181" t="s">
        <v>2371</v>
      </c>
      <c r="B448" s="181" t="s">
        <v>2372</v>
      </c>
      <c r="C448" s="181"/>
      <c r="D448" s="181"/>
      <c r="E448" s="181"/>
    </row>
    <row r="449" spans="1:5">
      <c r="A449" s="181" t="s">
        <v>2373</v>
      </c>
      <c r="B449" s="181" t="s">
        <v>2374</v>
      </c>
      <c r="C449" s="181"/>
      <c r="D449" s="181"/>
      <c r="E449" s="181"/>
    </row>
    <row r="450" spans="1:5">
      <c r="A450" s="181" t="s">
        <v>2375</v>
      </c>
      <c r="B450" s="181" t="s">
        <v>1108</v>
      </c>
      <c r="C450" s="181"/>
      <c r="D450" s="181"/>
      <c r="E450" s="181"/>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4785" r:id="rId4" name="Button 1">
              <controlPr defaultSize="0" print="0" autoFill="0" autoPict="0" macro="[0]!LaymayTC">
                <anchor moveWithCells="1" sizeWithCells="1">
                  <from>
                    <xdr:col>6</xdr:col>
                    <xdr:colOff>66675</xdr:colOff>
                    <xdr:row>0</xdr:row>
                    <xdr:rowOff>9525</xdr:rowOff>
                  </from>
                  <to>
                    <xdr:col>7</xdr:col>
                    <xdr:colOff>57150</xdr:colOff>
                    <xdr:row>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0">
    <tabColor rgb="FFFF0000"/>
  </sheetPr>
  <dimension ref="A1:I10"/>
  <sheetViews>
    <sheetView workbookViewId="0">
      <selection activeCell="I11" sqref="I11"/>
    </sheetView>
  </sheetViews>
  <sheetFormatPr defaultRowHeight="16.5"/>
  <cols>
    <col min="2" max="5" width="11.109375" bestFit="1" customWidth="1"/>
    <col min="6" max="6" width="11.44140625" bestFit="1" customWidth="1"/>
    <col min="7" max="8" width="11.109375" bestFit="1" customWidth="1"/>
    <col min="9" max="9" width="11.44140625" bestFit="1" customWidth="1"/>
  </cols>
  <sheetData>
    <row r="1" spans="1:9">
      <c r="A1" s="1317" t="s">
        <v>427</v>
      </c>
      <c r="B1" s="1317"/>
      <c r="C1" s="1317"/>
      <c r="D1" s="1317" t="s">
        <v>430</v>
      </c>
      <c r="E1" s="1317"/>
      <c r="F1" s="1317"/>
      <c r="G1" s="1317" t="s">
        <v>428</v>
      </c>
      <c r="H1" s="1317"/>
      <c r="I1" s="1317"/>
    </row>
    <row r="2" spans="1:9">
      <c r="A2" s="31" t="s">
        <v>21</v>
      </c>
      <c r="B2" s="31" t="s">
        <v>164</v>
      </c>
      <c r="C2" s="31" t="s">
        <v>165</v>
      </c>
      <c r="D2" s="31" t="s">
        <v>164</v>
      </c>
      <c r="E2" s="31" t="s">
        <v>165</v>
      </c>
      <c r="F2" s="31" t="s">
        <v>429</v>
      </c>
      <c r="G2" s="31" t="s">
        <v>164</v>
      </c>
      <c r="H2" s="31" t="s">
        <v>165</v>
      </c>
      <c r="I2" s="31" t="s">
        <v>429</v>
      </c>
    </row>
    <row r="3" spans="1:9">
      <c r="A3" s="32">
        <v>1</v>
      </c>
      <c r="B3" s="107">
        <v>0.31597222222222221</v>
      </c>
      <c r="C3" s="107">
        <f t="shared" ref="C3:C9" si="0">B3+40/(60*24)</f>
        <v>0.34375</v>
      </c>
      <c r="D3" s="108">
        <f ca="1">B7+RANDBETWEEN(0,1)*10/(60*24)</f>
        <v>0.56944444444444442</v>
      </c>
      <c r="E3" s="108">
        <f t="shared" ref="E3:E10" ca="1" si="1">D3+40/(60*24)</f>
        <v>0.59722222222222221</v>
      </c>
      <c r="F3" s="109" t="str">
        <f ca="1">TEXT(HOUR(D3),"00")&amp;"h"&amp;TEXT(MINUTE(D3),"00")&amp;"-"&amp;TEXT(HOUR(E3),"00")&amp;"h"&amp;TEXT(MINUTE(E3),"00")</f>
        <v>13h40-14h20</v>
      </c>
      <c r="G3" s="110">
        <f ca="1">B3+RANDBETWEEN(0,1)*10/(60*24)</f>
        <v>0.32291666666666663</v>
      </c>
      <c r="H3" s="110">
        <f t="shared" ref="H3:H10" ca="1" si="2">G3+40/(60*24)</f>
        <v>0.35069444444444442</v>
      </c>
      <c r="I3" s="109" t="str">
        <f t="shared" ref="I3:I10" ca="1" si="3">TEXT(HOUR(G3),"00")&amp;"h"&amp;TEXT(MINUTE(G3),"00")&amp;"-"&amp;TEXT(HOUR(H3),"00")&amp;"h"&amp;TEXT(MINUTE(H3),"00")</f>
        <v>07h45-08h25</v>
      </c>
    </row>
    <row r="4" spans="1:9">
      <c r="A4" s="33">
        <v>2</v>
      </c>
      <c r="B4" s="101">
        <f>C3+15/(60*24)</f>
        <v>0.35416666666666669</v>
      </c>
      <c r="C4" s="101">
        <f t="shared" si="0"/>
        <v>0.38194444444444448</v>
      </c>
      <c r="D4" s="102">
        <f ca="1">B8+(RANDBETWEEN(0,1)*10+10)/(60*24)</f>
        <v>0.60416666666666663</v>
      </c>
      <c r="E4" s="102">
        <f t="shared" ca="1" si="1"/>
        <v>0.63194444444444442</v>
      </c>
      <c r="F4" s="85" t="str">
        <f ca="1">TEXT(HOUR(D4),"00")&amp;"h"&amp;TEXT(MINUTE(D4),"00")&amp;"-"&amp;TEXT(HOUR(E4),"00")&amp;"h"&amp;TEXT(MINUTE(E4),"00")</f>
        <v>14h30-15h10</v>
      </c>
      <c r="G4" s="103">
        <f t="shared" ref="G4:G10" ca="1" si="4">B4+RANDBETWEEN(0,1)*10/(60*24)</f>
        <v>0.3611111111111111</v>
      </c>
      <c r="H4" s="103">
        <f t="shared" ca="1" si="2"/>
        <v>0.3888888888888889</v>
      </c>
      <c r="I4" s="85" t="str">
        <f t="shared" ca="1" si="3"/>
        <v>08h40-09h20</v>
      </c>
    </row>
    <row r="5" spans="1:9">
      <c r="A5" s="33">
        <v>3</v>
      </c>
      <c r="B5" s="101">
        <f>C4+15/(60*24)</f>
        <v>0.39236111111111116</v>
      </c>
      <c r="C5" s="101">
        <f t="shared" si="0"/>
        <v>0.42013888888888895</v>
      </c>
      <c r="D5" s="102">
        <f ca="1">B9+(RANDBETWEEN(0,1)*10+10)/(60*24)</f>
        <v>0.64583333333333326</v>
      </c>
      <c r="E5" s="102">
        <f t="shared" ca="1" si="1"/>
        <v>0.67361111111111105</v>
      </c>
      <c r="F5" s="85" t="str">
        <f t="shared" ref="F5:F10" ca="1" si="5">TEXT(HOUR(D5),"00")&amp;"h"&amp;TEXT(MINUTE(D5),"00")&amp;"-"&amp;TEXT(HOUR(E5),"00")&amp;"h"&amp;TEXT(MINUTE(E5),"00")</f>
        <v>15h30-16h10</v>
      </c>
      <c r="G5" s="103">
        <f t="shared" ca="1" si="4"/>
        <v>0.39930555555555558</v>
      </c>
      <c r="H5" s="103">
        <f t="shared" ca="1" si="2"/>
        <v>0.42708333333333337</v>
      </c>
      <c r="I5" s="85" t="str">
        <f t="shared" ca="1" si="3"/>
        <v>09h35-10h15</v>
      </c>
    </row>
    <row r="6" spans="1:9">
      <c r="A6" s="33">
        <v>4</v>
      </c>
      <c r="B6" s="101">
        <f>C5+15/(60*24)</f>
        <v>0.43055555555555564</v>
      </c>
      <c r="C6" s="101">
        <f t="shared" si="0"/>
        <v>0.45833333333333343</v>
      </c>
      <c r="D6" s="102">
        <f ca="1">B10+(RANDBETWEEN(0,1)*10+10)/(60*24)</f>
        <v>0.68055555555555547</v>
      </c>
      <c r="E6" s="102">
        <f t="shared" ca="1" si="1"/>
        <v>0.70833333333333326</v>
      </c>
      <c r="F6" s="85" t="str">
        <f t="shared" ca="1" si="5"/>
        <v>16h20-17h00</v>
      </c>
      <c r="G6" s="103">
        <f t="shared" ca="1" si="4"/>
        <v>0.43055555555555564</v>
      </c>
      <c r="H6" s="103">
        <f t="shared" ca="1" si="2"/>
        <v>0.45833333333333343</v>
      </c>
      <c r="I6" s="85" t="str">
        <f t="shared" ca="1" si="3"/>
        <v>10h20-11h00</v>
      </c>
    </row>
    <row r="7" spans="1:9">
      <c r="A7" s="33">
        <v>5</v>
      </c>
      <c r="B7" s="101">
        <v>0.5625</v>
      </c>
      <c r="C7" s="101">
        <f t="shared" si="0"/>
        <v>0.59027777777777779</v>
      </c>
      <c r="D7" s="102">
        <f ca="1">B3+(RANDBETWEEN(0,1)*10+10)/(60*24)</f>
        <v>0.3298611111111111</v>
      </c>
      <c r="E7" s="102">
        <f t="shared" ca="1" si="1"/>
        <v>0.3576388888888889</v>
      </c>
      <c r="F7" s="85" t="str">
        <f t="shared" ca="1" si="5"/>
        <v>07h55-08h35</v>
      </c>
      <c r="G7" s="103">
        <f t="shared" ca="1" si="4"/>
        <v>0.56944444444444442</v>
      </c>
      <c r="H7" s="103">
        <f t="shared" ca="1" si="2"/>
        <v>0.59722222222222221</v>
      </c>
      <c r="I7" s="85" t="str">
        <f t="shared" ca="1" si="3"/>
        <v>13h40-14h20</v>
      </c>
    </row>
    <row r="8" spans="1:9">
      <c r="A8" s="33">
        <v>6</v>
      </c>
      <c r="B8" s="101">
        <f>C7+10/(60*24)</f>
        <v>0.59722222222222221</v>
      </c>
      <c r="C8" s="101">
        <f t="shared" si="0"/>
        <v>0.625</v>
      </c>
      <c r="D8" s="102">
        <f ca="1">B4+(RANDBETWEEN(0,1)*10+10)/(60*24)</f>
        <v>0.36805555555555558</v>
      </c>
      <c r="E8" s="102">
        <f t="shared" ca="1" si="1"/>
        <v>0.39583333333333337</v>
      </c>
      <c r="F8" s="85" t="str">
        <f t="shared" ca="1" si="5"/>
        <v>08h50-09h30</v>
      </c>
      <c r="G8" s="103">
        <f t="shared" ca="1" si="4"/>
        <v>0.59722222222222221</v>
      </c>
      <c r="H8" s="103">
        <f t="shared" ca="1" si="2"/>
        <v>0.625</v>
      </c>
      <c r="I8" s="85" t="str">
        <f t="shared" ca="1" si="3"/>
        <v>14h20-15h00</v>
      </c>
    </row>
    <row r="9" spans="1:9">
      <c r="A9" s="33">
        <v>7</v>
      </c>
      <c r="B9" s="101">
        <f>C8+10/(60*24)</f>
        <v>0.63194444444444442</v>
      </c>
      <c r="C9" s="101">
        <f t="shared" si="0"/>
        <v>0.65972222222222221</v>
      </c>
      <c r="D9" s="102">
        <f ca="1">B6+(RANDBETWEEN(0,1)*10+10)/(60*24)</f>
        <v>0.43750000000000006</v>
      </c>
      <c r="E9" s="102">
        <f t="shared" ca="1" si="1"/>
        <v>0.46527777777777785</v>
      </c>
      <c r="F9" s="85" t="str">
        <f t="shared" ca="1" si="5"/>
        <v>10h30-11h10</v>
      </c>
      <c r="G9" s="103">
        <f t="shared" ca="1" si="4"/>
        <v>0.63194444444444442</v>
      </c>
      <c r="H9" s="103">
        <f t="shared" ca="1" si="2"/>
        <v>0.65972222222222221</v>
      </c>
      <c r="I9" s="85" t="str">
        <f t="shared" ca="1" si="3"/>
        <v>15h10-15h50</v>
      </c>
    </row>
    <row r="10" spans="1:9">
      <c r="A10" s="34">
        <v>8</v>
      </c>
      <c r="B10" s="104">
        <f>C9+10/(60*24)</f>
        <v>0.66666666666666663</v>
      </c>
      <c r="C10" s="104">
        <f>B10+30/(60*24)</f>
        <v>0.6875</v>
      </c>
      <c r="D10" s="105">
        <f ca="1">B6+(RANDBETWEEN(0,1)*10+10)/(60*24)</f>
        <v>0.44444444444444453</v>
      </c>
      <c r="E10" s="105">
        <f t="shared" ca="1" si="1"/>
        <v>0.47222222222222232</v>
      </c>
      <c r="F10" s="86" t="str">
        <f t="shared" ca="1" si="5"/>
        <v>10h40-11h20</v>
      </c>
      <c r="G10" s="106">
        <f t="shared" ca="1" si="4"/>
        <v>0.66666666666666663</v>
      </c>
      <c r="H10" s="106">
        <f t="shared" ca="1" si="2"/>
        <v>0.69444444444444442</v>
      </c>
      <c r="I10" s="86" t="str">
        <f t="shared" ca="1" si="3"/>
        <v>16h00-16h40</v>
      </c>
    </row>
  </sheetData>
  <mergeCells count="3">
    <mergeCell ref="A1:C1"/>
    <mergeCell ref="D1:F1"/>
    <mergeCell ref="G1:I1"/>
  </mergeCells>
  <pageMargins left="0.7" right="0.7" top="0.75" bottom="0.75" header="0.3" footer="0.3"/>
</worksheet>
</file>

<file path=customUI/customUI.xml><?xml version="1.0" encoding="utf-8"?>
<customUI xmlns="http://schemas.microsoft.com/office/2006/01/customui">
  <ribbon startFromScratch="false">
    <tabs>
      <tab id="Tab1" label="Hồ sơ QLCL-CT">
        <group id="Group1">
          <button id="Taomoi" onAction="TaoCongtrinhmoi" label="Tạo file mới" imageMso="FileNew" size="large"/>
        </group>
        <group id="Group2">
          <menu id="Dulieu" label="Dữ liệu" imageMso="DatabaseCopyDatabaseFile" size="large" itemSize="large">
            <button id="MaCV" onAction="onAction" label="Mã công việc" imageMso="CreateLabels"/>
            <button id="TCNT" onAction="onAction" label="Tiêu chuẩn nghiệm thu" imageMso="CreateLabels"/>
            <button id="MaTN" onAction="onAction" label="Mã thí nghiệm" imageMso="CreateLabels"/>
            <button id="KQTN" onAction="onAction" label="Kết quả thí nghiệm" imageMso="CreateLabels"/>
            <button id="tbDinhmuc" onAction="onAction" label="Định mức" imageMso="CreateLabels"/>
            <button id="tbGiaCamay" onAction="onAction" label="Danh mục máy thi công" imageMso="CreateLabels"/>
            <button id="tbTHmay" onAction="onAction" label="Định mức máy thi công" imageMso="CreateLabels"/>
            <button id="Config" onAction="onAction" label="Khung giờ nghiệm thu" imageMso="CreateLabels"/>
            <button id="Tam" onAction="onAction" label="Linh tinh" imageMso="CreateLabels"/>
          </menu>
        </group>
        <group id="Group3" label="Thông tin công trình">
          <button id="Thongtin" onAction="onAction" label="Thông tin chung" imageMso="FunctionsRecentlyUsedtInsertGallery" size="large"/>
          <menu id="Group5.1" label="Thời tiết" imageMso="PictureBrightnessGallery" size="large" itemSize="large">
            <button id="Tb_Thoitiet" onAction="onAction" label="Thời tiết thi công" imageMso="PictureBrightnessGallery"/>
            <button id="Group5.3" onAction="Capnhatthoitiet" label="Cập nhật thời tiết" imageMso="TableIndexes"/>
            <button id="DataWeather" onAction="onAction" label="Trạm quan trắc" imageMso="ShowTimeZones"/>
          </menu>
          <menu id="Dauvao" label="Dữ liệu công trình" imageMso="FormulaMoreFunctionsMenu" size="large" itemSize="normal">
            <button id="TPCPBT" onAction="onAction" label="Dữ liệu cấp phối" imageMso="AccessTableTasks"/>
            <button id="TbVatlieu" onAction="onAction" label="Dữ liệu vật liệu" imageMso="FormulaMoreFunctionsMenu"/>
            <button id="Vatlieu" onAction="onAction" label="Bảng thống kê vật liệu" imageMso="AddOrRemoveAttendees"/>
            <button id="TbKTHH_HM" onAction="onAction" label="Dữ liệu KTHH đào đất hố móng" imageMso="FormulaMoreFunctionsMenu"/>
            <button id="TbKTHH_Dap" onAction="onAction" label="Dữ liệu KTHH đắp đất" imageMso="FormulaMoreFunctionsMenu"/>
            <button id="TbKTHH_Cp" onAction="onAction" label="Dữ liệu cốt pha" imageMso="FormulaMoreFunctionsMenu"/>
            <button id="TbKTHH_Ct" onAction="onAction" label="Dữ liệu cốt thép" imageMso="FormulaMoreFunctionsMenu"/>
            <button id="TbKTHH_BT" onAction="onAction" label="Dữ liệu KTHH bê tông" imageMso="FormulaMoreFunctionsMenu"/>
          </menu>
        </group>
        <group id="Group6" label="Nhật trình thi công">
          <button id="Nhattrinh" onAction="onAction" label="Nhật trình" imageMso="OpenStartPage" size="large"/>
          <button id="Group6.2" onAction="Kiemtrangay" label="Kiểm tra ngày" imageMso="ZoomToSelection" size="normal"/>
          <menu id="Group6.3" label="Xuất biên bản" imageMso="MicrosoftVisualFoxPro" size="normal" itemSize="large">
            <button id="Group6.4" onAction="Xuattheohangmuc" label="Xuất theo hạng mục" imageMso="ReviewReplyWithChanges"/>
            <button id="Group6.5" onAction="Xuattheongaythang" label="Xuất theo thứ tự ngày tháng" imageMso="SlideShowRehearseTimings"/>
          </menu>
          <button id="Group6.6" onAction="Xuatdulieunhatky" label="Xuất nhật ký" imageMso="ShapeOutlineColorPicker" size="normal"/>
        </group>
        <group id="Group8" label="Biên bản nghiệm thu">
          <menu id="Group8.1" label="List Biên bản" imageMso="FunctionsDateTimeInsertGallery" size="large" itemSize="normal">
            <button id="ListVlieu" onAction="onAction" label="List biên bản V.liệu" imageMso="GoLeftToRight"/>
            <button id="ListBBCV" onAction="onAction" label="List biên bản CV" imageMso="GoLeftToRight"/>
            <button id="ListBBHT" onAction="onAction" label="List biên bản HT" imageMso="GoLeftToRight"/>
            <button id="LIST_BBKT_HM" onAction="onAction" label="List BBKT đào đất" imageMso="GoLeftToRight"/>
            <button id="LIST_BBKT_DAP" onAction="onAction" label="List BBKT đắp đất" imageMso="GoLeftToRight"/>
            <button id="LIST_BBKT_VK" onAction="onAction" label="List BBKT ván khuôn" imageMso="GoLeftToRight"/>
            <button id="LIST_BBKT_CT" onAction="onAction" label="List BBKT cốt thép" imageMso="GoLeftToRight"/>
            <button id="lIST_DKDBT" onAction="onAction" label="List BBKT điều kiện đổ bê tông" imageMso="GoLeftToRight"/>
            <button id="LIST_PHIEU_BT" onAction="onAction" label="List BBKT theo dõi đổ bê tông" imageMso="GoLeftToRight"/>
            <button id="LIST_THAO_VK" onAction="onAction" label="List BBKT bề mặt bê tông sau tháo ván khuôn" imageMso="GoLeftToRight"/>
            <button id="LIST_bbkt_bt" onAction="onAction" label="List BBKT bê tông" imageMso="GoLeftToRight"/>
            <button id="ListTNVL" onAction="onAction" label="List thí nghiệm vật liệu" imageMso="LookUp"/>
            <button id="ListTNBT" onAction="onAction" label="List thí nghiệm bê tông và vữa" imageMso="LookUp"/>
            <button id="ListTNkhac" onAction="onAction" label="List thí nghiệm khác" imageMso="LookUp"/>
          </menu>
          <menu id="Bienban" label="Biên bản" imageMso="FunctionsFinancialInsertGallery" size="large" itemSize="normal">
            <button id="DanhmucBBCV" onAction="onAction" label="Danh mục biên bản nghiệm thu" imageMso="AccountMenu"/>
            <button id="BienbanVatlieu" onAction="onAction" label="Biên bản NT V.liệu" imageMso="GoLeftToRight"/>
            <button id="BienbanCVXD" onAction="onAction" label="Biên bản NT CVXD" imageMso="GoLeftToRight"/>
            <button id="BienbanHT" onAction="onAction" label="Biên bản NT HTHM" imageMso="GoLeftToRight"/>
            <button id="BBKT_Homong" onAction="onAction" label="Biên bản kiểm tra đào đất hố móng" imageMso="GoLeftToRight"/>
            <button id="BBKT_Dap" onAction="onAction" label="Biên bản kiểm tra đắp đất" imageMso="GoLeftToRight"/>
            <button id="BBKT_VK" onAction="onAction" label="Biện bản kiểm tra ván khuôn" imageMso="GoLeftToRight"/>
            <button id="BBKT_CT" onAction="onAction" label="Biên bản kiểm tra cốt thép" imageMso="GoLeftToRight"/>
            <button id="BBKT_DKDBT" onAction="onAction" label="Biên bản kiểm tra điều kiện đổ bê tông" imageMso="GoLeftToRight"/>
            <button id="PHIEU_BT" onAction="onAction" label="Biên bản kiểm tra đổ bê tông" imageMso="GoLeftToRight"/>
            <button id="THAO_VK" onAction="onAction" label="Biên bản kiểm tra bề mặt bê tông sau khi tháo ván khuôn" imageMso="GoLeftToRight"/>
            <button id="BBKT_KTHHBT" onAction="onAction" label="Biên bản kiểm tra kích thước hình học bê tông" imageMso="GoLeftToRight"/>
            <button id="BBLMVL" onAction="onAction" label="Biên bản lấy thí nghiệmghiệm vật liệu" imageMso="BusinessCardInsertMenu"/>
            <button id="BBLMBT" onAction="onAction" label="Biên bản lấy mẫu thí nghiệm bê tông và vữa" imageMso="BusinessCardInsertMenu"/>
            <button id="BBLMKhac" onAction="onAction" label="Biên bản lấy mẫu thí nghiệm khác" imageMso="BusinessCardInsertMenu"/>
          </menu>
        </group>
        <group id="Tacfile" label="Tách dữ liệu">
          <button id="Group9.1" onAction="TachListBBCVtoWord" label="Tách list NTCV" imageMso="ExportExcel" size="normal"/>
          <button id="Group9.2" onAction="TachListBBHT" label="Tách List HT" imageMso="ExportExcel" size="normal"/>
          <button id="Group9.3" onAction="TachListTN" label="Tách list TN" imageMso="ExportExcel" size="normal"/>
        </group>
        <group id="BBkhac">
          <menu id="CacBBkhac" label="Các biên bản khác" imageMso="FunctionsLookupReferenceInsertGallery" size="large" itemSize="normal">
            <button id="Bia_Hoso" onAction="onAction" label="Bìa hồ sơ" imageMso="GoLeftToRight"/>
            <button id="Bia_nhatky" onAction="onAction" label="Bìa nhật ký thi công" imageMso="GoLeftToRight"/>
            <button id="LenhK.cong" onAction="onAction" label="Lệnh khởi công" imageMso="GoLeftToRight"/>
            <button id="Matbang" onAction="onAction" label="Biên bản bàn giao mặt bằng" imageMso="GoLeftToRight"/>
            <button id="PhieuCTVL" onAction="onAction" label="Phiếu chấp thuận mỏ vật liệu" imageMso="GoLeftToRight"/>
            <button id="PhongThinghiem" onAction="onAction" label="Biên bản kiểm tra phòng thí nghiệm" imageMso="GoLeftToRight"/>
            <button id="Nhanluc" onAction="onAction" label="Biên bản kiểm tra nhân lực, thiết bị" imageMso="GoLeftToRight"/>
            <button id="N.thuMoc" onAction="onAction" label="Biên bản kiểm tra tim, mốc" imageMso="GoLeftToRight"/>
            <button id="Dieukientruocthicong" onAction="onAction" label="Biên bản kiểm tra điều kiện khởi công" imageMso="GoLeftToRight"/>
            <button id="BBXLKT" onAction="onAction" label="Biên bản xử lý kỹ thuật" imageMso="GoLeftToRight"/>
            <button id="Baocaosuco" onAction="onAction" label="Biên bản báo cáo sự cố" imageMso="GoLeftToRight"/>
            <button id="Baocaohoanthanh" onAction="onAction" label="Báo cáo hoàn thành công trình" imageMso="GoLeftToRight"/>
            <button id="BB_bangiao" onAction="onAction" label="Biên bản bàn giao công trình" imageMso="GoLeftToRight"/>
          </menu>
        </group>
        <group id="DulieuNhatky" label="Nhật ký thi công">
          <menu id="PhantichNK" label="Dữ liệu nhật ký" imageMso="BusinessCardInsertMenu" size="large">
            <button id="DMnhatky" onAction="onAction" label="Danh mục nhật ký" imageMso="EditBusinessCard"/>
            <button id="NKchitiet" onAction="onAction" label="Phân tíc chi tiết" imageMso="DistributionListSelectMembers"/>
          </menu>
          <button id="GhiNhatky" onAction="onAction" label=" Bản chép" imageMso="ShapeOutlineColorPicker" size="normal"/>
          <button id="InNKTC" onAction="onAction" label="Nhật thi công" imageMso="PrintAreaMenu" size="normal"/>
          <button id="InNKGS" onAction="onAction" label="Nhật giám sát" imageMso="PrintAreaMenu" size="normal"/>
        </group>
        <group id="XuatBB" label="Xuất dữ liệu ra file Pdf">
          <button id="XuatBB.1" onAction="XuatBBNTCVXD" label="Xuất Biên bản " imageMso="PrintOptionsMenu" size="large"/>
          <button id="XuatBB.2" onAction="Innhatky" label="Xuất  nhật ký " imageMso="FilePrintQuick" size="large"/>
        </group>
        <group id="InBBNTCV">
          <button id="iNbbnt" onAction="InBBNT" label="In biên bản " imageMso="PrintTitles" size="large"/>
        </group>
        <group id="groupAuthor" label="Author" imageMso="CreateTableTemplatesGallery">
          <box id="boxAuthor1" boxStyle="vertical">
            <labelControl id="Name1" label="Gia Loc Khang Co. Ltd"/>
            <labelControl id="Phone1" label="PTNVL LAS-XD 1391"/>
            <labelControl id="Mail" label="Glk.ninhthuan@gmail.com"/>
          </box>
        </group>
      </tab>
    </tabs>
  </ribbon>
</customUI>
</file>

<file path=customUI/customUI14.xml><?xml version="1.0" encoding="utf-8"?>
<customUI xmlns="http://schemas.microsoft.com/office/2009/07/customui">
  <ribbon startFromScratch="false">
    <tabs>
      <tab id="Tab1" label="Hồ sơ QLCL-CT">
        <group id="Group1">
          <button id="Taomoi" onAction="TaoCongtrinhmoi" label="Tạo file mới" imageMso="FileNew" size="large"/>
        </group>
        <group id="Group2">
          <menu id="Dulieu" label="Dữ liệu" imageMso="DatabaseCopyDatabaseFile" size="large" itemSize="large">
            <button id="MaCV" onAction="onAction" label="Mã công việc" imageMso="CreateLabels"/>
            <button id="TCNT" onAction="onAction" label="Tiêu chuẩn nghiệm thu" imageMso="CreateLabels"/>
            <button id="MaTN" onAction="onAction" label="Mã thí nghiệm" imageMso="CreateLabels"/>
            <button id="KQTN" onAction="onAction" label="Kết quả thí nghiệm" imageMso="CreateLabels"/>
            <button id="tbDinhmuc" onAction="onAction" label="Định mức" imageMso="CreateLabels"/>
            <button id="tbGiaCamay" onAction="onAction" label="Danh mục máy thi công" imageMso="CreateLabels"/>
            <button id="tbTHmay" onAction="onAction" label="Định mức máy thi công" imageMso="CreateLabels"/>
            <button id="Config" onAction="onAction" label="Khung giờ nghiệm thu" imageMso="CreateLabels"/>
            <button id="Tam" onAction="onAction" label="Linh tinh" imageMso="CreateLabels"/>
          </menu>
        </group>
        <group id="Group3" label="Thông tin công trình">
          <button id="Thongtin" onAction="onAction" label="Thông tin chung" imageMso="FunctionsRecentlyUsedtInsertGallery" size="large"/>
          <menu id="Group5.1" label="Thời tiết" imageMso="PictureBrightnessGallery" size="large" itemSize="large">
            <button id="Tb_Thoitiet" onAction="onAction" label="Thời tiết thi công" imageMso="PictureBrightnessGallery"/>
            <button id="Group5.3" onAction="Capnhatthoitiet" label="Cập nhật thời tiết" imageMso="TableIndexes"/>
            <button id="DataWeather" onAction="onAction" label="Trạm quan trắc" imageMso="ShowTimeZones"/>
          </menu>
          <menu id="Dauvao" label="Dữ liệu công trình" imageMso="FormulaMoreFunctionsMenu" size="large" itemSize="normal">
            <button id="TPCPBT" onAction="onAction" label="Dữ liệu cấp phối" imageMso="AccessTableTasks"/>
            <button id="TbVatlieu" onAction="onAction" label="Dữ liệu vật liệu" imageMso="FormulaMoreFunctionsMenu"/>
            <button id="Vatlieu" onAction="onAction" label="Bảng thống kê vật liệu" imageMso="AddOrRemoveAttendees"/>
            <button id="TbKTHH_HM" onAction="onAction" label="Dữ liệu KTHH đào đất hố móng" imageMso="FormulaMoreFunctionsMenu"/>
            <button id="TbKTHH_Dap" onAction="onAction" label="Dữ liệu KTHH đắp đất" imageMso="FormulaMoreFunctionsMenu"/>
            <button id="TbKTHH_Cp" onAction="onAction" label="Dữ liệu cốt pha" imageMso="FormulaMoreFunctionsMenu"/>
            <button id="TbKTHH_Ct" onAction="onAction" label="Dữ liệu cốt thép" imageMso="FormulaMoreFunctionsMenu"/>
            <button id="TbKTHH_BT" onAction="onAction" label="Dữ liệu KTHH bê tông" imageMso="FormulaMoreFunctionsMenu"/>
          </menu>
        </group>
        <group id="Group6" label="Nhật trình thi công">
          <button id="Nhattrinh" onAction="onAction" label="Nhật trình" imageMso="OpenStartPage" size="large"/>
          <button id="Group6.2" onAction="Kiemtrangay" label="Kiểm tra ngày" imageMso="ZoomToSelection" size="normal"/>
          <menu id="Group6.3" label="Xuất biên bản" imageMso="MicrosoftVisualFoxPro" size="normal" itemSize="large">
            <button id="Group6.4" onAction="Xuattheohangmuc" label="Xuất theo hạng mục" imageMso="ReviewReplyWithChanges"/>
            <button id="Group6.5" onAction="Xuattheongaythang" label="Xuất theo thứ tự ngày tháng" imageMso="SlideShowRehearseTimings"/>
          </menu>
          <button id="Group6.6" onAction="Xuatdulieunhatky" label="Xuất nhật ký" imageMso="ShapeOutlineColorPicker" size="normal"/>
        </group>
        <group id="Group8" label="Biên bản nghiệm thu">
          <menu id="Group8.1" label="List Biên bản" imageMso="FunctionsDateTimeInsertGallery" size="large" itemSize="normal">
            <button id="ListVlieu" onAction="onAction" label="List biên bản V.liệu" imageMso="GoLeftToRight"/>
            <button id="ListBBCV" onAction="onAction" label="List biên bản CV" imageMso="GoLeftToRight"/>
            <button id="ListBBHT" onAction="onAction" label="List biên bản HT" imageMso="GoLeftToRight"/>
            <button id="LIST_BBKT_HM" onAction="onAction" label="List BBKT đào đất" imageMso="GoLeftToRight"/>
            <button id="LIST_BBKT_DAP" onAction="onAction" label="List BBKT đắp đất" imageMso="GoLeftToRight"/>
            <button id="LIST_BBKT_VK" onAction="onAction" label="List BBKT ván khuôn" imageMso="GoLeftToRight"/>
            <button id="LIST_BBKT_CT" onAction="onAction" label="List BBKT cốt thép" imageMso="GoLeftToRight"/>
            <button id="lIST_DKDBT" onAction="onAction" label="List BBKT điều kiện đổ bê tông" imageMso="GoLeftToRight"/>
            <button id="LIST_PHIEU_BT" onAction="onAction" label="List BBKT theo dõi đổ bê tông" imageMso="GoLeftToRight"/>
            <button id="LIST_THAO_VK" onAction="onAction" label="List BBKT bề mặt bê tông sau tháo ván khuôn" imageMso="GoLeftToRight"/>
            <button id="LIST_bbkt_bt" onAction="onAction" label="List BBKT bê tông" imageMso="GoLeftToRight"/>
            <button id="ListTNVL" onAction="onAction" label="List thí nghiệm vật liệu" imageMso="LookUp"/>
            <button id="ListTNBT" onAction="onAction" label="List thí nghiệm bê tông và vữa" imageMso="LookUp"/>
            <button id="ListTNkhac" onAction="onAction" label="List thí nghiệm khác" imageMso="LookUp"/>
          </menu>
          <menu id="Bienban" label="Biên bản" imageMso="FunctionsFinancialInsertGallery" size="large" itemSize="normal">
            <button id="DanhmucBBCV" onAction="onAction" label="Danh mục biên bản nghiệm thu" imageMso="AccountMenu"/>
            <button id="BienbanVatlieu" onAction="onAction" label="Biên bản NT V.liệu" imageMso="GoLeftToRight"/>
            <button id="BienbanCVXD" onAction="onAction" label="Biên bản NT CVXD" imageMso="GoLeftToRight"/>
            <button id="BienbanHT" onAction="onAction" label="Biên bản NT HTHM" imageMso="GoLeftToRight"/>
            <button id="BBKT_Homong" onAction="onAction" label="Biên bản kiểm tra đào đất hố móng" imageMso="GoLeftToRight"/>
            <button id="BBKT_Dap" onAction="onAction" label="Biên bản kiểm tra đắp đất" imageMso="GoLeftToRight"/>
            <button id="BBKT_VK" onAction="onAction" label="Biện bản kiểm tra ván khuôn" imageMso="GoLeftToRight"/>
            <button id="BBKT_CT" onAction="onAction" label="Biên bản kiểm tra cốt thép" imageMso="GoLeftToRight"/>
            <button id="BBKT_DKDBT" onAction="onAction" label="Biên bản kiểm tra điều kiện đổ bê tông" imageMso="GoLeftToRight"/>
            <button id="PHIEU_BT" onAction="onAction" label="Biên bản kiểm tra đổ bê tông" imageMso="GoLeftToRight"/>
            <button id="THAO_VK" onAction="onAction" label="Biên bản kiểm tra bề mặt bê tông sau khi tháo ván khuôn" imageMso="GoLeftToRight"/>
            <button id="BBKT_KTHHBT" onAction="onAction" label="Biên bản kiểm tra kích thước hình học bê tông" imageMso="GoLeftToRight"/>
            <button id="BBLMVL" onAction="onAction" label="Biên bản lấy thí nghiệmghiệm vật liệu" imageMso="BusinessCardInsertMenu"/>
            <button id="BBLMBT" onAction="onAction" label="Biên bản lấy mẫu thí nghiệm bê tông và vữa" imageMso="BusinessCardInsertMenu"/>
            <button id="BBLMKhac" onAction="onAction" label="Biên bản lấy mẫu thí nghiệm khác" imageMso="BusinessCardInsertMenu"/>
          </menu>
        </group>
        <group id="BBkhac">
          <menu id="CacBBkhac" label="Các biên bản khác" imageMso="FunctionsLookupReferenceInsertGallery" size="large" itemSize="normal">
            <button id="Bia_Hoso" onAction="onAction" label="Bìa hồ sơ" imageMso="GoLeftToRight"/>
            <button id="Bia_nhatky" onAction="onAction" label="Bìa nhật ký thi công" imageMso="GoLeftToRight"/>
            <button id="LenhK.cong" onAction="onAction" label="Lệnh khởi công" imageMso="GoLeftToRight"/>
            <button id="Matbang" onAction="onAction" label="Biên bản bàn giao mặt bằng" imageMso="GoLeftToRight"/>
            <button id="PhieuCTVL" onAction="onAction" label="Phiếu chấp thuận mỏ vật liệu" imageMso="GoLeftToRight"/>
            <button id="PhongThinghiem" onAction="onAction" label="Biên bản kiểm tra phòng thí nghiệm" imageMso="GoLeftToRight"/>
            <button id="Nhanluc" onAction="onAction" label="Biên bản kiểm tra nhân lực, thiết bị" imageMso="GoLeftToRight"/>
            <button id="N.thuMoc" onAction="onAction" label="Biên bản kiểm tra tim, mốc" imageMso="GoLeftToRight"/>
            <button id="Dieukientruocthicong" onAction="onAction" label="Biên bản kiểm tra điều kiện khởi công" imageMso="GoLeftToRight"/>
            <button id="BBXLKT" onAction="onAction" label="Biên bản xử lý kỹ thuật" imageMso="GoLeftToRight"/>
            <button id="Baocaosuco" onAction="onAction" label="Biên bản báo cáo sự cố" imageMso="GoLeftToRight"/>
            <button id="Baocaohoanthanh" onAction="onAction" label="Báo cáo hoàn thành công trình" imageMso="GoLeftToRight"/>
            <button id="BB_bangiao" onAction="onAction" label="Biên bản bàn giao công trình" imageMso="GoLeftToRight"/>
          </menu>
        </group>
        <group id="DulieuNhatky" label="Nhật ký thi công">
          <menu id="PhantichNK" label="Dữ liệu nhật ký" imageMso="BusinessCardInsertMenu" size="large">
            <button id="DMnhatky" onAction="onAction" label="Danh mục nhật ký" imageMso="EditBusinessCard"/>
            <button id="NKchitiet" onAction="onAction" label="Phân tíc chi tiết" imageMso="DistributionListSelectMembers"/>
          </menu>
          <button id="GhiNhatky" onAction="onAction" label=" Bản chép" imageMso="ShapeOutlineColorPicker" size="normal"/>
          <button id="InNKTC" onAction="onAction" label="Nhật thi công" imageMso="PrintAreaMenu" size="normal"/>
          <button id="InNKGS" onAction="onAction" label="Nhật giám sát" imageMso="PrintAreaMenu" size="normal"/>
        </group>
        <group id="XuatBB" label="Xuất dữ liệu ra file Pdf">
          <button id="XuatBB.1" onAction="XuatBBNTCVXD" label="Xuất Biên bản " imageMso="PrintOptionsMenu" size="large"/>
          <button id="XuatBB.2" onAction="Innhatky" label="Xuất  nhật ký " imageMso="FilePrintQuick" size="large"/>
        </group>
        <group id="InBBNTCV">
          <button id="iNbbnt" onAction="InBBNT" label="In biên bản " imageMso="PrintTitles" size="large"/>
        </group>
        <group id="Tacfile" label="Tách dữ liệu">
          <button id="Group9.1" onAction="TachListBBCVtoWord" label="Tách list NTCV" imageMso="ExportExcel" size="normal"/>
          <button id="Group9.2" onAction="TachListBBHT" label="Tách List HT" imageMso="ExportExcel" size="normal"/>
          <button id="Group9.3" onAction="TachListTN" label="Tách list TN" imageMso="ExportExcel" size="normal"/>
        </group>
        <group id="groupAuthor" label="Author" imageMso="CreateTableTemplatesGallery">
          <box id="boxAuthor1" boxStyle="vertical">
            <labelControl id="Name1" label="Gia Loc Khang Co. Ltd"/>
            <labelControl id="Phone1" label="PTNVL LAS-XD 1391"/>
            <labelControl id="Mail" label="Glk.ninhthuan@gmail.com"/>
          </box>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129</vt:i4>
      </vt:variant>
    </vt:vector>
  </HeadingPairs>
  <TitlesOfParts>
    <vt:vector size="203" baseType="lpstr">
      <vt:lpstr>MaCV</vt:lpstr>
      <vt:lpstr>TCNT</vt:lpstr>
      <vt:lpstr>MaBBKT</vt:lpstr>
      <vt:lpstr>MaTN</vt:lpstr>
      <vt:lpstr>KQTN</vt:lpstr>
      <vt:lpstr>tbDinhmuc</vt:lpstr>
      <vt:lpstr>tbGiaCamay</vt:lpstr>
      <vt:lpstr>tbTHmay</vt:lpstr>
      <vt:lpstr>Config</vt:lpstr>
      <vt:lpstr>Tam</vt:lpstr>
      <vt:lpstr>Thongtin</vt:lpstr>
      <vt:lpstr>TPCPBT</vt:lpstr>
      <vt:lpstr>Vatlieu</vt:lpstr>
      <vt:lpstr>TbVatlieu</vt:lpstr>
      <vt:lpstr>TbKTHH_HM</vt:lpstr>
      <vt:lpstr>TbKTHH_Dap</vt:lpstr>
      <vt:lpstr>TbKTHH_Cp</vt:lpstr>
      <vt:lpstr>TbKTHH_Ct</vt:lpstr>
      <vt:lpstr>TbKTHH_BT</vt:lpstr>
      <vt:lpstr>Tb_Thoitiet</vt:lpstr>
      <vt:lpstr>DataWeather</vt:lpstr>
      <vt:lpstr>Nhattrinh</vt:lpstr>
      <vt:lpstr>ListBBCV</vt:lpstr>
      <vt:lpstr>ListBBHT</vt:lpstr>
      <vt:lpstr>ListVlieu</vt:lpstr>
      <vt:lpstr>ListTN</vt:lpstr>
      <vt:lpstr>ListTNVL</vt:lpstr>
      <vt:lpstr>ListTNBT</vt:lpstr>
      <vt:lpstr>ListTNkhac</vt:lpstr>
      <vt:lpstr>LIST_BBKT_HM</vt:lpstr>
      <vt:lpstr>LIST_BBKT_DAP</vt:lpstr>
      <vt:lpstr>LIST_bbkt_bt</vt:lpstr>
      <vt:lpstr>LIST_BBKT_VK</vt:lpstr>
      <vt:lpstr>LIST_BBKT_CT</vt:lpstr>
      <vt:lpstr>lIST_DKDBT</vt:lpstr>
      <vt:lpstr>LIST_PHIEU_BT</vt:lpstr>
      <vt:lpstr>LIST_THAO_VK</vt:lpstr>
      <vt:lpstr>DMnhatky</vt:lpstr>
      <vt:lpstr>NKchitiet</vt:lpstr>
      <vt:lpstr>DanhmucBBCV</vt:lpstr>
      <vt:lpstr>BienbanCVXD</vt:lpstr>
      <vt:lpstr>BienbanHT</vt:lpstr>
      <vt:lpstr>BienbanVatlieu</vt:lpstr>
      <vt:lpstr>BBKT_Homong</vt:lpstr>
      <vt:lpstr>BBKT_Dap</vt:lpstr>
      <vt:lpstr>BBKT_VK</vt:lpstr>
      <vt:lpstr>BBKT_CT</vt:lpstr>
      <vt:lpstr>BBKT_DKDBT</vt:lpstr>
      <vt:lpstr>PHIEU_BT</vt:lpstr>
      <vt:lpstr>THAO_VK</vt:lpstr>
      <vt:lpstr>BBKT_KTHHBT</vt:lpstr>
      <vt:lpstr>BBLMVL</vt:lpstr>
      <vt:lpstr>BBLMBT</vt:lpstr>
      <vt:lpstr>BBLMKhac</vt:lpstr>
      <vt:lpstr>Bia_Hoso</vt:lpstr>
      <vt:lpstr>Bia_nhatky</vt:lpstr>
      <vt:lpstr>Matbang</vt:lpstr>
      <vt:lpstr>PhieuCTVL</vt:lpstr>
      <vt:lpstr>PhongThinghiem</vt:lpstr>
      <vt:lpstr>Nhanluc</vt:lpstr>
      <vt:lpstr>N.thuMoc</vt:lpstr>
      <vt:lpstr>Dieukientruocthicong</vt:lpstr>
      <vt:lpstr>BBXLKT</vt:lpstr>
      <vt:lpstr>Baocaosuco</vt:lpstr>
      <vt:lpstr>Baocaohoanthanh</vt:lpstr>
      <vt:lpstr>BB_bangiao</vt:lpstr>
      <vt:lpstr>GhiNhatky</vt:lpstr>
      <vt:lpstr>InNKTC</vt:lpstr>
      <vt:lpstr>InNKGS</vt:lpstr>
      <vt:lpstr>ListCVXD(ToWord)</vt:lpstr>
      <vt:lpstr>ListHTHM(ToWord)</vt:lpstr>
      <vt:lpstr>Thinghiem</vt:lpstr>
      <vt:lpstr>LenhK.cong</vt:lpstr>
      <vt:lpstr>Infor_Rb</vt:lpstr>
      <vt:lpstr>PhongThinghiem!_Hlk26690202</vt:lpstr>
      <vt:lpstr>PhongThinghiem!_Hlk27121271</vt:lpstr>
      <vt:lpstr>BBKT_DKDBTVungBBKT</vt:lpstr>
      <vt:lpstr>BBKT_HomongVungBBKT</vt:lpstr>
      <vt:lpstr>BBKT_KTHHBTVungBBKT</vt:lpstr>
      <vt:lpstr>BienbanCVXDVungBBNBCV</vt:lpstr>
      <vt:lpstr>BienbanCVXDVungBBNT</vt:lpstr>
      <vt:lpstr>BienbanCVXDVungPYCCV</vt:lpstr>
      <vt:lpstr>BienbanHTVungBBNBCV</vt:lpstr>
      <vt:lpstr>BienbanHTVungBBNT</vt:lpstr>
      <vt:lpstr>BienbanHTVungPYCCV</vt:lpstr>
      <vt:lpstr>BienbanVatlieuVungBBNBCV</vt:lpstr>
      <vt:lpstr>BienbanVatlieuVungBBNT</vt:lpstr>
      <vt:lpstr>BienbanVatlieuVungPYCCV</vt:lpstr>
      <vt:lpstr>CBGS1</vt:lpstr>
      <vt:lpstr>CBGS2</vt:lpstr>
      <vt:lpstr>CBGS3</vt:lpstr>
      <vt:lpstr>CBKT1</vt:lpstr>
      <vt:lpstr>CBKT2</vt:lpstr>
      <vt:lpstr>CBKT3</vt:lpstr>
      <vt:lpstr>CĐT</vt:lpstr>
      <vt:lpstr>CV_CBGS1</vt:lpstr>
      <vt:lpstr>CV_CBGS2</vt:lpstr>
      <vt:lpstr>CV_CBGS3</vt:lpstr>
      <vt:lpstr>CV_CBKT1</vt:lpstr>
      <vt:lpstr>CV_CBKT2</vt:lpstr>
      <vt:lpstr>CV_CBKT3</vt:lpstr>
      <vt:lpstr>CV_KCS1</vt:lpstr>
      <vt:lpstr>CV_KCS2</vt:lpstr>
      <vt:lpstr>CV_NguoiphatphieuYCNT</vt:lpstr>
      <vt:lpstr>CV_NT1</vt:lpstr>
      <vt:lpstr>CV_TN2</vt:lpstr>
      <vt:lpstr>CV_TN3</vt:lpstr>
      <vt:lpstr>DD_CDT</vt:lpstr>
      <vt:lpstr>DDCDT</vt:lpstr>
      <vt:lpstr>DDXD</vt:lpstr>
      <vt:lpstr>Diachi_PTN</vt:lpstr>
      <vt:lpstr>Diadanh</vt:lpstr>
      <vt:lpstr>Donvithinghiem</vt:lpstr>
      <vt:lpstr>DVGS</vt:lpstr>
      <vt:lpstr>DVTC</vt:lpstr>
      <vt:lpstr>DVTK</vt:lpstr>
      <vt:lpstr>DVTN</vt:lpstr>
      <vt:lpstr>GiayphepkinhdoanhPTN</vt:lpstr>
      <vt:lpstr>GT_CBKT1</vt:lpstr>
      <vt:lpstr>GT_CBKT2</vt:lpstr>
      <vt:lpstr>GT_CBKT3</vt:lpstr>
      <vt:lpstr>GT_CDT1</vt:lpstr>
      <vt:lpstr>GT_CDT2</vt:lpstr>
      <vt:lpstr>GT_CDT3</vt:lpstr>
      <vt:lpstr>GT_GS1</vt:lpstr>
      <vt:lpstr>GT_GS2</vt:lpstr>
      <vt:lpstr>GT_GS3</vt:lpstr>
      <vt:lpstr>GT_QLCL1</vt:lpstr>
      <vt:lpstr>GT_QLCL2</vt:lpstr>
      <vt:lpstr>GT_TN1</vt:lpstr>
      <vt:lpstr>GT_TN2</vt:lpstr>
      <vt:lpstr>GT_TN3</vt:lpstr>
      <vt:lpstr>HD_Thinghiem</vt:lpstr>
      <vt:lpstr>Hopdong</vt:lpstr>
      <vt:lpstr>KCS1_</vt:lpstr>
      <vt:lpstr>KCS2_</vt:lpstr>
      <vt:lpstr>Liendanh</vt:lpstr>
      <vt:lpstr>NDtieude1</vt:lpstr>
      <vt:lpstr>NDtieude2</vt:lpstr>
      <vt:lpstr>NDtieude3</vt:lpstr>
      <vt:lpstr>Ngayhoanthanh</vt:lpstr>
      <vt:lpstr>Ngaykhoicong</vt:lpstr>
      <vt:lpstr>Ngaynhanmatbang</vt:lpstr>
      <vt:lpstr>Nguoi_TN1</vt:lpstr>
      <vt:lpstr>Nguoi_TN2</vt:lpstr>
      <vt:lpstr>Nguoi_TN3</vt:lpstr>
      <vt:lpstr>NguoiphatphieuYCNT</vt:lpstr>
      <vt:lpstr>PHIEU_BTVungBBKT</vt:lpstr>
      <vt:lpstr>Baocaohoanthanh!Print_Area</vt:lpstr>
      <vt:lpstr>Baocaosuco!Print_Area</vt:lpstr>
      <vt:lpstr>BB_bangiao!Print_Area</vt:lpstr>
      <vt:lpstr>BBKT_CT!Print_Area</vt:lpstr>
      <vt:lpstr>BBKT_Dap!Print_Area</vt:lpstr>
      <vt:lpstr>BBKT_DKDBT!Print_Area</vt:lpstr>
      <vt:lpstr>BBKT_Homong!Print_Area</vt:lpstr>
      <vt:lpstr>BBKT_KTHHBT!Print_Area</vt:lpstr>
      <vt:lpstr>BBKT_VK!Print_Area</vt:lpstr>
      <vt:lpstr>BBLMBT!Print_Area</vt:lpstr>
      <vt:lpstr>BBLMKhac!Print_Area</vt:lpstr>
      <vt:lpstr>BBLMVL!Print_Area</vt:lpstr>
      <vt:lpstr>BBXLKT!Print_Area</vt:lpstr>
      <vt:lpstr>Bia_Hoso!Print_Area</vt:lpstr>
      <vt:lpstr>Bia_nhatky!Print_Area</vt:lpstr>
      <vt:lpstr>BienbanCVXD!Print_Area</vt:lpstr>
      <vt:lpstr>BienbanHT!Print_Area</vt:lpstr>
      <vt:lpstr>BienbanVatlieu!Print_Area</vt:lpstr>
      <vt:lpstr>DanhmucBBCV!Print_Area</vt:lpstr>
      <vt:lpstr>Dieukientruocthicong!Print_Area</vt:lpstr>
      <vt:lpstr>GhiNhatky!Print_Area</vt:lpstr>
      <vt:lpstr>InNKGS!Print_Area</vt:lpstr>
      <vt:lpstr>InNKTC!Print_Area</vt:lpstr>
      <vt:lpstr>LenhK.cong!Print_Area</vt:lpstr>
      <vt:lpstr>Matbang!Print_Area</vt:lpstr>
      <vt:lpstr>N.thuMoc!Print_Area</vt:lpstr>
      <vt:lpstr>Nhanluc!Print_Area</vt:lpstr>
      <vt:lpstr>NKchitiet!Print_Area</vt:lpstr>
      <vt:lpstr>PHIEU_BT!Print_Area</vt:lpstr>
      <vt:lpstr>PhieuCTVL!Print_Area</vt:lpstr>
      <vt:lpstr>PhongThinghiem!Print_Area</vt:lpstr>
      <vt:lpstr>THAO_VK!Print_Area</vt:lpstr>
      <vt:lpstr>BBKT_Dap!Print_Titles</vt:lpstr>
      <vt:lpstr>BBKT_Homong!Print_Titles</vt:lpstr>
      <vt:lpstr>BBKT_KTHHBT!Print_Titles</vt:lpstr>
      <vt:lpstr>BBKT_VK!Print_Titles</vt:lpstr>
      <vt:lpstr>DanhmucBBCV!Print_Titles</vt:lpstr>
      <vt:lpstr>Dieukientruocthicong!Print_Titles</vt:lpstr>
      <vt:lpstr>GhiNhatky!Print_Titles</vt:lpstr>
      <vt:lpstr>InNKGS!Print_Titles</vt:lpstr>
      <vt:lpstr>InNKTC!Print_Titles</vt:lpstr>
      <vt:lpstr>N.thuMoc!Print_Titles</vt:lpstr>
      <vt:lpstr>Nhattrinh!Print_Titles</vt:lpstr>
      <vt:lpstr>NKchitiet!Print_Titles</vt:lpstr>
      <vt:lpstr>THAO_VK!Print_Titles</vt:lpstr>
      <vt:lpstr>Td_CDT</vt:lpstr>
      <vt:lpstr>Td_DDCĐT</vt:lpstr>
      <vt:lpstr>Td_DVGS</vt:lpstr>
      <vt:lpstr>Td_DVTC</vt:lpstr>
      <vt:lpstr>THAO_VKVungBBKT</vt:lpstr>
      <vt:lpstr>Thinghiem1</vt:lpstr>
      <vt:lpstr>Thinghiem2</vt:lpstr>
      <vt:lpstr>Tieude1</vt:lpstr>
      <vt:lpstr>Tieude2</vt:lpstr>
      <vt:lpstr>Tieude3</vt:lpstr>
    </vt:vector>
  </TitlesOfParts>
  <Manager>Glk.ninhthuan@Gmail.com</Manager>
  <Company>Cty TNHH Xây dựng Gia Lộc Khang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Hồ sơ quản lý chất lượng công trình</dc:title>
  <dc:creator>Administrator</dc:creator>
  <cp:lastModifiedBy>Admin</cp:lastModifiedBy>
  <cp:lastPrinted>2020-05-30T09:30:56Z</cp:lastPrinted>
  <dcterms:created xsi:type="dcterms:W3CDTF">2016-12-10T02:13:43Z</dcterms:created>
  <dcterms:modified xsi:type="dcterms:W3CDTF">2020-06-18T22:06:08Z</dcterms:modified>
</cp:coreProperties>
</file>